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G:\高鹏\项目\军队-河南\测算\"/>
    </mc:Choice>
  </mc:AlternateContent>
  <xr:revisionPtr revIDLastSave="0" documentId="13_ncr:1_{B19A65DF-A1AA-477C-85A2-D9280E8EE78C}" xr6:coauthVersionLast="47" xr6:coauthVersionMax="47" xr10:uidLastSave="{00000000-0000-0000-0000-000000000000}"/>
  <bookViews>
    <workbookView xWindow="-120" yWindow="-120" windowWidth="38640" windowHeight="21240" tabRatio="899" firstSheet="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地上商业" sheetId="98" state="hidden" r:id="rId19"/>
    <sheet name="成本法地上商业 (元)" sheetId="69" state="hidden" r:id="rId20"/>
    <sheet name="假设开发法" sheetId="12" state="hidden" r:id="rId21"/>
    <sheet name="收益法 (元)" sheetId="88" r:id="rId22"/>
    <sheet name="成本法 地下商业" sheetId="99" state="hidden" r:id="rId23"/>
    <sheet name="成本法地下商业 (元)" sheetId="83" state="hidden" r:id="rId24"/>
    <sheet name="收益法 (元) 地下商业" sheetId="90" state="hidden" r:id="rId25"/>
    <sheet name="成本法 地下办公" sheetId="96" state="hidden" r:id="rId26"/>
    <sheet name="成本法地下办公 (元)" sheetId="82" state="hidden" r:id="rId27"/>
    <sheet name="收益法 (元) 地下办公" sheetId="89" state="hidden" r:id="rId28"/>
    <sheet name="成本法机械车位" sheetId="97" state="hidden" r:id="rId29"/>
    <sheet name="成本法机械车位 (元) " sheetId="85" state="hidden" r:id="rId30"/>
    <sheet name="收益法 (元)机械车位" sheetId="91" state="hidden" r:id="rId31"/>
    <sheet name="成本法车位" sheetId="95" state="hidden" r:id="rId32"/>
    <sheet name="成本法车位 (元) " sheetId="84" state="hidden" r:id="rId33"/>
    <sheet name="收益法" sheetId="15" state="hidden" r:id="rId34"/>
    <sheet name="收益法 (元)车位" sheetId="92" state="hidden" r:id="rId35"/>
    <sheet name="成本法仓储" sheetId="68" state="hidden" r:id="rId36"/>
    <sheet name="成本法车仓储 (元) " sheetId="86" state="hidden" r:id="rId37"/>
    <sheet name="收益法（元）仓储" sheetId="93" state="hidden" r:id="rId38"/>
    <sheet name="收益法 仓储" sheetId="67" state="hidden" r:id="rId39"/>
    <sheet name="收益法-酒店模型" sheetId="77" state="hidden" r:id="rId40"/>
    <sheet name="收益法（汇总）" sheetId="70" state="hidden" r:id="rId41"/>
    <sheet name="比较法-住宅" sheetId="21" r:id="rId42"/>
    <sheet name="比较法-商业" sheetId="33" state="hidden" r:id="rId43"/>
    <sheet name="比较法-办公" sheetId="34" state="hidden" r:id="rId44"/>
    <sheet name="比较法-工业" sheetId="37" state="hidden" r:id="rId45"/>
    <sheet name="比较法-车位" sheetId="35" state="hidden" r:id="rId46"/>
    <sheet name="比较法-仓储" sheetId="36" state="hidden" r:id="rId47"/>
    <sheet name="土地比较法-住宅、综合" sheetId="39" state="hidden" r:id="rId48"/>
    <sheet name="土地比较法-工业" sheetId="40" state="hidden" r:id="rId49"/>
    <sheet name="典型户型修正" sheetId="31" state="hidden" r:id="rId50"/>
    <sheet name="基准地价（汇总）" sheetId="76" state="hidden" r:id="rId51"/>
    <sheet name="基准地价修正 -办公" sheetId="81" state="hidden" r:id="rId52"/>
    <sheet name="基准地价修正-商业" sheetId="43" state="hidden" r:id="rId53"/>
    <sheet name="修正" sheetId="45" state="hidden" r:id="rId54"/>
    <sheet name="容积率修正" sheetId="46" state="hidden" r:id="rId55"/>
    <sheet name="成本法（废）" sheetId="11" state="hidden" r:id="rId56"/>
    <sheet name="因素修正幅度" sheetId="65" state="hidden" r:id="rId57"/>
    <sheet name="区片价（范围）" sheetId="75" state="hidden" r:id="rId58"/>
    <sheet name="地价-分区" sheetId="79" r:id="rId59"/>
    <sheet name="地价" sheetId="71" r:id="rId60"/>
    <sheet name="区片价" sheetId="44" r:id="rId61"/>
    <sheet name="存贷款利率" sheetId="73" r:id="rId62"/>
    <sheet name="案例" sheetId="100" r:id="rId63"/>
  </sheets>
  <externalReferences>
    <externalReference r:id="rId64"/>
  </externalReferences>
  <definedNames>
    <definedName name="_xlnm._FilterDatabase" localSheetId="43" hidden="1">'比较法-办公'!$A$1:$L$50</definedName>
    <definedName name="_xlnm._FilterDatabase" localSheetId="46" hidden="1">'比较法-仓储'!$A$1:$L$37</definedName>
    <definedName name="_xlnm._FilterDatabase" localSheetId="45" hidden="1">'比较法-车位'!$A$1:$L$39</definedName>
    <definedName name="_xlnm._FilterDatabase" localSheetId="44" hidden="1">'比较法-工业'!$A$1:$L$43</definedName>
    <definedName name="_xlnm._FilterDatabase" localSheetId="42" hidden="1">'比较法-商业'!$A$1:$L$49</definedName>
    <definedName name="_xlnm._FilterDatabase" localSheetId="41" hidden="1">'比较法-住宅'!$A$1:$L$49</definedName>
    <definedName name="_xlnm._FilterDatabase" localSheetId="12" hidden="1">'数据-基础表'!$A$12:$AT$587</definedName>
    <definedName name="_xlnm._FilterDatabase" localSheetId="48" hidden="1">'土地比较法-工业'!$A$1:$L$43</definedName>
    <definedName name="_xlnm._FilterDatabase" localSheetId="47" hidden="1">'土地比较法-住宅、综合'!$A$1:$L$48</definedName>
    <definedName name="_xlnm._FilterDatabase" localSheetId="11" hidden="1">项目基本情况!$A$42:$N$42</definedName>
    <definedName name="_xlnm.Print_Area" localSheetId="43">'比较法-办公'!$A$1:$K$55,'比较法-办公'!$A$58:$M$132</definedName>
    <definedName name="_xlnm.Print_Area" localSheetId="46">'比较法-仓储'!$A$1:$K$42,'比较法-仓储'!$A$45:$M$96</definedName>
    <definedName name="_xlnm.Print_Area" localSheetId="45">'比较法-车位'!$A$1:$K$44,'比较法-车位'!$A$47:$M$102</definedName>
    <definedName name="_xlnm.Print_Area" localSheetId="44">'比较法-工业'!$A$1:$K$48,'比较法-工业'!$A$51:$M$113</definedName>
    <definedName name="_xlnm.Print_Area" localSheetId="42">'比较法-商业'!$A$1:$K$54,'比较法-商业'!$A$57:$M$131</definedName>
    <definedName name="_xlnm.Print_Area" localSheetId="41">'比较法-住宅'!$A$1:$K$54,'比较法-住宅'!$A$57:$M$131</definedName>
    <definedName name="_xlnm.Print_Area" localSheetId="25">'成本法 地下办公'!$A$1:$G$57</definedName>
    <definedName name="_xlnm.Print_Area" localSheetId="22">'成本法 地下商业'!$A$1:$G$57</definedName>
    <definedName name="_xlnm.Print_Area" localSheetId="35">成本法仓储!$A$1:$G$57</definedName>
    <definedName name="_xlnm.Print_Area" localSheetId="36">'成本法车仓储 (元) '!$A$1:$G$57</definedName>
    <definedName name="_xlnm.Print_Area" localSheetId="31">成本法车位!$A$1:$G$57</definedName>
    <definedName name="_xlnm.Print_Area" localSheetId="32">'成本法车位 (元) '!$A$1:$G$57</definedName>
    <definedName name="_xlnm.Print_Area" localSheetId="18">成本法地上商业!$A$1:$G$57</definedName>
    <definedName name="_xlnm.Print_Area" localSheetId="19">'成本法地上商业 (元)'!$A$1:$G$57</definedName>
    <definedName name="_xlnm.Print_Area" localSheetId="26">'成本法地下办公 (元)'!$A$1:$G$57</definedName>
    <definedName name="_xlnm.Print_Area" localSheetId="23">'成本法地下商业 (元)'!$A$1:$G$57</definedName>
    <definedName name="_xlnm.Print_Area" localSheetId="28">成本法机械车位!$A$1:$G$57</definedName>
    <definedName name="_xlnm.Print_Area" localSheetId="29">'成本法机械车位 (元) '!$A$1:$G$57</definedName>
    <definedName name="_xlnm.Print_Area" localSheetId="15">估价对象房地状况!$A$1:$G$24</definedName>
    <definedName name="_xlnm.Print_Area" localSheetId="8">估价师及机构信息!$A$1:$G$22</definedName>
    <definedName name="_xlnm.Print_Area" localSheetId="50">'基准地价（汇总）'!$A$1:$E$13</definedName>
    <definedName name="_xlnm.Print_Area" localSheetId="51">'基准地价修正 -办公'!$A$1:$J$44,'基准地价修正 -办公'!$A$47:$H$101,'基准地价修正 -办公'!$R$1:$V$16</definedName>
    <definedName name="_xlnm.Print_Area" localSheetId="52">'基准地价修正-商业'!$A$1:$J$44,'基准地价修正-商业'!$A$47:$H$101,'基准地价修正-商业'!$R$1:$V$16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33">收益法!$A$1:$F$43,收益法!$H$3:$M$29,收益法!$A$46:$F$71,收益法!$I$46:$N$65</definedName>
    <definedName name="_xlnm.Print_Area" localSheetId="21">'收益法 (元)'!$A$1:$F$43,'收益法 (元)'!$H$3:$M$29,'收益法 (元)'!$A$45:$F$71,'收益法 (元)'!$I$46:$N$65</definedName>
    <definedName name="_xlnm.Print_Area" localSheetId="27">'收益法 (元) 地下办公'!$A$1:$F$43,'收益法 (元) 地下办公'!$H$3:$M$29,'收益法 (元) 地下办公'!$A$45:$F$71,'收益法 (元) 地下办公'!$I$46:$N$65</definedName>
    <definedName name="_xlnm.Print_Area" localSheetId="24">'收益法 (元) 地下商业'!$A$1:$F$43,'收益法 (元) 地下商业'!$H$3:$M$29,'收益法 (元) 地下商业'!$A$45:$F$71,'收益法 (元) 地下商业'!$I$46:$N$65</definedName>
    <definedName name="_xlnm.Print_Area" localSheetId="34">'收益法 (元)车位'!$A$1:$F$43,'收益法 (元)车位'!$H$3:$M$29,'收益法 (元)车位'!$A$45:$F$71,'收益法 (元)车位'!$I$46:$N$65</definedName>
    <definedName name="_xlnm.Print_Area" localSheetId="30">'收益法 (元)机械车位'!$A$1:$F$43,'收益法 (元)机械车位'!$H$3:$M$29,'收益法 (元)机械车位'!$A$45:$F$71,'收益法 (元)机械车位'!$I$46:$N$65</definedName>
    <definedName name="_xlnm.Print_Area" localSheetId="38">'收益法 仓储'!$A$1:$F$43,'收益法 仓储'!$H$3:$M$29,'收益法 仓储'!$A$45:$F$71,'收益法 仓储'!$I$46:$N$65</definedName>
    <definedName name="_xlnm.Print_Area" localSheetId="40">'收益法（汇总）'!$A$1:$F$13</definedName>
    <definedName name="_xlnm.Print_Area" localSheetId="37">'收益法（元）仓储'!$A$1:$F$43,'收益法（元）仓储'!$H$3:$M$29,'收益法（元）仓储'!$A$45:$F$71,'收益法（元）仓储'!$I$46:$N$65</definedName>
    <definedName name="_xlnm.Print_Area" localSheetId="13">'数据-汇总表'!$A$1:$P$32</definedName>
    <definedName name="_xlnm.Print_Area" localSheetId="48">'土地比较法-工业'!$A$1:$K$61,'土地比较法-工业'!$A$64:$M$121</definedName>
    <definedName name="_xlnm.Print_Area" localSheetId="4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1">'基准地价修正 -办公'!$Q$19:$AD$19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workbook>
</file>

<file path=xl/calcChain.xml><?xml version="1.0" encoding="utf-8"?>
<calcChain xmlns="http://schemas.openxmlformats.org/spreadsheetml/2006/main">
  <c r="F6" i="88" l="1"/>
  <c r="F8" i="88"/>
  <c r="F7" i="88"/>
  <c r="F9" i="88"/>
  <c r="C6" i="88"/>
  <c r="F4" i="73"/>
  <c r="I1" i="73"/>
  <c r="B39" i="1"/>
  <c r="F11" i="88"/>
  <c r="C10" i="88"/>
  <c r="C5" i="88"/>
  <c r="C32" i="88"/>
  <c r="C33" i="88"/>
  <c r="R6" i="1"/>
  <c r="F35" i="88"/>
  <c r="C34" i="88"/>
  <c r="C31" i="88"/>
  <c r="F43" i="88"/>
  <c r="C14" i="88"/>
  <c r="C15" i="88"/>
  <c r="F16" i="88"/>
  <c r="C16" i="88"/>
  <c r="C17" i="88"/>
  <c r="C18" i="88"/>
  <c r="C19" i="88"/>
  <c r="C20" i="88"/>
  <c r="D5" i="73"/>
  <c r="G1" i="73"/>
  <c r="B40" i="1"/>
  <c r="F24" i="88"/>
  <c r="C23" i="88"/>
  <c r="F26" i="88"/>
  <c r="C26" i="88"/>
  <c r="C24" i="88"/>
  <c r="C27" i="88"/>
  <c r="C29" i="88"/>
  <c r="F36" i="88"/>
  <c r="C36" i="88"/>
  <c r="F13" i="88"/>
  <c r="C13" i="88"/>
  <c r="F37" i="88"/>
  <c r="C37" i="88"/>
  <c r="F38" i="88"/>
  <c r="C38" i="88"/>
  <c r="C30" i="88"/>
  <c r="C39" i="88"/>
  <c r="F42" i="88"/>
  <c r="F40" i="88"/>
  <c r="L48" i="88"/>
  <c r="J53" i="88"/>
  <c r="F1" i="88"/>
  <c r="AE6" i="1"/>
  <c r="F41" i="88"/>
  <c r="C40" i="88"/>
  <c r="M6" i="88"/>
  <c r="M8" i="88"/>
  <c r="M7" i="88"/>
  <c r="M9" i="88"/>
  <c r="J6" i="88"/>
  <c r="M11" i="88"/>
  <c r="J10" i="88"/>
  <c r="J5" i="88"/>
  <c r="J26" i="88"/>
  <c r="J29" i="88"/>
  <c r="D2" i="88"/>
  <c r="B2" i="88"/>
  <c r="C19" i="9"/>
  <c r="D19" i="9"/>
  <c r="G19" i="9"/>
  <c r="G22" i="9"/>
  <c r="D27" i="9"/>
  <c r="B27" i="9"/>
  <c r="Q106" i="100"/>
  <c r="Q107" i="100"/>
  <c r="Q105" i="100"/>
  <c r="P107" i="100"/>
  <c r="P106" i="100"/>
  <c r="P105" i="100"/>
  <c r="O107" i="100"/>
  <c r="O106" i="100"/>
  <c r="O105" i="100"/>
  <c r="I33" i="21"/>
  <c r="I47" i="21"/>
  <c r="C59" i="100"/>
  <c r="P97" i="100"/>
  <c r="J97" i="100"/>
  <c r="D5" i="9"/>
  <c r="F8" i="21"/>
  <c r="AA8" i="21"/>
  <c r="C63" i="21"/>
  <c r="F9" i="21"/>
  <c r="AA9" i="21"/>
  <c r="F10" i="21"/>
  <c r="AA10" i="21"/>
  <c r="F11" i="21"/>
  <c r="AA11" i="21"/>
  <c r="B70" i="21"/>
  <c r="F12" i="21"/>
  <c r="AA12" i="21"/>
  <c r="B72" i="21"/>
  <c r="F13" i="21"/>
  <c r="AA13" i="21"/>
  <c r="D87" i="21"/>
  <c r="F25" i="21"/>
  <c r="AA25" i="21"/>
  <c r="F104" i="21"/>
  <c r="F33" i="21"/>
  <c r="AA33" i="21"/>
  <c r="R48" i="21"/>
  <c r="H104" i="21"/>
  <c r="I104" i="21"/>
  <c r="E104" i="21"/>
  <c r="D104" i="21"/>
  <c r="C104" i="21"/>
  <c r="G33" i="21"/>
  <c r="E33" i="21"/>
  <c r="C33" i="21"/>
  <c r="E59" i="21"/>
  <c r="F59" i="21"/>
  <c r="G59" i="21"/>
  <c r="H59" i="21"/>
  <c r="I59" i="21"/>
  <c r="J59" i="21"/>
  <c r="K59" i="21"/>
  <c r="L59" i="21"/>
  <c r="D59" i="21"/>
  <c r="AB26" i="100"/>
  <c r="AB25" i="100"/>
  <c r="AD24" i="100"/>
  <c r="AE24" i="100"/>
  <c r="AF24" i="100"/>
  <c r="AG24" i="100"/>
  <c r="AH24" i="100"/>
  <c r="AI24" i="100"/>
  <c r="AJ24" i="100"/>
  <c r="AC24" i="100"/>
  <c r="AD23" i="100"/>
  <c r="AE23" i="100"/>
  <c r="AF23" i="100"/>
  <c r="AG23" i="100"/>
  <c r="AH23" i="100"/>
  <c r="AI23" i="100"/>
  <c r="AJ23" i="100"/>
  <c r="AC23" i="100"/>
  <c r="G7" i="21"/>
  <c r="E7" i="21"/>
  <c r="G47" i="21"/>
  <c r="E47" i="21"/>
  <c r="C58" i="100"/>
  <c r="C57" i="100"/>
  <c r="E87" i="21"/>
  <c r="G23" i="21"/>
  <c r="I23" i="21"/>
  <c r="I19" i="21"/>
  <c r="G19" i="21"/>
  <c r="G17" i="21"/>
  <c r="I17" i="21"/>
  <c r="I15" i="21"/>
  <c r="G15" i="21"/>
  <c r="C30" i="1"/>
  <c r="B35" i="1"/>
  <c r="R9" i="100"/>
  <c r="R8" i="100"/>
  <c r="Q8" i="100"/>
  <c r="P8" i="100"/>
  <c r="P3" i="100"/>
  <c r="P4" i="100"/>
  <c r="P5" i="100"/>
  <c r="P6" i="100"/>
  <c r="P7" i="100"/>
  <c r="P2" i="100"/>
  <c r="N6" i="1"/>
  <c r="M9" i="1"/>
  <c r="B21" i="1"/>
  <c r="B23" i="1"/>
  <c r="N22" i="1"/>
  <c r="N20" i="1"/>
  <c r="C28" i="81"/>
  <c r="D3" i="4"/>
  <c r="B2" i="1"/>
  <c r="G23" i="81"/>
  <c r="C23" i="81"/>
  <c r="E15" i="4"/>
  <c r="F7" i="1"/>
  <c r="I24" i="81"/>
  <c r="G24" i="81"/>
  <c r="C24" i="81"/>
  <c r="G3" i="81"/>
  <c r="E26" i="81"/>
  <c r="G26" i="81"/>
  <c r="F26" i="81"/>
  <c r="H26" i="81"/>
  <c r="D26" i="81"/>
  <c r="C25" i="81"/>
  <c r="C17" i="81"/>
  <c r="C5" i="81"/>
  <c r="C33" i="81"/>
  <c r="E33" i="81"/>
  <c r="D5" i="81"/>
  <c r="C37" i="81"/>
  <c r="E37" i="81"/>
  <c r="C38" i="81"/>
  <c r="E38" i="81"/>
  <c r="C39" i="81"/>
  <c r="E39" i="81"/>
  <c r="C40" i="81"/>
  <c r="D40" i="81"/>
  <c r="E40" i="81"/>
  <c r="F15" i="4"/>
  <c r="G44" i="81"/>
  <c r="E44" i="81"/>
  <c r="C44" i="81"/>
  <c r="C41" i="81"/>
  <c r="D41" i="81"/>
  <c r="E41" i="81"/>
  <c r="C42" i="81"/>
  <c r="D42" i="81"/>
  <c r="E42" i="81"/>
  <c r="C30" i="81"/>
  <c r="B2" i="81"/>
  <c r="C28" i="43"/>
  <c r="G23" i="43"/>
  <c r="C23" i="43"/>
  <c r="D15" i="4"/>
  <c r="F6" i="1"/>
  <c r="F11" i="1"/>
  <c r="I24" i="43"/>
  <c r="G24" i="43"/>
  <c r="C24" i="43"/>
  <c r="C17" i="43"/>
  <c r="C5" i="43"/>
  <c r="T2" i="43"/>
  <c r="V2" i="43"/>
  <c r="T3" i="43"/>
  <c r="V3" i="43"/>
  <c r="T4" i="43"/>
  <c r="V4" i="43"/>
  <c r="T5" i="43"/>
  <c r="V5" i="43"/>
  <c r="T6" i="43"/>
  <c r="V6" i="43"/>
  <c r="T7" i="43"/>
  <c r="V7" i="43"/>
  <c r="T8" i="43"/>
  <c r="V8" i="43"/>
  <c r="T9" i="43"/>
  <c r="V9" i="43"/>
  <c r="T10" i="43"/>
  <c r="V10" i="43"/>
  <c r="T11" i="43"/>
  <c r="V11" i="43"/>
  <c r="T12" i="43"/>
  <c r="V12" i="43"/>
  <c r="T13" i="43"/>
  <c r="V13" i="43"/>
  <c r="T14" i="43"/>
  <c r="V14" i="43"/>
  <c r="T15" i="43"/>
  <c r="V15" i="43"/>
  <c r="T16" i="43"/>
  <c r="V16" i="43"/>
  <c r="D5" i="43"/>
  <c r="C37" i="43"/>
  <c r="D37" i="43"/>
  <c r="E37" i="43"/>
  <c r="C38" i="43"/>
  <c r="E38" i="43"/>
  <c r="C39" i="43"/>
  <c r="E39" i="43"/>
  <c r="C40" i="43"/>
  <c r="E40" i="43"/>
  <c r="E44" i="43"/>
  <c r="C44" i="43"/>
  <c r="C41" i="43"/>
  <c r="E41" i="43"/>
  <c r="C42" i="43"/>
  <c r="E42" i="43"/>
  <c r="C30" i="43"/>
  <c r="B2" i="43"/>
  <c r="G40" i="81"/>
  <c r="H40" i="81"/>
  <c r="I40" i="81"/>
  <c r="A6" i="1"/>
  <c r="A7" i="1"/>
  <c r="A8" i="1"/>
  <c r="A9" i="1"/>
  <c r="A10" i="1"/>
  <c r="A11" i="1"/>
  <c r="G1" i="99"/>
  <c r="D9" i="99"/>
  <c r="E9" i="99"/>
  <c r="C9" i="99"/>
  <c r="G24" i="6"/>
  <c r="E24" i="6"/>
  <c r="K11" i="1"/>
  <c r="F19" i="6"/>
  <c r="E19" i="6"/>
  <c r="G20" i="6"/>
  <c r="E20" i="6"/>
  <c r="G21" i="6"/>
  <c r="E21" i="6"/>
  <c r="G22" i="6"/>
  <c r="E22" i="6"/>
  <c r="G23" i="6"/>
  <c r="E23" i="6"/>
  <c r="BB13" i="3"/>
  <c r="BC13" i="3"/>
  <c r="BD13" i="3"/>
  <c r="BE13" i="3"/>
  <c r="BF13" i="3"/>
  <c r="BG13" i="3"/>
  <c r="BA13" i="3"/>
  <c r="BA5" i="3"/>
  <c r="E27" i="6"/>
  <c r="K24" i="6"/>
  <c r="S11" i="1"/>
  <c r="D10" i="99"/>
  <c r="E10" i="99"/>
  <c r="C10" i="99"/>
  <c r="C8" i="99"/>
  <c r="G37" i="43"/>
  <c r="H37" i="43"/>
  <c r="I37" i="43"/>
  <c r="C6" i="99"/>
  <c r="F7" i="99"/>
  <c r="C7" i="99"/>
  <c r="C5" i="99"/>
  <c r="C19" i="99"/>
  <c r="F20" i="99"/>
  <c r="C20" i="99"/>
  <c r="C1" i="73"/>
  <c r="J1" i="73"/>
  <c r="D6" i="73"/>
  <c r="B22" i="1"/>
  <c r="E1" i="73"/>
  <c r="K1" i="73"/>
  <c r="F22" i="99"/>
  <c r="C23" i="99"/>
  <c r="C24" i="99"/>
  <c r="C25" i="99"/>
  <c r="C22" i="99"/>
  <c r="F27" i="99"/>
  <c r="C28" i="99"/>
  <c r="C27" i="99"/>
  <c r="F21" i="99"/>
  <c r="C26" i="99"/>
  <c r="D22" i="99"/>
  <c r="C21" i="99"/>
  <c r="C29" i="99"/>
  <c r="D27" i="99"/>
  <c r="C42" i="1"/>
  <c r="F30" i="99"/>
  <c r="C30" i="99"/>
  <c r="C31" i="99"/>
  <c r="B24" i="1"/>
  <c r="F34" i="99"/>
  <c r="M11" i="1"/>
  <c r="T11" i="1"/>
  <c r="C34" i="99"/>
  <c r="F35" i="99"/>
  <c r="C35" i="99"/>
  <c r="C36" i="99"/>
  <c r="D19" i="99"/>
  <c r="D37" i="99"/>
  <c r="E37" i="99"/>
  <c r="C37" i="99"/>
  <c r="F38" i="99"/>
  <c r="C38" i="99"/>
  <c r="C33" i="99"/>
  <c r="C39" i="99"/>
  <c r="C42" i="99"/>
  <c r="C43" i="99"/>
  <c r="C41" i="99"/>
  <c r="C46" i="99"/>
  <c r="C45" i="99"/>
  <c r="C40" i="99"/>
  <c r="C44" i="99"/>
  <c r="D41" i="99"/>
  <c r="C47" i="99"/>
  <c r="D45" i="99"/>
  <c r="C48" i="99"/>
  <c r="C49" i="99"/>
  <c r="K6" i="1"/>
  <c r="M6" i="1"/>
  <c r="K7" i="1"/>
  <c r="M7" i="1"/>
  <c r="K8" i="1"/>
  <c r="M8" i="1"/>
  <c r="K9" i="1"/>
  <c r="K10" i="1"/>
  <c r="M10" i="1"/>
  <c r="K12" i="1"/>
  <c r="M12" i="1"/>
  <c r="K13" i="1"/>
  <c r="M13" i="1"/>
  <c r="K14" i="1"/>
  <c r="M14" i="1"/>
  <c r="M16" i="1"/>
  <c r="N16" i="1"/>
  <c r="F50" i="99"/>
  <c r="C51" i="99"/>
  <c r="C52" i="99"/>
  <c r="B2" i="99"/>
  <c r="B3" i="99"/>
  <c r="G1" i="90"/>
  <c r="F6" i="90"/>
  <c r="F8" i="90"/>
  <c r="F7" i="90"/>
  <c r="F9" i="90"/>
  <c r="C6" i="90"/>
  <c r="L1" i="73"/>
  <c r="F11" i="90"/>
  <c r="C10" i="90"/>
  <c r="C5" i="90"/>
  <c r="F32" i="90"/>
  <c r="C32" i="90"/>
  <c r="F33" i="90"/>
  <c r="C33" i="90"/>
  <c r="L24" i="6"/>
  <c r="M24" i="6"/>
  <c r="I24" i="6"/>
  <c r="AZ13" i="3"/>
  <c r="AZ5" i="3"/>
  <c r="H13" i="3"/>
  <c r="G13" i="3"/>
  <c r="G5" i="3"/>
  <c r="B3" i="3"/>
  <c r="AY6" i="3"/>
  <c r="D3" i="6"/>
  <c r="E3" i="6"/>
  <c r="H24" i="6"/>
  <c r="D24" i="6"/>
  <c r="R24" i="6"/>
  <c r="R11" i="1"/>
  <c r="F35" i="90"/>
  <c r="F34" i="90"/>
  <c r="C34" i="90"/>
  <c r="C31" i="90"/>
  <c r="F43" i="90"/>
  <c r="C14" i="90"/>
  <c r="F15" i="90"/>
  <c r="C15" i="90"/>
  <c r="F16" i="90"/>
  <c r="C16" i="90"/>
  <c r="F17" i="90"/>
  <c r="C17" i="90"/>
  <c r="F18" i="90"/>
  <c r="C18" i="90"/>
  <c r="C19" i="90"/>
  <c r="F20" i="90"/>
  <c r="C20" i="90"/>
  <c r="F24" i="90"/>
  <c r="F23" i="90"/>
  <c r="C23" i="90"/>
  <c r="F26" i="90"/>
  <c r="C26" i="90"/>
  <c r="F21" i="90"/>
  <c r="C24" i="90"/>
  <c r="C27" i="90"/>
  <c r="F28" i="90"/>
  <c r="C28" i="90"/>
  <c r="C29" i="90"/>
  <c r="F36" i="90"/>
  <c r="C36" i="90"/>
  <c r="F13" i="90"/>
  <c r="C13" i="90"/>
  <c r="F37" i="90"/>
  <c r="C37" i="90"/>
  <c r="F38" i="90"/>
  <c r="C38" i="90"/>
  <c r="C30" i="90"/>
  <c r="C39" i="90"/>
  <c r="F42" i="90"/>
  <c r="F40" i="90"/>
  <c r="L48" i="90"/>
  <c r="J51" i="90"/>
  <c r="J53" i="90"/>
  <c r="F1" i="90"/>
  <c r="AE11" i="1"/>
  <c r="F41" i="90"/>
  <c r="C40" i="90"/>
  <c r="M6" i="90"/>
  <c r="M8" i="90"/>
  <c r="M7" i="90"/>
  <c r="M9" i="90"/>
  <c r="J6" i="90"/>
  <c r="M11" i="90"/>
  <c r="J10" i="90"/>
  <c r="J5" i="90"/>
  <c r="J26" i="90"/>
  <c r="J29" i="90"/>
  <c r="J57" i="90"/>
  <c r="J55" i="90"/>
  <c r="J58" i="90"/>
  <c r="J59" i="90"/>
  <c r="J60" i="90"/>
  <c r="L46" i="90"/>
  <c r="D2" i="90"/>
  <c r="B3" i="90"/>
  <c r="C57" i="99"/>
  <c r="C56" i="99"/>
  <c r="G1" i="96"/>
  <c r="D9" i="96"/>
  <c r="E9" i="96"/>
  <c r="C9" i="96"/>
  <c r="K20" i="6"/>
  <c r="S7" i="1"/>
  <c r="D10" i="96"/>
  <c r="E10" i="96"/>
  <c r="C10" i="96"/>
  <c r="C8" i="96"/>
  <c r="C6" i="96"/>
  <c r="F7" i="96"/>
  <c r="C7" i="96"/>
  <c r="C5" i="96"/>
  <c r="C19" i="96"/>
  <c r="F20" i="96"/>
  <c r="C20" i="96"/>
  <c r="F22" i="96"/>
  <c r="C23" i="96"/>
  <c r="C24" i="96"/>
  <c r="C25" i="96"/>
  <c r="C22" i="96"/>
  <c r="F27" i="96"/>
  <c r="C28" i="96"/>
  <c r="C27" i="96"/>
  <c r="F21" i="96"/>
  <c r="C26" i="96"/>
  <c r="D22" i="96"/>
  <c r="C21" i="96"/>
  <c r="C29" i="96"/>
  <c r="D27" i="96"/>
  <c r="F30" i="96"/>
  <c r="C30" i="96"/>
  <c r="C31" i="96"/>
  <c r="F34" i="96"/>
  <c r="T7" i="1"/>
  <c r="C34" i="96"/>
  <c r="F35" i="96"/>
  <c r="C35" i="96"/>
  <c r="C36" i="96"/>
  <c r="D19" i="96"/>
  <c r="D37" i="96"/>
  <c r="E37" i="96"/>
  <c r="C37" i="96"/>
  <c r="F38" i="96"/>
  <c r="C38" i="96"/>
  <c r="C33" i="96"/>
  <c r="C39" i="96"/>
  <c r="C42" i="96"/>
  <c r="C43" i="96"/>
  <c r="C41" i="96"/>
  <c r="C46" i="96"/>
  <c r="C45" i="96"/>
  <c r="C40" i="96"/>
  <c r="C44" i="96"/>
  <c r="D41" i="96"/>
  <c r="C47" i="96"/>
  <c r="D45" i="96"/>
  <c r="C48" i="96"/>
  <c r="C49" i="96"/>
  <c r="F50" i="96"/>
  <c r="C51" i="96"/>
  <c r="C52" i="96"/>
  <c r="B2" i="96"/>
  <c r="B3" i="96"/>
  <c r="G1" i="89"/>
  <c r="F6" i="89"/>
  <c r="F8" i="89"/>
  <c r="F7" i="89"/>
  <c r="F9" i="89"/>
  <c r="C6" i="89"/>
  <c r="F11" i="89"/>
  <c r="C10" i="89"/>
  <c r="C5" i="89"/>
  <c r="F32" i="89"/>
  <c r="C32" i="89"/>
  <c r="F33" i="89"/>
  <c r="C33" i="89"/>
  <c r="L20" i="6"/>
  <c r="M20" i="6"/>
  <c r="I20" i="6"/>
  <c r="H20" i="6"/>
  <c r="D20" i="6"/>
  <c r="R20" i="6"/>
  <c r="R7" i="1"/>
  <c r="F35" i="89"/>
  <c r="F34" i="89"/>
  <c r="C34" i="89"/>
  <c r="C31" i="89"/>
  <c r="F43" i="89"/>
  <c r="C14" i="89"/>
  <c r="F15" i="89"/>
  <c r="C15" i="89"/>
  <c r="F16" i="89"/>
  <c r="C16" i="89"/>
  <c r="F17" i="89"/>
  <c r="C17" i="89"/>
  <c r="F18" i="89"/>
  <c r="C18" i="89"/>
  <c r="C19" i="89"/>
  <c r="F20" i="89"/>
  <c r="C20" i="89"/>
  <c r="F24" i="89"/>
  <c r="F23" i="89"/>
  <c r="C23" i="89"/>
  <c r="F26" i="89"/>
  <c r="C26" i="89"/>
  <c r="F21" i="89"/>
  <c r="C24" i="89"/>
  <c r="C27" i="89"/>
  <c r="F28" i="89"/>
  <c r="C28" i="89"/>
  <c r="C29" i="89"/>
  <c r="F36" i="89"/>
  <c r="C36" i="89"/>
  <c r="F13" i="89"/>
  <c r="C13" i="89"/>
  <c r="F37" i="89"/>
  <c r="C37" i="89"/>
  <c r="F38" i="89"/>
  <c r="C38" i="89"/>
  <c r="C30" i="89"/>
  <c r="C39" i="89"/>
  <c r="F42" i="89"/>
  <c r="F40" i="89"/>
  <c r="L48" i="89"/>
  <c r="J51" i="89"/>
  <c r="J53" i="89"/>
  <c r="F1" i="89"/>
  <c r="AE7" i="1"/>
  <c r="F41" i="89"/>
  <c r="C40" i="89"/>
  <c r="M6" i="89"/>
  <c r="M8" i="89"/>
  <c r="M7" i="89"/>
  <c r="M9" i="89"/>
  <c r="J6" i="89"/>
  <c r="M11" i="89"/>
  <c r="J10" i="89"/>
  <c r="J5" i="89"/>
  <c r="J26" i="89"/>
  <c r="J29" i="89"/>
  <c r="J57" i="89"/>
  <c r="J55" i="89"/>
  <c r="J58" i="89"/>
  <c r="J59" i="89"/>
  <c r="J60" i="89"/>
  <c r="L46" i="89"/>
  <c r="D2" i="89"/>
  <c r="B3" i="89"/>
  <c r="C57" i="96"/>
  <c r="C56" i="96"/>
  <c r="G1" i="97"/>
  <c r="D9" i="97"/>
  <c r="E9" i="97"/>
  <c r="C9" i="97"/>
  <c r="K23" i="6"/>
  <c r="S10" i="1"/>
  <c r="D10" i="97"/>
  <c r="E10" i="97"/>
  <c r="C10" i="97"/>
  <c r="C8" i="97"/>
  <c r="G42" i="81"/>
  <c r="C6" i="97"/>
  <c r="F7" i="97"/>
  <c r="C7" i="97"/>
  <c r="C5" i="97"/>
  <c r="C19" i="97"/>
  <c r="F20" i="97"/>
  <c r="C20" i="97"/>
  <c r="F22" i="97"/>
  <c r="C23" i="97"/>
  <c r="C24" i="97"/>
  <c r="C25" i="97"/>
  <c r="C22" i="97"/>
  <c r="F27" i="97"/>
  <c r="C28" i="97"/>
  <c r="C27" i="97"/>
  <c r="F21" i="97"/>
  <c r="C26" i="97"/>
  <c r="D22" i="97"/>
  <c r="C21" i="97"/>
  <c r="C29" i="97"/>
  <c r="D27" i="97"/>
  <c r="F30" i="97"/>
  <c r="C30" i="97"/>
  <c r="C31" i="97"/>
  <c r="F34" i="97"/>
  <c r="T10" i="1"/>
  <c r="C34" i="97"/>
  <c r="F35" i="97"/>
  <c r="C35" i="97"/>
  <c r="C36" i="97"/>
  <c r="D19" i="97"/>
  <c r="D37" i="97"/>
  <c r="E37" i="97"/>
  <c r="C37" i="97"/>
  <c r="F38" i="97"/>
  <c r="C38" i="97"/>
  <c r="C33" i="97"/>
  <c r="C39" i="97"/>
  <c r="C42" i="97"/>
  <c r="C43" i="97"/>
  <c r="C41" i="97"/>
  <c r="C46" i="97"/>
  <c r="C45" i="97"/>
  <c r="C40" i="97"/>
  <c r="C44" i="97"/>
  <c r="D41" i="97"/>
  <c r="C47" i="97"/>
  <c r="D45" i="97"/>
  <c r="C48" i="97"/>
  <c r="C49" i="97"/>
  <c r="F50" i="97"/>
  <c r="C51" i="97"/>
  <c r="C52" i="97"/>
  <c r="B2" i="97"/>
  <c r="B3" i="97"/>
  <c r="G1" i="91"/>
  <c r="F6" i="91"/>
  <c r="F8" i="91"/>
  <c r="F7" i="91"/>
  <c r="F9" i="91"/>
  <c r="C6" i="91"/>
  <c r="F11" i="91"/>
  <c r="C10" i="91"/>
  <c r="C5" i="91"/>
  <c r="F32" i="91"/>
  <c r="C32" i="91"/>
  <c r="F33" i="91"/>
  <c r="C33" i="91"/>
  <c r="L23" i="6"/>
  <c r="M23" i="6"/>
  <c r="I23" i="6"/>
  <c r="H23" i="6"/>
  <c r="D23" i="6"/>
  <c r="R23" i="6"/>
  <c r="R10" i="1"/>
  <c r="F35" i="91"/>
  <c r="F34" i="91"/>
  <c r="C34" i="91"/>
  <c r="C31" i="91"/>
  <c r="F43" i="91"/>
  <c r="C14" i="91"/>
  <c r="F15" i="91"/>
  <c r="C15" i="91"/>
  <c r="F16" i="91"/>
  <c r="C16" i="91"/>
  <c r="F17" i="91"/>
  <c r="C17" i="91"/>
  <c r="F18" i="91"/>
  <c r="C18" i="91"/>
  <c r="C19" i="91"/>
  <c r="F20" i="91"/>
  <c r="C20" i="91"/>
  <c r="F24" i="91"/>
  <c r="F23" i="91"/>
  <c r="C23" i="91"/>
  <c r="F26" i="91"/>
  <c r="C26" i="91"/>
  <c r="F21" i="91"/>
  <c r="C24" i="91"/>
  <c r="C27" i="91"/>
  <c r="F28" i="91"/>
  <c r="C28" i="91"/>
  <c r="C29" i="91"/>
  <c r="F36" i="91"/>
  <c r="C36" i="91"/>
  <c r="F13" i="91"/>
  <c r="C13" i="91"/>
  <c r="F37" i="91"/>
  <c r="C37" i="91"/>
  <c r="F38" i="91"/>
  <c r="C38" i="91"/>
  <c r="C30" i="91"/>
  <c r="C39" i="91"/>
  <c r="F42" i="91"/>
  <c r="F40" i="91"/>
  <c r="F10" i="1"/>
  <c r="L48" i="91"/>
  <c r="J51" i="91"/>
  <c r="J53" i="91"/>
  <c r="F1" i="91"/>
  <c r="AE10" i="1"/>
  <c r="F41" i="91"/>
  <c r="C40" i="91"/>
  <c r="M6" i="91"/>
  <c r="M8" i="91"/>
  <c r="M7" i="91"/>
  <c r="M9" i="91"/>
  <c r="J6" i="91"/>
  <c r="M11" i="91"/>
  <c r="J10" i="91"/>
  <c r="J5" i="91"/>
  <c r="J26" i="91"/>
  <c r="J29" i="91"/>
  <c r="J57" i="91"/>
  <c r="J55" i="91"/>
  <c r="J58" i="91"/>
  <c r="J59" i="91"/>
  <c r="J60" i="91"/>
  <c r="L46" i="91"/>
  <c r="D2" i="91"/>
  <c r="B3" i="91"/>
  <c r="C57" i="97"/>
  <c r="C56" i="97"/>
  <c r="G1" i="95"/>
  <c r="D9" i="95"/>
  <c r="E9" i="95"/>
  <c r="C9" i="95"/>
  <c r="K22" i="6"/>
  <c r="S9" i="1"/>
  <c r="D10" i="95"/>
  <c r="E10" i="95"/>
  <c r="C10" i="95"/>
  <c r="C8" i="95"/>
  <c r="C6" i="95"/>
  <c r="F7" i="95"/>
  <c r="C7" i="95"/>
  <c r="C5" i="95"/>
  <c r="C19" i="95"/>
  <c r="F20" i="95"/>
  <c r="C20" i="95"/>
  <c r="F22" i="95"/>
  <c r="C23" i="95"/>
  <c r="C24" i="95"/>
  <c r="C25" i="95"/>
  <c r="C22" i="95"/>
  <c r="F27" i="95"/>
  <c r="C28" i="95"/>
  <c r="C27" i="95"/>
  <c r="F21" i="95"/>
  <c r="C26" i="95"/>
  <c r="D22" i="95"/>
  <c r="C21" i="95"/>
  <c r="C29" i="95"/>
  <c r="D27" i="95"/>
  <c r="F30" i="95"/>
  <c r="C30" i="95"/>
  <c r="C31" i="95"/>
  <c r="F34" i="95"/>
  <c r="T9" i="1"/>
  <c r="C34" i="95"/>
  <c r="F35" i="95"/>
  <c r="C35" i="95"/>
  <c r="C36" i="95"/>
  <c r="D19" i="95"/>
  <c r="D37" i="95"/>
  <c r="E37" i="95"/>
  <c r="C37" i="95"/>
  <c r="F38" i="95"/>
  <c r="C38" i="95"/>
  <c r="C33" i="95"/>
  <c r="C39" i="95"/>
  <c r="C42" i="95"/>
  <c r="C43" i="95"/>
  <c r="C41" i="95"/>
  <c r="C46" i="95"/>
  <c r="C45" i="95"/>
  <c r="C40" i="95"/>
  <c r="C44" i="95"/>
  <c r="D41" i="95"/>
  <c r="C47" i="95"/>
  <c r="D45" i="95"/>
  <c r="C48" i="95"/>
  <c r="C49" i="95"/>
  <c r="F50" i="95"/>
  <c r="C51" i="95"/>
  <c r="C52" i="95"/>
  <c r="B2" i="95"/>
  <c r="B3" i="95"/>
  <c r="G1" i="92"/>
  <c r="F6" i="92"/>
  <c r="F8" i="92"/>
  <c r="F7" i="92"/>
  <c r="F9" i="92"/>
  <c r="C6" i="92"/>
  <c r="F11" i="92"/>
  <c r="C10" i="92"/>
  <c r="C5" i="92"/>
  <c r="F32" i="92"/>
  <c r="C32" i="92"/>
  <c r="F33" i="92"/>
  <c r="C33" i="92"/>
  <c r="L22" i="6"/>
  <c r="M22" i="6"/>
  <c r="I22" i="6"/>
  <c r="H22" i="6"/>
  <c r="D22" i="6"/>
  <c r="R22" i="6"/>
  <c r="R9" i="1"/>
  <c r="F35" i="92"/>
  <c r="F34" i="92"/>
  <c r="C34" i="92"/>
  <c r="C31" i="92"/>
  <c r="F43" i="92"/>
  <c r="C14" i="92"/>
  <c r="F15" i="92"/>
  <c r="C15" i="92"/>
  <c r="F16" i="92"/>
  <c r="C16" i="92"/>
  <c r="F17" i="92"/>
  <c r="C17" i="92"/>
  <c r="F18" i="92"/>
  <c r="C18" i="92"/>
  <c r="C19" i="92"/>
  <c r="F20" i="92"/>
  <c r="C20" i="92"/>
  <c r="F24" i="92"/>
  <c r="F23" i="92"/>
  <c r="C23" i="92"/>
  <c r="F26" i="92"/>
  <c r="C26" i="92"/>
  <c r="F21" i="92"/>
  <c r="C24" i="92"/>
  <c r="C27" i="92"/>
  <c r="F28" i="92"/>
  <c r="C28" i="92"/>
  <c r="C29" i="92"/>
  <c r="F36" i="92"/>
  <c r="C36" i="92"/>
  <c r="F13" i="92"/>
  <c r="C13" i="92"/>
  <c r="F37" i="92"/>
  <c r="C37" i="92"/>
  <c r="F38" i="92"/>
  <c r="C38" i="92"/>
  <c r="C30" i="92"/>
  <c r="C39" i="92"/>
  <c r="F42" i="92"/>
  <c r="F40" i="92"/>
  <c r="F9" i="1"/>
  <c r="L48" i="92"/>
  <c r="J51" i="92"/>
  <c r="J53" i="92"/>
  <c r="F1" i="92"/>
  <c r="AE9" i="1"/>
  <c r="F41" i="92"/>
  <c r="C40" i="92"/>
  <c r="M6" i="92"/>
  <c r="M8" i="92"/>
  <c r="M7" i="92"/>
  <c r="M9" i="92"/>
  <c r="J6" i="92"/>
  <c r="M11" i="92"/>
  <c r="J10" i="92"/>
  <c r="J5" i="92"/>
  <c r="J26" i="92"/>
  <c r="J29" i="92"/>
  <c r="J57" i="92"/>
  <c r="J55" i="92"/>
  <c r="J58" i="92"/>
  <c r="J59" i="92"/>
  <c r="J60" i="92"/>
  <c r="L46" i="92"/>
  <c r="D2" i="92"/>
  <c r="B3" i="92"/>
  <c r="C57" i="95"/>
  <c r="C56" i="95"/>
  <c r="G1" i="68"/>
  <c r="D9" i="68"/>
  <c r="E9" i="68"/>
  <c r="C9" i="68"/>
  <c r="K21" i="6"/>
  <c r="S8" i="1"/>
  <c r="D10" i="68"/>
  <c r="E10" i="68"/>
  <c r="C10" i="68"/>
  <c r="C8" i="68"/>
  <c r="G41" i="81"/>
  <c r="H41" i="81"/>
  <c r="I41" i="81"/>
  <c r="C6" i="68"/>
  <c r="F7" i="68"/>
  <c r="C7" i="68"/>
  <c r="C5" i="68"/>
  <c r="C19" i="68"/>
  <c r="F20" i="68"/>
  <c r="C20" i="68"/>
  <c r="F22" i="68"/>
  <c r="C23" i="68"/>
  <c r="C24" i="68"/>
  <c r="C25" i="68"/>
  <c r="C22" i="68"/>
  <c r="F27" i="68"/>
  <c r="C28" i="68"/>
  <c r="C27" i="68"/>
  <c r="F21" i="68"/>
  <c r="C26" i="68"/>
  <c r="D22" i="68"/>
  <c r="C21" i="68"/>
  <c r="C29" i="68"/>
  <c r="D27" i="68"/>
  <c r="F30" i="68"/>
  <c r="C30" i="68"/>
  <c r="C31" i="68"/>
  <c r="F34" i="68"/>
  <c r="T8" i="1"/>
  <c r="C34" i="68"/>
  <c r="F35" i="68"/>
  <c r="C35" i="68"/>
  <c r="C36" i="68"/>
  <c r="D19" i="68"/>
  <c r="D37" i="68"/>
  <c r="E37" i="68"/>
  <c r="C37" i="68"/>
  <c r="F38" i="68"/>
  <c r="C38" i="68"/>
  <c r="C33" i="68"/>
  <c r="C39" i="68"/>
  <c r="C42" i="68"/>
  <c r="C43" i="68"/>
  <c r="C41" i="68"/>
  <c r="C46" i="68"/>
  <c r="C45" i="68"/>
  <c r="C40" i="68"/>
  <c r="C44" i="68"/>
  <c r="D41" i="68"/>
  <c r="C47" i="68"/>
  <c r="D45" i="68"/>
  <c r="C48" i="68"/>
  <c r="C49" i="68"/>
  <c r="F50" i="68"/>
  <c r="C51" i="68"/>
  <c r="C52" i="68"/>
  <c r="B2" i="68"/>
  <c r="B3" i="68"/>
  <c r="G1" i="93"/>
  <c r="F6" i="93"/>
  <c r="F8" i="93"/>
  <c r="F7" i="93"/>
  <c r="F9" i="93"/>
  <c r="C6" i="93"/>
  <c r="F11" i="93"/>
  <c r="C10" i="93"/>
  <c r="C5" i="93"/>
  <c r="F32" i="93"/>
  <c r="C32" i="93"/>
  <c r="F33" i="93"/>
  <c r="C33" i="93"/>
  <c r="L21" i="6"/>
  <c r="M21" i="6"/>
  <c r="I21" i="6"/>
  <c r="H21" i="6"/>
  <c r="D21" i="6"/>
  <c r="R21" i="6"/>
  <c r="R8" i="1"/>
  <c r="F35" i="93"/>
  <c r="F34" i="93"/>
  <c r="C34" i="93"/>
  <c r="C31" i="93"/>
  <c r="F43" i="93"/>
  <c r="C14" i="93"/>
  <c r="F15" i="93"/>
  <c r="C15" i="93"/>
  <c r="F16" i="93"/>
  <c r="C16" i="93"/>
  <c r="F17" i="93"/>
  <c r="C17" i="93"/>
  <c r="F18" i="93"/>
  <c r="C18" i="93"/>
  <c r="C19" i="93"/>
  <c r="F20" i="93"/>
  <c r="C20" i="93"/>
  <c r="F24" i="93"/>
  <c r="F23" i="93"/>
  <c r="C23" i="93"/>
  <c r="F26" i="93"/>
  <c r="C26" i="93"/>
  <c r="F21" i="93"/>
  <c r="C24" i="93"/>
  <c r="C27" i="93"/>
  <c r="F28" i="93"/>
  <c r="C28" i="93"/>
  <c r="C29" i="93"/>
  <c r="F36" i="93"/>
  <c r="C36" i="93"/>
  <c r="F13" i="93"/>
  <c r="C13" i="93"/>
  <c r="F37" i="93"/>
  <c r="C37" i="93"/>
  <c r="F38" i="93"/>
  <c r="C38" i="93"/>
  <c r="C30" i="93"/>
  <c r="C39" i="93"/>
  <c r="F42" i="93"/>
  <c r="F40" i="93"/>
  <c r="G15" i="4"/>
  <c r="F8" i="1"/>
  <c r="L48" i="93"/>
  <c r="J51" i="93"/>
  <c r="J53" i="93"/>
  <c r="F1" i="93"/>
  <c r="AE8" i="1"/>
  <c r="F41" i="93"/>
  <c r="C40" i="93"/>
  <c r="M6" i="93"/>
  <c r="M8" i="93"/>
  <c r="M7" i="93"/>
  <c r="M9" i="93"/>
  <c r="J6" i="93"/>
  <c r="M11" i="93"/>
  <c r="J10" i="93"/>
  <c r="J5" i="93"/>
  <c r="J26" i="93"/>
  <c r="J29" i="93"/>
  <c r="J57" i="93"/>
  <c r="J55" i="93"/>
  <c r="J58" i="93"/>
  <c r="J59" i="93"/>
  <c r="J60" i="93"/>
  <c r="L46" i="93"/>
  <c r="D2" i="93"/>
  <c r="B3" i="93"/>
  <c r="C57" i="68"/>
  <c r="C56" i="68"/>
  <c r="G1" i="98"/>
  <c r="D9" i="98"/>
  <c r="E9" i="98"/>
  <c r="C9" i="98"/>
  <c r="K19" i="6"/>
  <c r="S6" i="1"/>
  <c r="D10" i="98"/>
  <c r="E10" i="98"/>
  <c r="C10" i="98"/>
  <c r="C8" i="98"/>
  <c r="C6" i="98"/>
  <c r="F7" i="98"/>
  <c r="C7" i="98"/>
  <c r="C5" i="98"/>
  <c r="C19" i="98"/>
  <c r="F20" i="98"/>
  <c r="C20" i="98"/>
  <c r="F22" i="98"/>
  <c r="C23" i="98"/>
  <c r="C24" i="98"/>
  <c r="C25" i="98"/>
  <c r="C22" i="98"/>
  <c r="F27" i="98"/>
  <c r="C28" i="98"/>
  <c r="C27" i="98"/>
  <c r="F21" i="98"/>
  <c r="C26" i="98"/>
  <c r="D22" i="98"/>
  <c r="C21" i="98"/>
  <c r="C29" i="98"/>
  <c r="D27" i="98"/>
  <c r="F30" i="98"/>
  <c r="C30" i="98"/>
  <c r="C31" i="98"/>
  <c r="F34" i="98"/>
  <c r="T6" i="1"/>
  <c r="C34" i="98"/>
  <c r="F35" i="98"/>
  <c r="C35" i="98"/>
  <c r="C36" i="98"/>
  <c r="D19" i="98"/>
  <c r="D37" i="98"/>
  <c r="E37" i="98"/>
  <c r="C37" i="98"/>
  <c r="F38" i="98"/>
  <c r="C38" i="98"/>
  <c r="C33" i="98"/>
  <c r="C39" i="98"/>
  <c r="C42" i="98"/>
  <c r="C43" i="98"/>
  <c r="C41" i="98"/>
  <c r="C46" i="98"/>
  <c r="C45" i="98"/>
  <c r="C40" i="98"/>
  <c r="C44" i="98"/>
  <c r="D41" i="98"/>
  <c r="C47" i="98"/>
  <c r="D45" i="98"/>
  <c r="C48" i="98"/>
  <c r="C49" i="98"/>
  <c r="F50" i="98"/>
  <c r="C51" i="98"/>
  <c r="C52" i="98"/>
  <c r="B2" i="98"/>
  <c r="B3" i="98"/>
  <c r="G1" i="88"/>
  <c r="F32" i="88"/>
  <c r="F33" i="88"/>
  <c r="E32" i="6"/>
  <c r="L19" i="6"/>
  <c r="M19" i="6"/>
  <c r="I19" i="6"/>
  <c r="H19" i="6"/>
  <c r="D19" i="6"/>
  <c r="R19" i="6"/>
  <c r="F34" i="88"/>
  <c r="F15" i="88"/>
  <c r="F17" i="88"/>
  <c r="F18" i="88"/>
  <c r="F20" i="88"/>
  <c r="F23" i="88"/>
  <c r="F21" i="88"/>
  <c r="F28" i="88"/>
  <c r="C28" i="88"/>
  <c r="J51" i="88"/>
  <c r="M47" i="88"/>
  <c r="J57" i="88"/>
  <c r="J55" i="88"/>
  <c r="J58" i="88"/>
  <c r="J59" i="88"/>
  <c r="J60" i="88"/>
  <c r="L46" i="88"/>
  <c r="B3" i="88"/>
  <c r="C57" i="98"/>
  <c r="C56" i="98"/>
  <c r="G1" i="83"/>
  <c r="C34" i="83"/>
  <c r="F35" i="83"/>
  <c r="C35" i="83"/>
  <c r="C36" i="83"/>
  <c r="D9" i="83"/>
  <c r="D10" i="83"/>
  <c r="D19" i="83"/>
  <c r="D37" i="83"/>
  <c r="E37" i="83"/>
  <c r="C37" i="83"/>
  <c r="F38" i="83"/>
  <c r="C38" i="83"/>
  <c r="C33" i="83"/>
  <c r="F20" i="83"/>
  <c r="C39" i="83"/>
  <c r="F22" i="83"/>
  <c r="C42" i="83"/>
  <c r="C43" i="83"/>
  <c r="C41" i="83"/>
  <c r="F27" i="83"/>
  <c r="C46" i="83"/>
  <c r="C45" i="83"/>
  <c r="F21" i="83"/>
  <c r="C40" i="83"/>
  <c r="C44" i="83"/>
  <c r="D41" i="83"/>
  <c r="C47" i="83"/>
  <c r="D45" i="83"/>
  <c r="F30" i="83"/>
  <c r="C48" i="83"/>
  <c r="C49" i="83"/>
  <c r="F50" i="83"/>
  <c r="C51" i="83"/>
  <c r="E9" i="83"/>
  <c r="C9" i="83"/>
  <c r="E10" i="83"/>
  <c r="C10" i="83"/>
  <c r="C8" i="83"/>
  <c r="C6" i="83"/>
  <c r="F7" i="83"/>
  <c r="C7" i="83"/>
  <c r="C5" i="83"/>
  <c r="C19" i="83"/>
  <c r="C20" i="83"/>
  <c r="C23" i="83"/>
  <c r="C24" i="83"/>
  <c r="C25" i="83"/>
  <c r="C22" i="83"/>
  <c r="C28" i="83"/>
  <c r="C27" i="83"/>
  <c r="C26" i="83"/>
  <c r="D22" i="83"/>
  <c r="C21" i="83"/>
  <c r="C29" i="83"/>
  <c r="D27" i="83"/>
  <c r="C30" i="83"/>
  <c r="C31" i="83"/>
  <c r="C52" i="83"/>
  <c r="C57" i="83"/>
  <c r="C56" i="83"/>
  <c r="G1" i="82"/>
  <c r="C34" i="82"/>
  <c r="F35" i="82"/>
  <c r="C35" i="82"/>
  <c r="C36" i="82"/>
  <c r="D9" i="82"/>
  <c r="D10" i="82"/>
  <c r="D19" i="82"/>
  <c r="D37" i="82"/>
  <c r="E37" i="82"/>
  <c r="C37" i="82"/>
  <c r="F38" i="82"/>
  <c r="C38" i="82"/>
  <c r="C33" i="82"/>
  <c r="F20" i="82"/>
  <c r="C39" i="82"/>
  <c r="F22" i="82"/>
  <c r="C42" i="82"/>
  <c r="C43" i="82"/>
  <c r="C41" i="82"/>
  <c r="F27" i="82"/>
  <c r="C46" i="82"/>
  <c r="C45" i="82"/>
  <c r="F21" i="82"/>
  <c r="C40" i="82"/>
  <c r="C44" i="82"/>
  <c r="D41" i="82"/>
  <c r="C47" i="82"/>
  <c r="D45" i="82"/>
  <c r="F30" i="82"/>
  <c r="C48" i="82"/>
  <c r="C49" i="82"/>
  <c r="F50" i="82"/>
  <c r="C51" i="82"/>
  <c r="E9" i="82"/>
  <c r="C9" i="82"/>
  <c r="E10" i="82"/>
  <c r="C10" i="82"/>
  <c r="C8" i="82"/>
  <c r="C6" i="82"/>
  <c r="F7" i="82"/>
  <c r="C7" i="82"/>
  <c r="C5" i="82"/>
  <c r="C19" i="82"/>
  <c r="C20" i="82"/>
  <c r="C23" i="82"/>
  <c r="C24" i="82"/>
  <c r="C25" i="82"/>
  <c r="C22" i="82"/>
  <c r="C28" i="82"/>
  <c r="C27" i="82"/>
  <c r="C26" i="82"/>
  <c r="D22" i="82"/>
  <c r="C21" i="82"/>
  <c r="C29" i="82"/>
  <c r="D27" i="82"/>
  <c r="C30" i="82"/>
  <c r="C31" i="82"/>
  <c r="C52" i="82"/>
  <c r="C57" i="82"/>
  <c r="C56" i="82"/>
  <c r="G1" i="85"/>
  <c r="C34" i="85"/>
  <c r="F35" i="85"/>
  <c r="C35" i="85"/>
  <c r="C36" i="85"/>
  <c r="D9" i="85"/>
  <c r="D10" i="85"/>
  <c r="D19" i="85"/>
  <c r="D37" i="85"/>
  <c r="E37" i="85"/>
  <c r="C37" i="85"/>
  <c r="F38" i="85"/>
  <c r="C38" i="85"/>
  <c r="C33" i="85"/>
  <c r="F20" i="85"/>
  <c r="C39" i="85"/>
  <c r="F22" i="85"/>
  <c r="C42" i="85"/>
  <c r="C43" i="85"/>
  <c r="C41" i="85"/>
  <c r="F27" i="85"/>
  <c r="C46" i="85"/>
  <c r="C45" i="85"/>
  <c r="F21" i="85"/>
  <c r="C40" i="85"/>
  <c r="C44" i="85"/>
  <c r="D41" i="85"/>
  <c r="C47" i="85"/>
  <c r="D45" i="85"/>
  <c r="F30" i="85"/>
  <c r="C48" i="85"/>
  <c r="C49" i="85"/>
  <c r="F50" i="85"/>
  <c r="C51" i="85"/>
  <c r="E9" i="85"/>
  <c r="C9" i="85"/>
  <c r="E10" i="85"/>
  <c r="C10" i="85"/>
  <c r="C8" i="85"/>
  <c r="C6" i="85"/>
  <c r="F7" i="85"/>
  <c r="C7" i="85"/>
  <c r="C5" i="85"/>
  <c r="C19" i="85"/>
  <c r="C20" i="85"/>
  <c r="C23" i="85"/>
  <c r="C24" i="85"/>
  <c r="C25" i="85"/>
  <c r="C22" i="85"/>
  <c r="C28" i="85"/>
  <c r="C27" i="85"/>
  <c r="C26" i="85"/>
  <c r="D22" i="85"/>
  <c r="C21" i="85"/>
  <c r="C29" i="85"/>
  <c r="D27" i="85"/>
  <c r="C30" i="85"/>
  <c r="C31" i="85"/>
  <c r="C52" i="85"/>
  <c r="C57" i="85"/>
  <c r="C56" i="85"/>
  <c r="G1" i="84"/>
  <c r="C34" i="84"/>
  <c r="F35" i="84"/>
  <c r="C35" i="84"/>
  <c r="C36" i="84"/>
  <c r="D9" i="84"/>
  <c r="D10" i="84"/>
  <c r="D19" i="84"/>
  <c r="D37" i="84"/>
  <c r="E37" i="84"/>
  <c r="C37" i="84"/>
  <c r="F38" i="84"/>
  <c r="C38" i="84"/>
  <c r="C33" i="84"/>
  <c r="F20" i="84"/>
  <c r="C39" i="84"/>
  <c r="F22" i="84"/>
  <c r="C42" i="84"/>
  <c r="C43" i="84"/>
  <c r="C41" i="84"/>
  <c r="F27" i="84"/>
  <c r="C46" i="84"/>
  <c r="C45" i="84"/>
  <c r="F21" i="84"/>
  <c r="C40" i="84"/>
  <c r="C44" i="84"/>
  <c r="D41" i="84"/>
  <c r="C47" i="84"/>
  <c r="D45" i="84"/>
  <c r="F30" i="84"/>
  <c r="C48" i="84"/>
  <c r="C49" i="84"/>
  <c r="F50" i="84"/>
  <c r="C51" i="84"/>
  <c r="E9" i="84"/>
  <c r="C9" i="84"/>
  <c r="E10" i="84"/>
  <c r="C10" i="84"/>
  <c r="C8" i="84"/>
  <c r="C6" i="84"/>
  <c r="F7" i="84"/>
  <c r="C7" i="84"/>
  <c r="C5" i="84"/>
  <c r="C19" i="84"/>
  <c r="C20" i="84"/>
  <c r="C23" i="84"/>
  <c r="C24" i="84"/>
  <c r="C25" i="84"/>
  <c r="C22" i="84"/>
  <c r="C28" i="84"/>
  <c r="C27" i="84"/>
  <c r="C26" i="84"/>
  <c r="D22" i="84"/>
  <c r="C21" i="84"/>
  <c r="C29" i="84"/>
  <c r="D27" i="84"/>
  <c r="C30" i="84"/>
  <c r="C31" i="84"/>
  <c r="C52" i="84"/>
  <c r="C57" i="84"/>
  <c r="C56" i="84"/>
  <c r="G1" i="86"/>
  <c r="C34" i="86"/>
  <c r="F35" i="86"/>
  <c r="C35" i="86"/>
  <c r="C36" i="86"/>
  <c r="D9" i="86"/>
  <c r="D10" i="86"/>
  <c r="D19" i="86"/>
  <c r="D37" i="86"/>
  <c r="E37" i="86"/>
  <c r="C37" i="86"/>
  <c r="F38" i="86"/>
  <c r="C38" i="86"/>
  <c r="C33" i="86"/>
  <c r="F20" i="86"/>
  <c r="C39" i="86"/>
  <c r="F22" i="86"/>
  <c r="C42" i="86"/>
  <c r="C43" i="86"/>
  <c r="C41" i="86"/>
  <c r="F27" i="86"/>
  <c r="C46" i="86"/>
  <c r="C45" i="86"/>
  <c r="F21" i="86"/>
  <c r="C40" i="86"/>
  <c r="C44" i="86"/>
  <c r="D41" i="86"/>
  <c r="C47" i="86"/>
  <c r="D45" i="86"/>
  <c r="F30" i="86"/>
  <c r="C48" i="86"/>
  <c r="C49" i="86"/>
  <c r="F50" i="86"/>
  <c r="C51" i="86"/>
  <c r="E9" i="86"/>
  <c r="C9" i="86"/>
  <c r="E10" i="86"/>
  <c r="C10" i="86"/>
  <c r="C8" i="86"/>
  <c r="C6" i="86"/>
  <c r="F7" i="86"/>
  <c r="C7" i="86"/>
  <c r="C5" i="86"/>
  <c r="C19" i="86"/>
  <c r="C20" i="86"/>
  <c r="C23" i="86"/>
  <c r="C24" i="86"/>
  <c r="C25" i="86"/>
  <c r="C22" i="86"/>
  <c r="C28" i="86"/>
  <c r="C27" i="86"/>
  <c r="C26" i="86"/>
  <c r="D22" i="86"/>
  <c r="C21" i="86"/>
  <c r="C29" i="86"/>
  <c r="D27" i="86"/>
  <c r="C30" i="86"/>
  <c r="C31" i="86"/>
  <c r="C52" i="86"/>
  <c r="C57" i="86"/>
  <c r="C56" i="86"/>
  <c r="G1" i="69"/>
  <c r="C34" i="69"/>
  <c r="F35" i="69"/>
  <c r="C35" i="69"/>
  <c r="C36" i="69"/>
  <c r="D9" i="69"/>
  <c r="D10" i="69"/>
  <c r="D19" i="69"/>
  <c r="D37" i="69"/>
  <c r="E37" i="69"/>
  <c r="C37" i="69"/>
  <c r="F38" i="69"/>
  <c r="C38" i="69"/>
  <c r="C33" i="69"/>
  <c r="F20" i="69"/>
  <c r="C39" i="69"/>
  <c r="F22" i="69"/>
  <c r="C42" i="69"/>
  <c r="C43" i="69"/>
  <c r="C41" i="69"/>
  <c r="F27" i="69"/>
  <c r="C46" i="69"/>
  <c r="C45" i="69"/>
  <c r="F21" i="69"/>
  <c r="C40" i="69"/>
  <c r="C44" i="69"/>
  <c r="D41" i="69"/>
  <c r="C47" i="69"/>
  <c r="D45" i="69"/>
  <c r="F30" i="69"/>
  <c r="C48" i="69"/>
  <c r="C49" i="69"/>
  <c r="F50" i="69"/>
  <c r="C51" i="69"/>
  <c r="E9" i="69"/>
  <c r="C9" i="69"/>
  <c r="E10" i="69"/>
  <c r="C10" i="69"/>
  <c r="C8" i="69"/>
  <c r="C6" i="69"/>
  <c r="F7" i="69"/>
  <c r="C7" i="69"/>
  <c r="C5" i="69"/>
  <c r="C19" i="69"/>
  <c r="C20" i="69"/>
  <c r="C23" i="69"/>
  <c r="C24" i="69"/>
  <c r="C25" i="69"/>
  <c r="C22" i="69"/>
  <c r="C28" i="69"/>
  <c r="C27" i="69"/>
  <c r="C26" i="69"/>
  <c r="D22" i="69"/>
  <c r="C21" i="69"/>
  <c r="C29" i="69"/>
  <c r="D27" i="69"/>
  <c r="C30" i="69"/>
  <c r="C31" i="69"/>
  <c r="C52" i="69"/>
  <c r="C57" i="69"/>
  <c r="C56" i="69"/>
  <c r="B2" i="86"/>
  <c r="B3" i="86"/>
  <c r="B2" i="69"/>
  <c r="B3" i="69"/>
  <c r="F36" i="99"/>
  <c r="B31" i="1"/>
  <c r="E19" i="99"/>
  <c r="F48" i="99"/>
  <c r="F45" i="99"/>
  <c r="G41" i="99"/>
  <c r="F41" i="99"/>
  <c r="F40" i="99"/>
  <c r="F39" i="99"/>
  <c r="G22" i="99"/>
  <c r="E2" i="99"/>
  <c r="F36" i="98"/>
  <c r="E19" i="98"/>
  <c r="F48" i="98"/>
  <c r="F45" i="98"/>
  <c r="G41" i="98"/>
  <c r="F41" i="98"/>
  <c r="F40" i="98"/>
  <c r="F39" i="98"/>
  <c r="G22" i="98"/>
  <c r="E2" i="98"/>
  <c r="F36" i="97"/>
  <c r="E19" i="97"/>
  <c r="F48" i="97"/>
  <c r="F45" i="97"/>
  <c r="G41" i="97"/>
  <c r="F41" i="97"/>
  <c r="F40" i="97"/>
  <c r="F39" i="97"/>
  <c r="G22" i="97"/>
  <c r="E2" i="97"/>
  <c r="F36" i="96"/>
  <c r="E19" i="96"/>
  <c r="F48" i="96"/>
  <c r="F45" i="96"/>
  <c r="G41" i="96"/>
  <c r="F41" i="96"/>
  <c r="F40" i="96"/>
  <c r="F39" i="96"/>
  <c r="G22" i="96"/>
  <c r="E2" i="96"/>
  <c r="F36" i="95"/>
  <c r="E19" i="95"/>
  <c r="F48" i="95"/>
  <c r="F45" i="95"/>
  <c r="G41" i="95"/>
  <c r="F41" i="95"/>
  <c r="F40" i="95"/>
  <c r="F39" i="95"/>
  <c r="G22" i="95"/>
  <c r="E2" i="95"/>
  <c r="C20" i="43"/>
  <c r="B2" i="83"/>
  <c r="B3" i="83"/>
  <c r="C20" i="81"/>
  <c r="B2" i="82"/>
  <c r="B3" i="82"/>
  <c r="B2" i="85"/>
  <c r="B3" i="85"/>
  <c r="B2" i="84"/>
  <c r="B3" i="84"/>
  <c r="D14" i="74"/>
  <c r="B5" i="74"/>
  <c r="K15" i="1"/>
  <c r="K16" i="1"/>
  <c r="B14" i="74"/>
  <c r="E14" i="74"/>
  <c r="C5" i="74"/>
  <c r="J52" i="93"/>
  <c r="J52" i="92"/>
  <c r="J52" i="91"/>
  <c r="J52" i="89"/>
  <c r="J52" i="90"/>
  <c r="J52" i="88"/>
  <c r="R12" i="1"/>
  <c r="AE12" i="1"/>
  <c r="M47" i="93"/>
  <c r="J50" i="93"/>
  <c r="C83" i="93"/>
  <c r="C82" i="93"/>
  <c r="C76" i="93"/>
  <c r="C75" i="93"/>
  <c r="C80" i="93"/>
  <c r="C79" i="93"/>
  <c r="Q65" i="93"/>
  <c r="L51" i="93"/>
  <c r="L57" i="93"/>
  <c r="D8" i="1"/>
  <c r="L47" i="93"/>
  <c r="L58" i="93"/>
  <c r="L59" i="93"/>
  <c r="L60" i="93"/>
  <c r="Q66" i="93"/>
  <c r="Q75" i="93"/>
  <c r="Q74" i="93"/>
  <c r="K59" i="93"/>
  <c r="P74" i="93"/>
  <c r="Q73" i="93"/>
  <c r="Q72" i="93"/>
  <c r="Q71" i="93"/>
  <c r="F71" i="93"/>
  <c r="F51" i="93"/>
  <c r="F50" i="93"/>
  <c r="C49" i="93"/>
  <c r="C53" i="93"/>
  <c r="C48" i="93"/>
  <c r="F60" i="93"/>
  <c r="C60" i="93"/>
  <c r="F61" i="93"/>
  <c r="C61" i="93"/>
  <c r="F62" i="93"/>
  <c r="F63" i="93"/>
  <c r="C62" i="93"/>
  <c r="C59" i="93"/>
  <c r="C57" i="93"/>
  <c r="F64" i="93"/>
  <c r="C64" i="93"/>
  <c r="C56" i="93"/>
  <c r="F65" i="93"/>
  <c r="C65" i="93"/>
  <c r="F66" i="93"/>
  <c r="C66" i="93"/>
  <c r="C58" i="93"/>
  <c r="C67" i="93"/>
  <c r="F68" i="93"/>
  <c r="F69" i="93"/>
  <c r="C68" i="93"/>
  <c r="C71" i="93"/>
  <c r="Q70" i="93"/>
  <c r="Q69" i="93"/>
  <c r="Q68" i="93"/>
  <c r="Q67" i="93"/>
  <c r="Q56" i="93"/>
  <c r="Q57" i="93"/>
  <c r="Q62" i="93"/>
  <c r="Q61" i="93"/>
  <c r="P61" i="93"/>
  <c r="Q60" i="93"/>
  <c r="Q59" i="93"/>
  <c r="N59" i="93"/>
  <c r="M59" i="93"/>
  <c r="F59" i="93"/>
  <c r="Q58" i="93"/>
  <c r="L56" i="93"/>
  <c r="I54" i="93"/>
  <c r="Q47" i="93"/>
  <c r="Q48" i="93"/>
  <c r="Q53" i="93"/>
  <c r="Q52" i="93"/>
  <c r="Q51" i="93"/>
  <c r="Q50" i="93"/>
  <c r="Q49" i="93"/>
  <c r="D46" i="93"/>
  <c r="C45" i="93"/>
  <c r="C46" i="93"/>
  <c r="C43" i="93"/>
  <c r="F31" i="93"/>
  <c r="M29" i="93"/>
  <c r="M28" i="93"/>
  <c r="M27" i="93"/>
  <c r="M26" i="93"/>
  <c r="M18" i="93"/>
  <c r="J18" i="93"/>
  <c r="M19" i="93"/>
  <c r="J19" i="93"/>
  <c r="M20" i="93"/>
  <c r="M21" i="93"/>
  <c r="J20" i="93"/>
  <c r="J17" i="93"/>
  <c r="J14" i="93"/>
  <c r="M22" i="93"/>
  <c r="J22" i="93"/>
  <c r="J15" i="93"/>
  <c r="J13" i="93"/>
  <c r="M23" i="93"/>
  <c r="J23" i="93"/>
  <c r="M24" i="93"/>
  <c r="J24" i="93"/>
  <c r="J16" i="93"/>
  <c r="J25" i="93"/>
  <c r="D24" i="93"/>
  <c r="D23" i="93"/>
  <c r="D22" i="93"/>
  <c r="M17" i="93"/>
  <c r="B2" i="93"/>
  <c r="M47" i="92"/>
  <c r="J50" i="92"/>
  <c r="C76" i="92"/>
  <c r="C75" i="92"/>
  <c r="L57" i="92"/>
  <c r="D9" i="1"/>
  <c r="L47" i="92"/>
  <c r="L58" i="92"/>
  <c r="L59" i="92"/>
  <c r="L60" i="92"/>
  <c r="Q66" i="92"/>
  <c r="Q74" i="92"/>
  <c r="K59" i="92"/>
  <c r="P74" i="92"/>
  <c r="Q73" i="92"/>
  <c r="Q72" i="92"/>
  <c r="Q71" i="92"/>
  <c r="F71" i="92"/>
  <c r="F51" i="92"/>
  <c r="F50" i="92"/>
  <c r="C49" i="92"/>
  <c r="C53" i="92"/>
  <c r="C48" i="92"/>
  <c r="F60" i="92"/>
  <c r="C60" i="92"/>
  <c r="F61" i="92"/>
  <c r="C61" i="92"/>
  <c r="F62" i="92"/>
  <c r="F63" i="92"/>
  <c r="C62" i="92"/>
  <c r="C59" i="92"/>
  <c r="C57" i="92"/>
  <c r="F64" i="92"/>
  <c r="C64" i="92"/>
  <c r="C56" i="92"/>
  <c r="F65" i="92"/>
  <c r="C65" i="92"/>
  <c r="F66" i="92"/>
  <c r="C66" i="92"/>
  <c r="C58" i="92"/>
  <c r="C67" i="92"/>
  <c r="F68" i="92"/>
  <c r="F69" i="92"/>
  <c r="C68" i="92"/>
  <c r="C71" i="92"/>
  <c r="Q70" i="92"/>
  <c r="Q57" i="92"/>
  <c r="Q61" i="92"/>
  <c r="P61" i="92"/>
  <c r="Q60" i="92"/>
  <c r="Q59" i="92"/>
  <c r="N59" i="92"/>
  <c r="M59" i="92"/>
  <c r="F59" i="92"/>
  <c r="Q58" i="92"/>
  <c r="L56" i="92"/>
  <c r="I54" i="92"/>
  <c r="Q48" i="92"/>
  <c r="Q52" i="92"/>
  <c r="Q51" i="92"/>
  <c r="Q50" i="92"/>
  <c r="Q49" i="92"/>
  <c r="D46" i="92"/>
  <c r="F31" i="92"/>
  <c r="M29" i="92"/>
  <c r="M28" i="92"/>
  <c r="M27" i="92"/>
  <c r="M26" i="92"/>
  <c r="M18" i="92"/>
  <c r="J18" i="92"/>
  <c r="M19" i="92"/>
  <c r="J19" i="92"/>
  <c r="M20" i="92"/>
  <c r="M21" i="92"/>
  <c r="J20" i="92"/>
  <c r="J17" i="92"/>
  <c r="J14" i="92"/>
  <c r="M22" i="92"/>
  <c r="J22" i="92"/>
  <c r="J15" i="92"/>
  <c r="J13" i="92"/>
  <c r="M23" i="92"/>
  <c r="J23" i="92"/>
  <c r="M24" i="92"/>
  <c r="J24" i="92"/>
  <c r="J16" i="92"/>
  <c r="J25" i="92"/>
  <c r="D24" i="92"/>
  <c r="D23" i="92"/>
  <c r="D22" i="92"/>
  <c r="M17" i="92"/>
  <c r="M47" i="91"/>
  <c r="J50" i="91"/>
  <c r="C83" i="91"/>
  <c r="C82" i="91"/>
  <c r="C76" i="91"/>
  <c r="C75" i="91"/>
  <c r="C80" i="91"/>
  <c r="C79" i="91"/>
  <c r="Q65" i="91"/>
  <c r="L51" i="91"/>
  <c r="L57" i="91"/>
  <c r="D10" i="1"/>
  <c r="L47" i="91"/>
  <c r="L58" i="91"/>
  <c r="L59" i="91"/>
  <c r="L60" i="91"/>
  <c r="Q66" i="91"/>
  <c r="Q75" i="91"/>
  <c r="Q74" i="91"/>
  <c r="K59" i="91"/>
  <c r="P74" i="91"/>
  <c r="Q73" i="91"/>
  <c r="Q72" i="91"/>
  <c r="Q71" i="91"/>
  <c r="F71" i="91"/>
  <c r="F51" i="91"/>
  <c r="F50" i="91"/>
  <c r="C49" i="91"/>
  <c r="C53" i="91"/>
  <c r="C48" i="91"/>
  <c r="F60" i="91"/>
  <c r="C60" i="91"/>
  <c r="F61" i="91"/>
  <c r="C61" i="91"/>
  <c r="F62" i="91"/>
  <c r="F63" i="91"/>
  <c r="C62" i="91"/>
  <c r="C59" i="91"/>
  <c r="C57" i="91"/>
  <c r="F64" i="91"/>
  <c r="C64" i="91"/>
  <c r="C56" i="91"/>
  <c r="F65" i="91"/>
  <c r="C65" i="91"/>
  <c r="F66" i="91"/>
  <c r="C66" i="91"/>
  <c r="C58" i="91"/>
  <c r="C67" i="91"/>
  <c r="F68" i="91"/>
  <c r="F69" i="91"/>
  <c r="C68" i="91"/>
  <c r="C71" i="91"/>
  <c r="Q70" i="91"/>
  <c r="Q69" i="91"/>
  <c r="Q68" i="91"/>
  <c r="Q67" i="91"/>
  <c r="Q56" i="91"/>
  <c r="Q57" i="91"/>
  <c r="Q62" i="91"/>
  <c r="Q61" i="91"/>
  <c r="P61" i="91"/>
  <c r="Q60" i="91"/>
  <c r="Q59" i="91"/>
  <c r="N59" i="91"/>
  <c r="M59" i="91"/>
  <c r="F59" i="91"/>
  <c r="Q58" i="91"/>
  <c r="L56" i="91"/>
  <c r="I54" i="91"/>
  <c r="Q47" i="91"/>
  <c r="Q48" i="91"/>
  <c r="Q53" i="91"/>
  <c r="Q52" i="91"/>
  <c r="Q51" i="91"/>
  <c r="Q50" i="91"/>
  <c r="Q49" i="91"/>
  <c r="D46" i="91"/>
  <c r="C45" i="91"/>
  <c r="C46" i="91"/>
  <c r="C43" i="91"/>
  <c r="F31" i="91"/>
  <c r="M29" i="91"/>
  <c r="M28" i="91"/>
  <c r="M27" i="91"/>
  <c r="M26" i="91"/>
  <c r="M18" i="91"/>
  <c r="J18" i="91"/>
  <c r="M19" i="91"/>
  <c r="J19" i="91"/>
  <c r="M20" i="91"/>
  <c r="M21" i="91"/>
  <c r="J20" i="91"/>
  <c r="J17" i="91"/>
  <c r="J14" i="91"/>
  <c r="M22" i="91"/>
  <c r="J22" i="91"/>
  <c r="J15" i="91"/>
  <c r="J13" i="91"/>
  <c r="M23" i="91"/>
  <c r="J23" i="91"/>
  <c r="M24" i="91"/>
  <c r="J24" i="91"/>
  <c r="J16" i="91"/>
  <c r="J25" i="91"/>
  <c r="D24" i="91"/>
  <c r="D23" i="91"/>
  <c r="D22" i="91"/>
  <c r="M17" i="91"/>
  <c r="B2" i="91"/>
  <c r="M47" i="90"/>
  <c r="J50" i="90"/>
  <c r="C83" i="90"/>
  <c r="C82" i="90"/>
  <c r="C76" i="90"/>
  <c r="C75" i="90"/>
  <c r="C80" i="90"/>
  <c r="C79" i="90"/>
  <c r="Q65" i="90"/>
  <c r="L51" i="90"/>
  <c r="L57" i="90"/>
  <c r="D11" i="1"/>
  <c r="L47" i="90"/>
  <c r="L58" i="90"/>
  <c r="L59" i="90"/>
  <c r="L60" i="90"/>
  <c r="Q66" i="90"/>
  <c r="Q75" i="90"/>
  <c r="Q74" i="90"/>
  <c r="K59" i="90"/>
  <c r="P74" i="90"/>
  <c r="Q73" i="90"/>
  <c r="Q72" i="90"/>
  <c r="Q71" i="90"/>
  <c r="F71" i="90"/>
  <c r="F51" i="90"/>
  <c r="F50" i="90"/>
  <c r="C49" i="90"/>
  <c r="C53" i="90"/>
  <c r="C48" i="90"/>
  <c r="F60" i="90"/>
  <c r="C60" i="90"/>
  <c r="F61" i="90"/>
  <c r="C61" i="90"/>
  <c r="F62" i="90"/>
  <c r="F63" i="90"/>
  <c r="C62" i="90"/>
  <c r="C59" i="90"/>
  <c r="C57" i="90"/>
  <c r="F64" i="90"/>
  <c r="C64" i="90"/>
  <c r="C56" i="90"/>
  <c r="F65" i="90"/>
  <c r="C65" i="90"/>
  <c r="F66" i="90"/>
  <c r="C66" i="90"/>
  <c r="C58" i="90"/>
  <c r="C67" i="90"/>
  <c r="F68" i="90"/>
  <c r="F69" i="90"/>
  <c r="C68" i="90"/>
  <c r="C71" i="90"/>
  <c r="Q70" i="90"/>
  <c r="Q69" i="90"/>
  <c r="Q68" i="90"/>
  <c r="Q67" i="90"/>
  <c r="Q56" i="90"/>
  <c r="Q57" i="90"/>
  <c r="Q62" i="90"/>
  <c r="Q61" i="90"/>
  <c r="P61" i="90"/>
  <c r="Q60" i="90"/>
  <c r="Q59" i="90"/>
  <c r="N59" i="90"/>
  <c r="M59" i="90"/>
  <c r="F59" i="90"/>
  <c r="Q58" i="90"/>
  <c r="L56" i="90"/>
  <c r="I54" i="90"/>
  <c r="Q47" i="90"/>
  <c r="Q48" i="90"/>
  <c r="Q53" i="90"/>
  <c r="Q52" i="90"/>
  <c r="Q51" i="90"/>
  <c r="Q50" i="90"/>
  <c r="Q49" i="90"/>
  <c r="D46" i="90"/>
  <c r="C45" i="90"/>
  <c r="C46" i="90"/>
  <c r="C43" i="90"/>
  <c r="F31" i="90"/>
  <c r="M29" i="90"/>
  <c r="M28" i="90"/>
  <c r="M27" i="90"/>
  <c r="M26" i="90"/>
  <c r="M18" i="90"/>
  <c r="J18" i="90"/>
  <c r="M19" i="90"/>
  <c r="J19" i="90"/>
  <c r="M20" i="90"/>
  <c r="M21" i="90"/>
  <c r="J20" i="90"/>
  <c r="J17" i="90"/>
  <c r="J14" i="90"/>
  <c r="M22" i="90"/>
  <c r="J22" i="90"/>
  <c r="J15" i="90"/>
  <c r="J13" i="90"/>
  <c r="M23" i="90"/>
  <c r="J23" i="90"/>
  <c r="M24" i="90"/>
  <c r="J24" i="90"/>
  <c r="J16" i="90"/>
  <c r="J25" i="90"/>
  <c r="D24" i="90"/>
  <c r="D23" i="90"/>
  <c r="D22" i="90"/>
  <c r="M17" i="90"/>
  <c r="B2" i="90"/>
  <c r="M47" i="89"/>
  <c r="J50" i="89"/>
  <c r="C83" i="89"/>
  <c r="C82" i="89"/>
  <c r="C76" i="89"/>
  <c r="C75" i="89"/>
  <c r="C80" i="89"/>
  <c r="C79" i="89"/>
  <c r="Q65" i="89"/>
  <c r="L51" i="89"/>
  <c r="L57" i="89"/>
  <c r="D7" i="1"/>
  <c r="L47" i="89"/>
  <c r="L58" i="89"/>
  <c r="L59" i="89"/>
  <c r="L60" i="89"/>
  <c r="Q66" i="89"/>
  <c r="Q75" i="89"/>
  <c r="Q74" i="89"/>
  <c r="K59" i="89"/>
  <c r="P74" i="89"/>
  <c r="Q73" i="89"/>
  <c r="Q72" i="89"/>
  <c r="Q71" i="89"/>
  <c r="F71" i="89"/>
  <c r="F51" i="89"/>
  <c r="F50" i="89"/>
  <c r="C49" i="89"/>
  <c r="C53" i="89"/>
  <c r="C48" i="89"/>
  <c r="F60" i="89"/>
  <c r="C60" i="89"/>
  <c r="F61" i="89"/>
  <c r="C61" i="89"/>
  <c r="F62" i="89"/>
  <c r="F63" i="89"/>
  <c r="C62" i="89"/>
  <c r="C59" i="89"/>
  <c r="C57" i="89"/>
  <c r="F64" i="89"/>
  <c r="C64" i="89"/>
  <c r="C56" i="89"/>
  <c r="F65" i="89"/>
  <c r="C65" i="89"/>
  <c r="F66" i="89"/>
  <c r="C66" i="89"/>
  <c r="C58" i="89"/>
  <c r="C67" i="89"/>
  <c r="F68" i="89"/>
  <c r="F69" i="89"/>
  <c r="C68" i="89"/>
  <c r="C71" i="89"/>
  <c r="Q70" i="89"/>
  <c r="Q69" i="89"/>
  <c r="Q68" i="89"/>
  <c r="Q67" i="89"/>
  <c r="Q56" i="89"/>
  <c r="Q57" i="89"/>
  <c r="Q62" i="89"/>
  <c r="Q61" i="89"/>
  <c r="P61" i="89"/>
  <c r="Q60" i="89"/>
  <c r="Q59" i="89"/>
  <c r="N59" i="89"/>
  <c r="M59" i="89"/>
  <c r="F59" i="89"/>
  <c r="Q58" i="89"/>
  <c r="L56" i="89"/>
  <c r="I54" i="89"/>
  <c r="Q47" i="89"/>
  <c r="Q48" i="89"/>
  <c r="Q53" i="89"/>
  <c r="Q52" i="89"/>
  <c r="Q51" i="89"/>
  <c r="Q50" i="89"/>
  <c r="Q49" i="89"/>
  <c r="D46" i="89"/>
  <c r="C45" i="89"/>
  <c r="C46" i="89"/>
  <c r="C43" i="89"/>
  <c r="F31" i="89"/>
  <c r="M29" i="89"/>
  <c r="M28" i="89"/>
  <c r="M27" i="89"/>
  <c r="M26" i="89"/>
  <c r="M18" i="89"/>
  <c r="J18" i="89"/>
  <c r="M19" i="89"/>
  <c r="J19" i="89"/>
  <c r="M20" i="89"/>
  <c r="M21" i="89"/>
  <c r="J20" i="89"/>
  <c r="J17" i="89"/>
  <c r="J14" i="89"/>
  <c r="M22" i="89"/>
  <c r="J22" i="89"/>
  <c r="J15" i="89"/>
  <c r="J13" i="89"/>
  <c r="M23" i="89"/>
  <c r="J23" i="89"/>
  <c r="M24" i="89"/>
  <c r="J24" i="89"/>
  <c r="J16" i="89"/>
  <c r="J25" i="89"/>
  <c r="D24" i="89"/>
  <c r="D23" i="89"/>
  <c r="D22" i="89"/>
  <c r="M17" i="89"/>
  <c r="B2" i="89"/>
  <c r="J50" i="88"/>
  <c r="C83" i="88"/>
  <c r="C82" i="88"/>
  <c r="C76" i="88"/>
  <c r="C75" i="88"/>
  <c r="C80" i="88"/>
  <c r="C79" i="88"/>
  <c r="Q65" i="88"/>
  <c r="L51" i="88"/>
  <c r="L57" i="88"/>
  <c r="D6" i="1"/>
  <c r="L47" i="88"/>
  <c r="L58" i="88"/>
  <c r="L59" i="88"/>
  <c r="L60" i="88"/>
  <c r="Q66" i="88"/>
  <c r="Q75" i="88"/>
  <c r="Q74" i="88"/>
  <c r="K59" i="88"/>
  <c r="P74" i="88"/>
  <c r="Q73" i="88"/>
  <c r="Q72" i="88"/>
  <c r="Q71" i="88"/>
  <c r="F71" i="88"/>
  <c r="F51" i="88"/>
  <c r="F50" i="88"/>
  <c r="C49" i="88"/>
  <c r="C53" i="88"/>
  <c r="C48" i="88"/>
  <c r="F60" i="88"/>
  <c r="C60" i="88"/>
  <c r="F61" i="88"/>
  <c r="C61" i="88"/>
  <c r="F62" i="88"/>
  <c r="F63" i="88"/>
  <c r="C62" i="88"/>
  <c r="C59" i="88"/>
  <c r="C57" i="88"/>
  <c r="F64" i="88"/>
  <c r="C64" i="88"/>
  <c r="C56" i="88"/>
  <c r="F65" i="88"/>
  <c r="C65" i="88"/>
  <c r="F66" i="88"/>
  <c r="C66" i="88"/>
  <c r="C58" i="88"/>
  <c r="C67" i="88"/>
  <c r="F68" i="88"/>
  <c r="F69" i="88"/>
  <c r="C68" i="88"/>
  <c r="C71" i="88"/>
  <c r="Q70" i="88"/>
  <c r="Q69" i="88"/>
  <c r="Q68" i="88"/>
  <c r="Q67" i="88"/>
  <c r="Q56" i="88"/>
  <c r="Q57" i="88"/>
  <c r="Q62" i="88"/>
  <c r="Q61" i="88"/>
  <c r="P61" i="88"/>
  <c r="Q60" i="88"/>
  <c r="Q59" i="88"/>
  <c r="N59" i="88"/>
  <c r="M59" i="88"/>
  <c r="F59" i="88"/>
  <c r="Q58" i="88"/>
  <c r="L56" i="88"/>
  <c r="I54" i="88"/>
  <c r="Q47" i="88"/>
  <c r="Q48" i="88"/>
  <c r="Q53" i="88"/>
  <c r="Q52" i="88"/>
  <c r="Q51" i="88"/>
  <c r="Q50" i="88"/>
  <c r="Q49" i="88"/>
  <c r="D46" i="88"/>
  <c r="C45" i="88"/>
  <c r="C46" i="88"/>
  <c r="C43" i="88"/>
  <c r="F31" i="88"/>
  <c r="M29" i="88"/>
  <c r="M28" i="88"/>
  <c r="M27" i="88"/>
  <c r="M26" i="88"/>
  <c r="M18" i="88"/>
  <c r="J18" i="88"/>
  <c r="M19" i="88"/>
  <c r="J19" i="88"/>
  <c r="M20" i="88"/>
  <c r="M21" i="88"/>
  <c r="J20" i="88"/>
  <c r="J17" i="88"/>
  <c r="J14" i="88"/>
  <c r="M22" i="88"/>
  <c r="J22" i="88"/>
  <c r="J15" i="88"/>
  <c r="J13" i="88"/>
  <c r="M23" i="88"/>
  <c r="J23" i="88"/>
  <c r="M24" i="88"/>
  <c r="J24" i="88"/>
  <c r="J16" i="88"/>
  <c r="J25" i="88"/>
  <c r="D24" i="88"/>
  <c r="D23" i="88"/>
  <c r="D22" i="88"/>
  <c r="M17" i="88"/>
  <c r="Y6" i="1"/>
  <c r="F36" i="86"/>
  <c r="AP6" i="1"/>
  <c r="AP7" i="1"/>
  <c r="AP8" i="1"/>
  <c r="AP9" i="1"/>
  <c r="AP10" i="1"/>
  <c r="AP11" i="1"/>
  <c r="AP12" i="1"/>
  <c r="AP13" i="1"/>
  <c r="E19" i="86"/>
  <c r="F48" i="86"/>
  <c r="G41" i="86"/>
  <c r="F41" i="86"/>
  <c r="F40" i="86"/>
  <c r="F39" i="86"/>
  <c r="G22" i="86"/>
  <c r="E2" i="86"/>
  <c r="H1" i="86"/>
  <c r="F36" i="85"/>
  <c r="E19" i="85"/>
  <c r="F48" i="85"/>
  <c r="G41" i="85"/>
  <c r="F41" i="85"/>
  <c r="F40" i="85"/>
  <c r="F39" i="85"/>
  <c r="G22" i="85"/>
  <c r="E2" i="85"/>
  <c r="H1" i="85"/>
  <c r="F36" i="84"/>
  <c r="E19" i="84"/>
  <c r="F48" i="84"/>
  <c r="G41" i="84"/>
  <c r="F41" i="84"/>
  <c r="F40" i="84"/>
  <c r="F39" i="84"/>
  <c r="G22" i="84"/>
  <c r="E2" i="84"/>
  <c r="H1" i="84"/>
  <c r="F36" i="83"/>
  <c r="E19" i="83"/>
  <c r="F48" i="83"/>
  <c r="G41" i="83"/>
  <c r="F41" i="83"/>
  <c r="F40" i="83"/>
  <c r="F39" i="83"/>
  <c r="G22" i="83"/>
  <c r="E2" i="83"/>
  <c r="H1" i="83"/>
  <c r="F36" i="82"/>
  <c r="E19" i="82"/>
  <c r="F48" i="82"/>
  <c r="G41" i="82"/>
  <c r="F41" i="82"/>
  <c r="F40" i="82"/>
  <c r="F39" i="82"/>
  <c r="G22" i="82"/>
  <c r="E2" i="82"/>
  <c r="H1" i="82"/>
  <c r="D33" i="43"/>
  <c r="D1" i="43"/>
  <c r="B3" i="43"/>
  <c r="C25" i="43"/>
  <c r="C33" i="43"/>
  <c r="H42" i="81"/>
  <c r="I42" i="81"/>
  <c r="G72" i="79"/>
  <c r="F71" i="79"/>
  <c r="F72" i="79"/>
  <c r="F73" i="79"/>
  <c r="F74" i="79"/>
  <c r="F75" i="79"/>
  <c r="F76" i="79"/>
  <c r="F77" i="79"/>
  <c r="F78" i="79"/>
  <c r="F79" i="79"/>
  <c r="F68" i="79"/>
  <c r="F69" i="79"/>
  <c r="F70" i="79"/>
  <c r="F57" i="79"/>
  <c r="F58" i="79"/>
  <c r="F59" i="79"/>
  <c r="F60" i="79"/>
  <c r="F61" i="79"/>
  <c r="F62" i="79"/>
  <c r="F63" i="79"/>
  <c r="F64" i="79"/>
  <c r="F65" i="79"/>
  <c r="F66" i="79"/>
  <c r="F67" i="79"/>
  <c r="F56" i="79"/>
  <c r="T7" i="79"/>
  <c r="B116" i="81"/>
  <c r="I122" i="81"/>
  <c r="J122" i="81"/>
  <c r="K122" i="81"/>
  <c r="L122" i="81"/>
  <c r="M122" i="81"/>
  <c r="D122" i="81"/>
  <c r="E122" i="81"/>
  <c r="F122" i="81"/>
  <c r="G122" i="81"/>
  <c r="H122" i="81"/>
  <c r="B122" i="81"/>
  <c r="C122" i="81"/>
  <c r="I121" i="81"/>
  <c r="J121" i="81"/>
  <c r="K121" i="81"/>
  <c r="L121" i="81"/>
  <c r="M121" i="81"/>
  <c r="G121" i="81"/>
  <c r="H121" i="81"/>
  <c r="D121" i="81"/>
  <c r="E121" i="81"/>
  <c r="F121" i="81"/>
  <c r="B121" i="81"/>
  <c r="C121" i="81"/>
  <c r="I120" i="81"/>
  <c r="J120" i="81"/>
  <c r="K120" i="81"/>
  <c r="L120" i="81"/>
  <c r="M120" i="81"/>
  <c r="D120" i="81"/>
  <c r="E120" i="81"/>
  <c r="F120" i="81"/>
  <c r="G120" i="81"/>
  <c r="H120" i="81"/>
  <c r="B120" i="81"/>
  <c r="C120" i="81"/>
  <c r="I119" i="81"/>
  <c r="J119" i="81"/>
  <c r="K119" i="81"/>
  <c r="L119" i="81"/>
  <c r="M119" i="81"/>
  <c r="D119" i="81"/>
  <c r="E119" i="81"/>
  <c r="F119" i="81"/>
  <c r="G119" i="81"/>
  <c r="H119" i="81"/>
  <c r="B119" i="81"/>
  <c r="C119" i="81"/>
  <c r="I118" i="81"/>
  <c r="J118" i="81"/>
  <c r="K118" i="81"/>
  <c r="L118" i="81"/>
  <c r="M118" i="81"/>
  <c r="D118" i="81"/>
  <c r="E118" i="81"/>
  <c r="F118" i="81"/>
  <c r="G118" i="81"/>
  <c r="H118" i="81"/>
  <c r="B118" i="81"/>
  <c r="C118" i="81"/>
  <c r="G2" i="81"/>
  <c r="H116" i="81"/>
  <c r="F116" i="81"/>
  <c r="D116" i="81"/>
  <c r="N111" i="81"/>
  <c r="N112" i="81"/>
  <c r="M111" i="81"/>
  <c r="M112" i="81"/>
  <c r="L111" i="81"/>
  <c r="L112" i="81"/>
  <c r="K111" i="81"/>
  <c r="K112" i="81"/>
  <c r="J111" i="81"/>
  <c r="J112" i="81"/>
  <c r="I111" i="81"/>
  <c r="I112" i="81"/>
  <c r="H111" i="81"/>
  <c r="H112" i="81"/>
  <c r="G111" i="81"/>
  <c r="G112" i="81"/>
  <c r="F111" i="81"/>
  <c r="F112" i="81"/>
  <c r="E111" i="81"/>
  <c r="E112" i="81"/>
  <c r="D111" i="81"/>
  <c r="D112" i="81"/>
  <c r="C111" i="81"/>
  <c r="C112" i="81"/>
  <c r="M101" i="81"/>
  <c r="N101" i="81"/>
  <c r="K101" i="81"/>
  <c r="J101" i="81"/>
  <c r="F93" i="81"/>
  <c r="H101" i="81"/>
  <c r="D101" i="81"/>
  <c r="C20" i="20"/>
  <c r="B101" i="81"/>
  <c r="M100" i="81"/>
  <c r="N100" i="81"/>
  <c r="K100" i="81"/>
  <c r="J100" i="81"/>
  <c r="H100" i="81"/>
  <c r="D100" i="81"/>
  <c r="B100" i="81"/>
  <c r="M99" i="81"/>
  <c r="N99" i="81"/>
  <c r="K99" i="81"/>
  <c r="J99" i="81"/>
  <c r="H99" i="81"/>
  <c r="D99" i="81"/>
  <c r="C21" i="20"/>
  <c r="B99" i="81"/>
  <c r="M98" i="81"/>
  <c r="N98" i="81"/>
  <c r="K98" i="81"/>
  <c r="J98" i="81"/>
  <c r="H98" i="81"/>
  <c r="D98" i="81"/>
  <c r="M97" i="81"/>
  <c r="N97" i="81"/>
  <c r="K97" i="81"/>
  <c r="J97" i="81"/>
  <c r="H97" i="81"/>
  <c r="D97" i="81"/>
  <c r="B97" i="81"/>
  <c r="M96" i="81"/>
  <c r="N96" i="81"/>
  <c r="K96" i="81"/>
  <c r="J96" i="81"/>
  <c r="H96" i="81"/>
  <c r="D96" i="81"/>
  <c r="M95" i="81"/>
  <c r="N95" i="81"/>
  <c r="K95" i="81"/>
  <c r="J95" i="81"/>
  <c r="H95" i="81"/>
  <c r="D95" i="81"/>
  <c r="B95" i="81"/>
  <c r="M94" i="81"/>
  <c r="N94" i="81"/>
  <c r="K94" i="81"/>
  <c r="J94" i="81"/>
  <c r="H94" i="81"/>
  <c r="D94" i="81"/>
  <c r="C18" i="20"/>
  <c r="B94" i="81"/>
  <c r="M93" i="81"/>
  <c r="N93" i="81"/>
  <c r="K93" i="81"/>
  <c r="J93" i="81"/>
  <c r="H93" i="81"/>
  <c r="D93" i="81"/>
  <c r="E93" i="81"/>
  <c r="B91" i="81"/>
  <c r="M90" i="81"/>
  <c r="N90" i="81"/>
  <c r="K90" i="81"/>
  <c r="J90" i="81"/>
  <c r="F83" i="81"/>
  <c r="H90" i="81"/>
  <c r="D90" i="81"/>
  <c r="B90" i="81"/>
  <c r="M89" i="81"/>
  <c r="N89" i="81"/>
  <c r="K89" i="81"/>
  <c r="J89" i="81"/>
  <c r="H89" i="81"/>
  <c r="D89" i="81"/>
  <c r="M88" i="81"/>
  <c r="N88" i="81"/>
  <c r="K88" i="81"/>
  <c r="J88" i="81"/>
  <c r="H88" i="81"/>
  <c r="D88" i="81"/>
  <c r="B88" i="81"/>
  <c r="M87" i="81"/>
  <c r="N87" i="81"/>
  <c r="K87" i="81"/>
  <c r="J87" i="81"/>
  <c r="H87" i="81"/>
  <c r="D87" i="81"/>
  <c r="B87" i="81"/>
  <c r="M86" i="81"/>
  <c r="N86" i="81"/>
  <c r="K86" i="81"/>
  <c r="J86" i="81"/>
  <c r="H86" i="81"/>
  <c r="D86" i="81"/>
  <c r="B86" i="81"/>
  <c r="M85" i="81"/>
  <c r="N85" i="81"/>
  <c r="K85" i="81"/>
  <c r="J85" i="81"/>
  <c r="H85" i="81"/>
  <c r="D85" i="81"/>
  <c r="B85" i="81"/>
  <c r="M84" i="81"/>
  <c r="N84" i="81"/>
  <c r="K84" i="81"/>
  <c r="J84" i="81"/>
  <c r="H84" i="81"/>
  <c r="D84" i="81"/>
  <c r="B84" i="81"/>
  <c r="M83" i="81"/>
  <c r="N83" i="81"/>
  <c r="K83" i="81"/>
  <c r="J83" i="81"/>
  <c r="H83" i="81"/>
  <c r="D83" i="81"/>
  <c r="E83" i="81"/>
  <c r="B83" i="81"/>
  <c r="B81" i="81"/>
  <c r="M80" i="81"/>
  <c r="N80" i="81"/>
  <c r="K80" i="81"/>
  <c r="J80" i="81"/>
  <c r="F72" i="81"/>
  <c r="H80" i="81"/>
  <c r="D80" i="81"/>
  <c r="M79" i="81"/>
  <c r="N79" i="81"/>
  <c r="K79" i="81"/>
  <c r="J79" i="81"/>
  <c r="H79" i="81"/>
  <c r="D79" i="81"/>
  <c r="B79" i="81"/>
  <c r="M78" i="81"/>
  <c r="N78" i="81"/>
  <c r="K78" i="81"/>
  <c r="J78" i="81"/>
  <c r="H78" i="81"/>
  <c r="D78" i="81"/>
  <c r="M77" i="81"/>
  <c r="N77" i="81"/>
  <c r="K77" i="81"/>
  <c r="J77" i="81"/>
  <c r="H77" i="81"/>
  <c r="D77" i="81"/>
  <c r="B77" i="81"/>
  <c r="M76" i="81"/>
  <c r="N76" i="81"/>
  <c r="K76" i="81"/>
  <c r="J76" i="81"/>
  <c r="H76" i="81"/>
  <c r="D76" i="81"/>
  <c r="B76" i="81"/>
  <c r="M75" i="81"/>
  <c r="N75" i="81"/>
  <c r="K75" i="81"/>
  <c r="J75" i="81"/>
  <c r="H75" i="81"/>
  <c r="D75" i="81"/>
  <c r="B75" i="81"/>
  <c r="M74" i="81"/>
  <c r="N74" i="81"/>
  <c r="K74" i="81"/>
  <c r="J74" i="81"/>
  <c r="H74" i="81"/>
  <c r="D74" i="81"/>
  <c r="B74" i="81"/>
  <c r="M73" i="81"/>
  <c r="N73" i="81"/>
  <c r="K73" i="81"/>
  <c r="J73" i="81"/>
  <c r="H73" i="81"/>
  <c r="D73" i="81"/>
  <c r="B73" i="81"/>
  <c r="M72" i="81"/>
  <c r="N72" i="81"/>
  <c r="K72" i="81"/>
  <c r="J72" i="81"/>
  <c r="H72" i="81"/>
  <c r="D72" i="81"/>
  <c r="E72" i="81"/>
  <c r="C15" i="20"/>
  <c r="B72" i="81"/>
  <c r="B70" i="81"/>
  <c r="M69" i="81"/>
  <c r="N69" i="81"/>
  <c r="K69" i="81"/>
  <c r="J69" i="81"/>
  <c r="I2" i="81"/>
  <c r="N4" i="81"/>
  <c r="F61" i="81"/>
  <c r="H69" i="81"/>
  <c r="D69" i="81"/>
  <c r="B69" i="81"/>
  <c r="M68" i="81"/>
  <c r="N68" i="81"/>
  <c r="K68" i="81"/>
  <c r="J68" i="81"/>
  <c r="H68" i="81"/>
  <c r="D68" i="81"/>
  <c r="B68" i="81"/>
  <c r="M67" i="81"/>
  <c r="N67" i="81"/>
  <c r="K67" i="81"/>
  <c r="J67" i="81"/>
  <c r="H67" i="81"/>
  <c r="D67" i="81"/>
  <c r="B67" i="81"/>
  <c r="M66" i="81"/>
  <c r="N66" i="81"/>
  <c r="K66" i="81"/>
  <c r="J66" i="81"/>
  <c r="H66" i="81"/>
  <c r="D66" i="81"/>
  <c r="M65" i="81"/>
  <c r="N65" i="81"/>
  <c r="K65" i="81"/>
  <c r="J65" i="81"/>
  <c r="H65" i="81"/>
  <c r="D65" i="81"/>
  <c r="B65" i="81"/>
  <c r="M64" i="81"/>
  <c r="N64" i="81"/>
  <c r="K64" i="81"/>
  <c r="J64" i="81"/>
  <c r="H64" i="81"/>
  <c r="D64" i="81"/>
  <c r="M63" i="81"/>
  <c r="N63" i="81"/>
  <c r="K63" i="81"/>
  <c r="J63" i="81"/>
  <c r="H63" i="81"/>
  <c r="D63" i="81"/>
  <c r="B63" i="81"/>
  <c r="M62" i="81"/>
  <c r="N62" i="81"/>
  <c r="K62" i="81"/>
  <c r="J62" i="81"/>
  <c r="H62" i="81"/>
  <c r="D62" i="81"/>
  <c r="B62" i="81"/>
  <c r="M61" i="81"/>
  <c r="N61" i="81"/>
  <c r="K61" i="81"/>
  <c r="J61" i="81"/>
  <c r="H61" i="81"/>
  <c r="D61" i="81"/>
  <c r="E61" i="81"/>
  <c r="C17" i="20"/>
  <c r="B61" i="81"/>
  <c r="B59" i="81"/>
  <c r="M58" i="81"/>
  <c r="N58" i="81"/>
  <c r="K58" i="81"/>
  <c r="J58" i="81"/>
  <c r="F50" i="81"/>
  <c r="H58" i="81"/>
  <c r="D58" i="81"/>
  <c r="B58" i="81"/>
  <c r="M57" i="81"/>
  <c r="N57" i="81"/>
  <c r="K57" i="81"/>
  <c r="J57" i="81"/>
  <c r="H57" i="81"/>
  <c r="D57" i="81"/>
  <c r="B57" i="81"/>
  <c r="M56" i="81"/>
  <c r="N56" i="81"/>
  <c r="K56" i="81"/>
  <c r="J56" i="81"/>
  <c r="H56" i="81"/>
  <c r="D56" i="81"/>
  <c r="B56" i="81"/>
  <c r="M55" i="81"/>
  <c r="N55" i="81"/>
  <c r="K55" i="81"/>
  <c r="J55" i="81"/>
  <c r="H55" i="81"/>
  <c r="D55" i="81"/>
  <c r="M54" i="81"/>
  <c r="N54" i="81"/>
  <c r="K54" i="81"/>
  <c r="J54" i="81"/>
  <c r="H54" i="81"/>
  <c r="D54" i="81"/>
  <c r="B54" i="81"/>
  <c r="M53" i="81"/>
  <c r="N53" i="81"/>
  <c r="K53" i="81"/>
  <c r="J53" i="81"/>
  <c r="H53" i="81"/>
  <c r="D53" i="81"/>
  <c r="M52" i="81"/>
  <c r="N52" i="81"/>
  <c r="K52" i="81"/>
  <c r="J52" i="81"/>
  <c r="H52" i="81"/>
  <c r="D52" i="81"/>
  <c r="B52" i="81"/>
  <c r="M51" i="81"/>
  <c r="N51" i="81"/>
  <c r="K51" i="81"/>
  <c r="J51" i="81"/>
  <c r="H51" i="81"/>
  <c r="D51" i="81"/>
  <c r="B51" i="81"/>
  <c r="M50" i="81"/>
  <c r="N50" i="81"/>
  <c r="K50" i="81"/>
  <c r="J50" i="81"/>
  <c r="H50" i="81"/>
  <c r="D50" i="81"/>
  <c r="E50" i="81"/>
  <c r="B50" i="81"/>
  <c r="B48" i="81"/>
  <c r="M4" i="81"/>
  <c r="C6" i="81"/>
  <c r="H21" i="81"/>
  <c r="I21" i="81"/>
  <c r="J21" i="81"/>
  <c r="K21" i="81"/>
  <c r="L21" i="81"/>
  <c r="M21" i="81"/>
  <c r="N21" i="81"/>
  <c r="O21" i="81"/>
  <c r="G21" i="81"/>
  <c r="E21" i="81"/>
  <c r="C21" i="81"/>
  <c r="C22" i="81"/>
  <c r="W7" i="79"/>
  <c r="F42" i="81"/>
  <c r="F41" i="81"/>
  <c r="J24" i="81"/>
  <c r="F40" i="81"/>
  <c r="F39" i="81"/>
  <c r="G39" i="81"/>
  <c r="H39" i="81"/>
  <c r="I39" i="81"/>
  <c r="F38" i="81"/>
  <c r="G38" i="81"/>
  <c r="H38" i="81"/>
  <c r="I38" i="81"/>
  <c r="L36" i="81"/>
  <c r="L37" i="81"/>
  <c r="Q37" i="81"/>
  <c r="P37" i="81"/>
  <c r="O37" i="81"/>
  <c r="N37" i="81"/>
  <c r="M37" i="81"/>
  <c r="F37" i="81"/>
  <c r="G37" i="81"/>
  <c r="H37" i="81"/>
  <c r="I37" i="81"/>
  <c r="Q36" i="81"/>
  <c r="P36" i="81"/>
  <c r="O36" i="81"/>
  <c r="N36" i="81"/>
  <c r="M36" i="81"/>
  <c r="C34" i="81"/>
  <c r="E34" i="81"/>
  <c r="E24" i="81"/>
  <c r="Q32" i="81"/>
  <c r="P32" i="81"/>
  <c r="O32" i="81"/>
  <c r="N32" i="81"/>
  <c r="M32" i="81"/>
  <c r="C31" i="81"/>
  <c r="P29" i="81"/>
  <c r="P28" i="81"/>
  <c r="P27" i="81"/>
  <c r="C27" i="81"/>
  <c r="P26" i="81"/>
  <c r="J26" i="81"/>
  <c r="P25" i="81"/>
  <c r="M24" i="81"/>
  <c r="O23" i="81"/>
  <c r="M23" i="81"/>
  <c r="I23" i="81"/>
  <c r="D21" i="81"/>
  <c r="I18" i="81"/>
  <c r="G18" i="81"/>
  <c r="G17" i="81"/>
  <c r="E17" i="81"/>
  <c r="T16" i="81"/>
  <c r="V16" i="81"/>
  <c r="T15" i="81"/>
  <c r="V15" i="81"/>
  <c r="T14" i="81"/>
  <c r="V14" i="81"/>
  <c r="T13" i="81"/>
  <c r="V13" i="81"/>
  <c r="C13" i="81"/>
  <c r="T12" i="81"/>
  <c r="V12" i="81"/>
  <c r="N12" i="81"/>
  <c r="M12" i="81"/>
  <c r="T11" i="81"/>
  <c r="V11" i="81"/>
  <c r="N11" i="81"/>
  <c r="M11" i="81"/>
  <c r="C10" i="81"/>
  <c r="C11" i="81"/>
  <c r="E11" i="81"/>
  <c r="AJ9" i="81"/>
  <c r="AJ10" i="81"/>
  <c r="AI9" i="81"/>
  <c r="AI10" i="81"/>
  <c r="AH9" i="81"/>
  <c r="AH10" i="81"/>
  <c r="AG9" i="81"/>
  <c r="AG10" i="81"/>
  <c r="AF9" i="81"/>
  <c r="AF10" i="81"/>
  <c r="AE9" i="81"/>
  <c r="AE10" i="81"/>
  <c r="AD9" i="81"/>
  <c r="AD10" i="81"/>
  <c r="AC9" i="81"/>
  <c r="AC10" i="81"/>
  <c r="AB9" i="81"/>
  <c r="AB10" i="81"/>
  <c r="AA9" i="81"/>
  <c r="AA10" i="81"/>
  <c r="Z9" i="81"/>
  <c r="Z10" i="81"/>
  <c r="Y10" i="81"/>
  <c r="T10" i="81"/>
  <c r="V10" i="81"/>
  <c r="N10" i="81"/>
  <c r="M10" i="81"/>
  <c r="E10" i="81"/>
  <c r="T9" i="81"/>
  <c r="V9" i="81"/>
  <c r="N9" i="81"/>
  <c r="M9" i="81"/>
  <c r="E9" i="81"/>
  <c r="C9" i="81"/>
  <c r="T8" i="81"/>
  <c r="V8" i="81"/>
  <c r="N8" i="81"/>
  <c r="M8" i="81"/>
  <c r="E8" i="81"/>
  <c r="Z7" i="81"/>
  <c r="X7" i="81"/>
  <c r="T7" i="81"/>
  <c r="V7" i="81"/>
  <c r="N7" i="81"/>
  <c r="M7" i="81"/>
  <c r="C7" i="81"/>
  <c r="S6" i="81"/>
  <c r="T6" i="81"/>
  <c r="V6" i="81"/>
  <c r="N6" i="81"/>
  <c r="M6" i="81"/>
  <c r="S5" i="81"/>
  <c r="T5" i="81"/>
  <c r="V5" i="81"/>
  <c r="N5" i="81"/>
  <c r="M5" i="81"/>
  <c r="S4" i="81"/>
  <c r="T4" i="81"/>
  <c r="V4" i="81"/>
  <c r="S3" i="81"/>
  <c r="T3" i="81"/>
  <c r="V3" i="81"/>
  <c r="N3" i="81"/>
  <c r="M3" i="81"/>
  <c r="D1" i="81"/>
  <c r="B3" i="81"/>
  <c r="S2" i="81"/>
  <c r="T2" i="81"/>
  <c r="V2" i="81"/>
  <c r="N2" i="81"/>
  <c r="M2" i="81"/>
  <c r="N1" i="81"/>
  <c r="M1" i="81"/>
  <c r="E27" i="45"/>
  <c r="G14" i="73"/>
  <c r="F14" i="73"/>
  <c r="E14" i="73"/>
  <c r="I12" i="79"/>
  <c r="M23" i="79"/>
  <c r="T23" i="79"/>
  <c r="W23" i="79"/>
  <c r="AK23" i="79"/>
  <c r="O23" i="79"/>
  <c r="V23" i="79"/>
  <c r="AJ23" i="79"/>
  <c r="N23" i="79"/>
  <c r="U23" i="79"/>
  <c r="AI23" i="79"/>
  <c r="AH23" i="79"/>
  <c r="L23" i="79"/>
  <c r="S23" i="79"/>
  <c r="AG23" i="79"/>
  <c r="K23" i="79"/>
  <c r="R23" i="79"/>
  <c r="AF23" i="79"/>
  <c r="M22" i="79"/>
  <c r="T22" i="79"/>
  <c r="W22" i="79"/>
  <c r="AK22" i="79"/>
  <c r="O22" i="79"/>
  <c r="V22" i="79"/>
  <c r="AJ22" i="79"/>
  <c r="N22" i="79"/>
  <c r="U22" i="79"/>
  <c r="AI22" i="79"/>
  <c r="AH22" i="79"/>
  <c r="L22" i="79"/>
  <c r="S22" i="79"/>
  <c r="AG22" i="79"/>
  <c r="K22" i="79"/>
  <c r="R22" i="79"/>
  <c r="AF22" i="79"/>
  <c r="M21" i="79"/>
  <c r="T21" i="79"/>
  <c r="W21" i="79"/>
  <c r="AK21" i="79"/>
  <c r="O21" i="79"/>
  <c r="V21" i="79"/>
  <c r="AJ21" i="79"/>
  <c r="N21" i="79"/>
  <c r="U21" i="79"/>
  <c r="AI21" i="79"/>
  <c r="AH21" i="79"/>
  <c r="L21" i="79"/>
  <c r="S21" i="79"/>
  <c r="AG21" i="79"/>
  <c r="K21" i="79"/>
  <c r="R21" i="79"/>
  <c r="AF21" i="79"/>
  <c r="M20" i="79"/>
  <c r="T20" i="79"/>
  <c r="W20" i="79"/>
  <c r="AK20" i="79"/>
  <c r="O20" i="79"/>
  <c r="V20" i="79"/>
  <c r="AJ20" i="79"/>
  <c r="N20" i="79"/>
  <c r="U20" i="79"/>
  <c r="AI20" i="79"/>
  <c r="AH20" i="79"/>
  <c r="L20" i="79"/>
  <c r="S20" i="79"/>
  <c r="AG20" i="79"/>
  <c r="K20" i="79"/>
  <c r="R20" i="79"/>
  <c r="AF20" i="79"/>
  <c r="M19" i="79"/>
  <c r="T19" i="79"/>
  <c r="W19" i="79"/>
  <c r="AK19" i="79"/>
  <c r="O19" i="79"/>
  <c r="V19" i="79"/>
  <c r="AJ19" i="79"/>
  <c r="N19" i="79"/>
  <c r="U19" i="79"/>
  <c r="AI19" i="79"/>
  <c r="AH19" i="79"/>
  <c r="L19" i="79"/>
  <c r="S19" i="79"/>
  <c r="AG19" i="79"/>
  <c r="K19" i="79"/>
  <c r="R19" i="79"/>
  <c r="AF19" i="79"/>
  <c r="M18" i="79"/>
  <c r="T18" i="79"/>
  <c r="W18" i="79"/>
  <c r="AK18" i="79"/>
  <c r="O18" i="79"/>
  <c r="V18" i="79"/>
  <c r="AJ18" i="79"/>
  <c r="N18" i="79"/>
  <c r="U18" i="79"/>
  <c r="AI18" i="79"/>
  <c r="AH18" i="79"/>
  <c r="L18" i="79"/>
  <c r="S18" i="79"/>
  <c r="AG18" i="79"/>
  <c r="K18" i="79"/>
  <c r="R18" i="79"/>
  <c r="AF18" i="79"/>
  <c r="M17" i="79"/>
  <c r="T17" i="79"/>
  <c r="W17" i="79"/>
  <c r="AK17" i="79"/>
  <c r="O17" i="79"/>
  <c r="V17" i="79"/>
  <c r="AJ17" i="79"/>
  <c r="N17" i="79"/>
  <c r="U17" i="79"/>
  <c r="AI17" i="79"/>
  <c r="AH17" i="79"/>
  <c r="L17" i="79"/>
  <c r="S17" i="79"/>
  <c r="AG17" i="79"/>
  <c r="K17" i="79"/>
  <c r="R17" i="79"/>
  <c r="AF17" i="79"/>
  <c r="M16" i="79"/>
  <c r="T16" i="79"/>
  <c r="W16" i="79"/>
  <c r="AK16" i="79"/>
  <c r="O16" i="79"/>
  <c r="V16" i="79"/>
  <c r="AJ16" i="79"/>
  <c r="N16" i="79"/>
  <c r="U16" i="79"/>
  <c r="AI16" i="79"/>
  <c r="AH16" i="79"/>
  <c r="L16" i="79"/>
  <c r="S16" i="79"/>
  <c r="AG16" i="79"/>
  <c r="K16" i="79"/>
  <c r="R16" i="79"/>
  <c r="AF16" i="79"/>
  <c r="M15" i="79"/>
  <c r="T15" i="79"/>
  <c r="W15" i="79"/>
  <c r="AK15" i="79"/>
  <c r="O15" i="79"/>
  <c r="V15" i="79"/>
  <c r="AJ15" i="79"/>
  <c r="N15" i="79"/>
  <c r="U15" i="79"/>
  <c r="AI15" i="79"/>
  <c r="AH15" i="79"/>
  <c r="L15" i="79"/>
  <c r="S15" i="79"/>
  <c r="AG15" i="79"/>
  <c r="K15" i="79"/>
  <c r="R15" i="79"/>
  <c r="AF15" i="79"/>
  <c r="M14" i="79"/>
  <c r="T14" i="79"/>
  <c r="W14" i="79"/>
  <c r="AK14" i="79"/>
  <c r="O14" i="79"/>
  <c r="V14" i="79"/>
  <c r="AJ14" i="79"/>
  <c r="N14" i="79"/>
  <c r="U14" i="79"/>
  <c r="AI14" i="79"/>
  <c r="AH14" i="79"/>
  <c r="L14" i="79"/>
  <c r="S14" i="79"/>
  <c r="AG14" i="79"/>
  <c r="K14" i="79"/>
  <c r="R14" i="79"/>
  <c r="AF14" i="79"/>
  <c r="M13" i="79"/>
  <c r="T13" i="79"/>
  <c r="W13" i="79"/>
  <c r="AK13" i="79"/>
  <c r="O13" i="79"/>
  <c r="V13" i="79"/>
  <c r="AJ13" i="79"/>
  <c r="N13" i="79"/>
  <c r="U13" i="79"/>
  <c r="AI13" i="79"/>
  <c r="AH13" i="79"/>
  <c r="L13" i="79"/>
  <c r="S13" i="79"/>
  <c r="AG13" i="79"/>
  <c r="K13" i="79"/>
  <c r="R13" i="79"/>
  <c r="AF13" i="79"/>
  <c r="M12" i="79"/>
  <c r="T12" i="79"/>
  <c r="W12" i="79"/>
  <c r="AK12" i="79"/>
  <c r="O12" i="79"/>
  <c r="V12" i="79"/>
  <c r="AJ12" i="79"/>
  <c r="N12" i="79"/>
  <c r="U12" i="79"/>
  <c r="AI12" i="79"/>
  <c r="AH12" i="79"/>
  <c r="L12" i="79"/>
  <c r="S12" i="79"/>
  <c r="AG12" i="79"/>
  <c r="K12" i="79"/>
  <c r="R12" i="79"/>
  <c r="AF12" i="79"/>
  <c r="M11" i="79"/>
  <c r="T11" i="79"/>
  <c r="W11" i="79"/>
  <c r="AK11" i="79"/>
  <c r="O11" i="79"/>
  <c r="V11" i="79"/>
  <c r="AJ11" i="79"/>
  <c r="N11" i="79"/>
  <c r="U11" i="79"/>
  <c r="AI11" i="79"/>
  <c r="AH11" i="79"/>
  <c r="L11" i="79"/>
  <c r="S11" i="79"/>
  <c r="AG11" i="79"/>
  <c r="K11" i="79"/>
  <c r="R11" i="79"/>
  <c r="AF11" i="79"/>
  <c r="M10" i="79"/>
  <c r="T10" i="79"/>
  <c r="W10" i="79"/>
  <c r="AK10" i="79"/>
  <c r="O10" i="79"/>
  <c r="V10" i="79"/>
  <c r="AJ10" i="79"/>
  <c r="N10" i="79"/>
  <c r="U10" i="79"/>
  <c r="AI10" i="79"/>
  <c r="AH10" i="79"/>
  <c r="L10" i="79"/>
  <c r="S10" i="79"/>
  <c r="AG10" i="79"/>
  <c r="K10" i="79"/>
  <c r="R10" i="79"/>
  <c r="AF10" i="79"/>
  <c r="I33" i="79"/>
  <c r="AR34" i="79"/>
  <c r="AP34" i="79"/>
  <c r="AO34" i="79"/>
  <c r="I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I5"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I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6" i="79"/>
  <c r="AM7" i="79"/>
  <c r="AM8" i="79"/>
  <c r="AM9" i="79"/>
  <c r="AM10" i="79"/>
  <c r="AM11" i="79"/>
  <c r="AM12" i="79"/>
  <c r="AM13" i="79"/>
  <c r="AM14" i="79"/>
  <c r="AM15" i="79"/>
  <c r="AM16" i="79"/>
  <c r="AM17" i="79"/>
  <c r="AM18" i="79"/>
  <c r="AM19" i="79"/>
  <c r="AM20" i="79"/>
  <c r="AM21" i="79"/>
  <c r="AM22" i="79"/>
  <c r="AM23" i="79"/>
  <c r="AM24" i="79"/>
  <c r="M51" i="79"/>
  <c r="T51" i="79"/>
  <c r="AH51" i="79"/>
  <c r="N51" i="79"/>
  <c r="U51" i="79"/>
  <c r="AI51" i="79"/>
  <c r="W51" i="79"/>
  <c r="AK51" i="79"/>
  <c r="L51" i="79"/>
  <c r="S51" i="79"/>
  <c r="AG51" i="79"/>
  <c r="AB33" i="79"/>
  <c r="AA33" i="79"/>
  <c r="Z33" i="79"/>
  <c r="N33" i="79"/>
  <c r="M33" i="79"/>
  <c r="P33" i="79"/>
  <c r="L33" i="79"/>
  <c r="AD33" i="79"/>
  <c r="AB34" i="79"/>
  <c r="AA34" i="79"/>
  <c r="Z34" i="79"/>
  <c r="N34" i="79"/>
  <c r="M34" i="79"/>
  <c r="P34" i="79"/>
  <c r="L34" i="79"/>
  <c r="AD34" i="79"/>
  <c r="AB35" i="79"/>
  <c r="AA35" i="79"/>
  <c r="Z35" i="79"/>
  <c r="N35" i="79"/>
  <c r="M35" i="79"/>
  <c r="P35" i="79"/>
  <c r="L35" i="79"/>
  <c r="I35" i="79"/>
  <c r="AC5" i="79"/>
  <c r="AB5" i="79"/>
  <c r="AA5" i="79"/>
  <c r="AD5" i="79"/>
  <c r="Z5" i="79"/>
  <c r="Y5" i="79"/>
  <c r="O5" i="79"/>
  <c r="N5" i="79"/>
  <c r="M5" i="79"/>
  <c r="P5" i="79"/>
  <c r="L5" i="79"/>
  <c r="K5" i="79"/>
  <c r="AC6" i="79"/>
  <c r="AB6" i="79"/>
  <c r="AA6" i="79"/>
  <c r="AD6" i="79"/>
  <c r="Z6" i="79"/>
  <c r="Y6" i="79"/>
  <c r="O6" i="79"/>
  <c r="N6" i="79"/>
  <c r="M6" i="79"/>
  <c r="P6" i="79"/>
  <c r="L6" i="79"/>
  <c r="K6" i="79"/>
  <c r="AC7" i="79"/>
  <c r="AB7" i="79"/>
  <c r="AA7" i="79"/>
  <c r="AD7" i="79"/>
  <c r="Z7" i="79"/>
  <c r="Y7" i="79"/>
  <c r="O7" i="79"/>
  <c r="N7" i="79"/>
  <c r="M7" i="79"/>
  <c r="P7" i="79"/>
  <c r="L7" i="79"/>
  <c r="K7" i="79"/>
  <c r="I7" i="79"/>
  <c r="AR8" i="79"/>
  <c r="I36" i="79"/>
  <c r="I37" i="79"/>
  <c r="I38" i="79"/>
  <c r="I39" i="79"/>
  <c r="I40" i="79"/>
  <c r="I41" i="79"/>
  <c r="I42" i="79"/>
  <c r="I43" i="79"/>
  <c r="I44" i="79"/>
  <c r="I45" i="79"/>
  <c r="I46" i="79"/>
  <c r="I47" i="79"/>
  <c r="I48" i="79"/>
  <c r="AD35" i="79"/>
  <c r="AR36" i="79"/>
  <c r="C60" i="78"/>
  <c r="D60" i="78"/>
  <c r="B51" i="78"/>
  <c r="B55" i="78"/>
  <c r="D55" i="78"/>
  <c r="D53" i="78"/>
  <c r="D52" i="78"/>
  <c r="D51" i="78"/>
  <c r="B56" i="78"/>
  <c r="C51" i="78"/>
  <c r="C56" i="78"/>
  <c r="C58" i="78"/>
  <c r="B62" i="78"/>
  <c r="B54" i="78"/>
  <c r="D54" i="78"/>
  <c r="D56" i="78"/>
  <c r="D58" i="78"/>
  <c r="D62" i="78"/>
  <c r="C62" i="78"/>
  <c r="G15" i="73"/>
  <c r="F15" i="73"/>
  <c r="E15" i="73"/>
  <c r="AB36" i="79"/>
  <c r="AA36" i="79"/>
  <c r="Z36" i="79"/>
  <c r="N36" i="79"/>
  <c r="M36" i="79"/>
  <c r="L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49" i="79"/>
  <c r="I50" i="79"/>
  <c r="AD37" i="79"/>
  <c r="L38" i="79"/>
  <c r="L39" i="79"/>
  <c r="L40" i="79"/>
  <c r="L41" i="79"/>
  <c r="L42" i="79"/>
  <c r="L43" i="79"/>
  <c r="L44" i="79"/>
  <c r="L45" i="79"/>
  <c r="L46" i="79"/>
  <c r="L47" i="79"/>
  <c r="L48" i="79"/>
  <c r="L49" i="79"/>
  <c r="L50" i="79"/>
  <c r="S34" i="79"/>
  <c r="AG34" i="79"/>
  <c r="S35" i="79"/>
  <c r="AG35" i="79"/>
  <c r="S33" i="79"/>
  <c r="AG33" i="79"/>
  <c r="N38" i="79"/>
  <c r="N39" i="79"/>
  <c r="N40" i="79"/>
  <c r="N41" i="79"/>
  <c r="N42" i="79"/>
  <c r="N43" i="79"/>
  <c r="N44" i="79"/>
  <c r="N45" i="79"/>
  <c r="N46" i="79"/>
  <c r="N47" i="79"/>
  <c r="N48" i="79"/>
  <c r="N49" i="79"/>
  <c r="N50" i="79"/>
  <c r="U35" i="79"/>
  <c r="AI35" i="79"/>
  <c r="U34" i="79"/>
  <c r="AI34" i="79"/>
  <c r="U33" i="79"/>
  <c r="AI33" i="79"/>
  <c r="AD36" i="79"/>
  <c r="AR37" i="79"/>
  <c r="AR38" i="79"/>
  <c r="AR39" i="79"/>
  <c r="AR40" i="79"/>
  <c r="AR41" i="79"/>
  <c r="AR42" i="79"/>
  <c r="AR43" i="79"/>
  <c r="AR44" i="79"/>
  <c r="AR45" i="79"/>
  <c r="AR46" i="79"/>
  <c r="AR47" i="79"/>
  <c r="AR48" i="79"/>
  <c r="AR49" i="79"/>
  <c r="AR50" i="79"/>
  <c r="AR51" i="79"/>
  <c r="I51" i="79"/>
  <c r="AR52" i="79"/>
  <c r="P36" i="79"/>
  <c r="M38" i="79"/>
  <c r="M39" i="79"/>
  <c r="M40" i="79"/>
  <c r="M41" i="79"/>
  <c r="M42" i="79"/>
  <c r="M43" i="79"/>
  <c r="M44" i="79"/>
  <c r="M45" i="79"/>
  <c r="M46" i="79"/>
  <c r="M47" i="79"/>
  <c r="M48" i="79"/>
  <c r="M49" i="79"/>
  <c r="M50" i="79"/>
  <c r="T34" i="79"/>
  <c r="T35" i="79"/>
  <c r="T33" i="79"/>
  <c r="AR10" i="79"/>
  <c r="I10" i="79"/>
  <c r="AR11" i="79"/>
  <c r="I11" i="79"/>
  <c r="AR12" i="79"/>
  <c r="AR13" i="79"/>
  <c r="I13" i="79"/>
  <c r="AR14" i="79"/>
  <c r="I14" i="79"/>
  <c r="AR15" i="79"/>
  <c r="I15" i="79"/>
  <c r="AR16" i="79"/>
  <c r="I16" i="79"/>
  <c r="AR17" i="79"/>
  <c r="I17" i="79"/>
  <c r="AR18" i="79"/>
  <c r="I18" i="79"/>
  <c r="AR19" i="79"/>
  <c r="I19" i="79"/>
  <c r="AR20" i="79"/>
  <c r="I20" i="79"/>
  <c r="AR21" i="79"/>
  <c r="I21" i="79"/>
  <c r="AR22" i="79"/>
  <c r="I22" i="79"/>
  <c r="AR23" i="79"/>
  <c r="I23" i="79"/>
  <c r="AR24" i="79"/>
  <c r="G16" i="73"/>
  <c r="F16" i="73"/>
  <c r="E16" i="73"/>
  <c r="G17" i="73"/>
  <c r="F17" i="73"/>
  <c r="E17" i="73"/>
  <c r="W33" i="79"/>
  <c r="AK33" i="79"/>
  <c r="AH33" i="79"/>
  <c r="W35" i="79"/>
  <c r="AK35" i="79"/>
  <c r="AH35" i="79"/>
  <c r="W34" i="79"/>
  <c r="AK34" i="79"/>
  <c r="AH34" i="79"/>
  <c r="AB38" i="79"/>
  <c r="AA38" i="79"/>
  <c r="Z38" i="79"/>
  <c r="P38" i="79"/>
  <c r="AD38" i="79"/>
  <c r="AC10" i="79"/>
  <c r="AB10" i="79"/>
  <c r="AA10" i="79"/>
  <c r="AD10" i="79"/>
  <c r="Z10" i="79"/>
  <c r="Y10" i="79"/>
  <c r="P10" i="79"/>
  <c r="P40" i="79"/>
  <c r="P12" i="79"/>
  <c r="P13" i="79"/>
  <c r="P41" i="79"/>
  <c r="G18" i="73"/>
  <c r="F18" i="73"/>
  <c r="E18" i="73"/>
  <c r="P42" i="79"/>
  <c r="P43" i="79"/>
  <c r="P14" i="79"/>
  <c r="P15" i="79"/>
  <c r="P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I23" i="43"/>
  <c r="G17" i="43"/>
  <c r="C13" i="43"/>
  <c r="N12" i="43"/>
  <c r="G2" i="43"/>
  <c r="AB52" i="79"/>
  <c r="AA52" i="79"/>
  <c r="Z52" i="79"/>
  <c r="W52" i="79"/>
  <c r="N52" i="79"/>
  <c r="M52" i="79"/>
  <c r="P52" i="79"/>
  <c r="L52" i="79"/>
  <c r="I52" i="79"/>
  <c r="AD52" i="79"/>
  <c r="AB51" i="79"/>
  <c r="AA51" i="79"/>
  <c r="Z51" i="79"/>
  <c r="AD51" i="79"/>
  <c r="AB50" i="79"/>
  <c r="AA50" i="79"/>
  <c r="Z50" i="79"/>
  <c r="AB49" i="79"/>
  <c r="AA49" i="79"/>
  <c r="Z49" i="79"/>
  <c r="AB48" i="79"/>
  <c r="AA48" i="79"/>
  <c r="Z48" i="79"/>
  <c r="AB47" i="79"/>
  <c r="AA47" i="79"/>
  <c r="Z47" i="79"/>
  <c r="AD47" i="79"/>
  <c r="AB46" i="79"/>
  <c r="AA46" i="79"/>
  <c r="Z46" i="79"/>
  <c r="AB45" i="79"/>
  <c r="AA45" i="79"/>
  <c r="Z45" i="79"/>
  <c r="AB39" i="79"/>
  <c r="AA39" i="79"/>
  <c r="AA31" i="79"/>
  <c r="AD31" i="79"/>
  <c r="Z39" i="79"/>
  <c r="N31" i="79"/>
  <c r="G31" i="79"/>
  <c r="F31" i="79"/>
  <c r="I31" i="79"/>
  <c r="E31" i="79"/>
  <c r="AC24" i="79"/>
  <c r="AB24" i="79"/>
  <c r="AA24" i="79"/>
  <c r="AD24" i="79"/>
  <c r="Z24" i="79"/>
  <c r="Y24" i="79"/>
  <c r="W24" i="79"/>
  <c r="M24" i="79"/>
  <c r="P24" i="79"/>
  <c r="O24" i="79"/>
  <c r="N24" i="79"/>
  <c r="L24" i="79"/>
  <c r="K24" i="79"/>
  <c r="I24" i="79"/>
  <c r="AC23" i="79"/>
  <c r="AB23" i="79"/>
  <c r="AA23" i="79"/>
  <c r="AD23" i="79"/>
  <c r="Z23" i="79"/>
  <c r="Y23" i="79"/>
  <c r="AC22" i="79"/>
  <c r="AB22" i="79"/>
  <c r="AA22" i="79"/>
  <c r="AD22" i="79"/>
  <c r="Z22" i="79"/>
  <c r="Y22" i="79"/>
  <c r="AC21" i="79"/>
  <c r="AB21" i="79"/>
  <c r="AA21" i="79"/>
  <c r="AD21" i="79"/>
  <c r="Z21" i="79"/>
  <c r="Y21" i="79"/>
  <c r="AA20" i="79"/>
  <c r="AD20" i="79"/>
  <c r="AC20" i="79"/>
  <c r="AB20" i="79"/>
  <c r="Z20" i="79"/>
  <c r="Y20" i="79"/>
  <c r="AC19" i="79"/>
  <c r="AB19" i="79"/>
  <c r="AA19" i="79"/>
  <c r="AD19" i="79"/>
  <c r="Z19" i="79"/>
  <c r="Y19" i="79"/>
  <c r="AC18" i="79"/>
  <c r="AB18" i="79"/>
  <c r="AA18" i="79"/>
  <c r="AD18" i="79"/>
  <c r="Z18" i="79"/>
  <c r="Y18" i="79"/>
  <c r="AC17" i="79"/>
  <c r="AB17" i="79"/>
  <c r="AA17" i="79"/>
  <c r="AD17" i="79"/>
  <c r="Z17" i="79"/>
  <c r="Y17" i="79"/>
  <c r="AC11" i="79"/>
  <c r="AB11" i="79"/>
  <c r="AA11" i="79"/>
  <c r="AD11" i="79"/>
  <c r="Z11" i="79"/>
  <c r="Z3" i="79"/>
  <c r="Y1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5" i="79"/>
  <c r="U6" i="79"/>
  <c r="AI6" i="79"/>
  <c r="U5" i="79"/>
  <c r="AI5" i="79"/>
  <c r="U7" i="79"/>
  <c r="AI7" i="79"/>
  <c r="R6" i="79"/>
  <c r="AF6" i="79"/>
  <c r="R7" i="79"/>
  <c r="AF7" i="79"/>
  <c r="R5" i="79"/>
  <c r="AF5" i="79"/>
  <c r="V5" i="79"/>
  <c r="AJ5" i="79"/>
  <c r="V7" i="79"/>
  <c r="AJ7" i="79"/>
  <c r="V6" i="79"/>
  <c r="AJ6" i="79"/>
  <c r="S37" i="79"/>
  <c r="AG37" i="79"/>
  <c r="S36" i="79"/>
  <c r="AG36" i="79"/>
  <c r="M31" i="79"/>
  <c r="P31" i="79"/>
  <c r="T36" i="79"/>
  <c r="T37" i="79"/>
  <c r="U37" i="79"/>
  <c r="AI37" i="79"/>
  <c r="U36" i="79"/>
  <c r="AI36" i="79"/>
  <c r="T9" i="79"/>
  <c r="T8" i="79"/>
  <c r="U9" i="79"/>
  <c r="AI9" i="79"/>
  <c r="U8" i="79"/>
  <c r="AI8" i="79"/>
  <c r="S9" i="79"/>
  <c r="AG9" i="79"/>
  <c r="S8" i="79"/>
  <c r="AG8" i="79"/>
  <c r="R9" i="79"/>
  <c r="AF9" i="79"/>
  <c r="R8" i="79"/>
  <c r="AF8" i="79"/>
  <c r="V9" i="79"/>
  <c r="AJ9" i="79"/>
  <c r="V8" i="79"/>
  <c r="AJ8" i="79"/>
  <c r="T31" i="79"/>
  <c r="W31" i="79"/>
  <c r="AD46" i="79"/>
  <c r="AD50" i="79"/>
  <c r="AB3" i="79"/>
  <c r="U31" i="79"/>
  <c r="AD49" i="79"/>
  <c r="L3" i="79"/>
  <c r="Y3" i="79"/>
  <c r="AC3" i="79"/>
  <c r="AD39" i="79"/>
  <c r="AD48" i="79"/>
  <c r="V3" i="79"/>
  <c r="L31" i="79"/>
  <c r="N3" i="79"/>
  <c r="K3" i="79"/>
  <c r="O3" i="79"/>
  <c r="S3" i="79"/>
  <c r="P11" i="79"/>
  <c r="U3" i="79"/>
  <c r="M3" i="79"/>
  <c r="P3" i="79"/>
  <c r="T3" i="79"/>
  <c r="W3" i="79"/>
  <c r="AD45" i="79"/>
  <c r="P21" i="79"/>
  <c r="P19" i="79"/>
  <c r="P23" i="79"/>
  <c r="AA3" i="79"/>
  <c r="AD3" i="79"/>
  <c r="AB31" i="79"/>
  <c r="P17"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AK5" i="79"/>
  <c r="AH5"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6" i="69"/>
  <c r="F40" i="69"/>
  <c r="F39" i="69"/>
  <c r="AC21" i="37"/>
  <c r="AC21" i="33"/>
  <c r="G83" i="21"/>
  <c r="J21" i="21"/>
  <c r="F36" i="68"/>
  <c r="F40" i="68"/>
  <c r="F39" i="68"/>
  <c r="W21" i="21"/>
  <c r="AC21" i="21"/>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7" i="1"/>
  <c r="E7" i="1"/>
  <c r="B8" i="1"/>
  <c r="E8" i="1"/>
  <c r="B11" i="1"/>
  <c r="E11" i="1"/>
  <c r="A12" i="1"/>
  <c r="A13" i="1"/>
  <c r="B13" i="1"/>
  <c r="E13" i="1"/>
  <c r="F3" i="35"/>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12" i="1"/>
  <c r="G12" i="1"/>
  <c r="G11" i="1"/>
  <c r="G7" i="1"/>
  <c r="C15" i="4"/>
  <c r="L21" i="4"/>
  <c r="F19" i="4"/>
  <c r="F2" i="52"/>
  <c r="B50" i="72"/>
  <c r="D2" i="52"/>
  <c r="B46" i="72"/>
  <c r="B8" i="53"/>
  <c r="B23" i="72"/>
  <c r="L4" i="9"/>
  <c r="B17" i="72"/>
  <c r="B15" i="72"/>
  <c r="A3" i="51"/>
  <c r="C8" i="11"/>
  <c r="B40" i="48"/>
  <c r="B3" i="72"/>
  <c r="F35" i="4"/>
  <c r="J55" i="39"/>
  <c r="H38" i="43"/>
  <c r="H39" i="43"/>
  <c r="H40" i="43"/>
  <c r="H41" i="43"/>
  <c r="H42" i="43"/>
  <c r="J24" i="43"/>
  <c r="C22" i="43"/>
  <c r="C10" i="43"/>
  <c r="C11" i="43"/>
  <c r="C9" i="43"/>
  <c r="F33" i="15"/>
  <c r="F61" i="15"/>
  <c r="M19" i="15"/>
  <c r="BR13" i="3"/>
  <c r="G41" i="69"/>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P16" i="3"/>
  <c r="BL16" i="3"/>
  <c r="BN17" i="3"/>
  <c r="BP13" i="3"/>
  <c r="BP14" i="3"/>
  <c r="BP17" i="3"/>
  <c r="F23" i="15"/>
  <c r="D24" i="15"/>
  <c r="O10" i="1"/>
  <c r="P10" i="1"/>
  <c r="E25" i="6"/>
  <c r="E26" i="6"/>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52" i="1"/>
  <c r="M20" i="15"/>
  <c r="T4" i="1"/>
  <c r="F15" i="15"/>
  <c r="F17" i="15"/>
  <c r="F18" i="15"/>
  <c r="F20" i="15"/>
  <c r="F21"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90" i="43"/>
  <c r="G19" i="20"/>
  <c r="B87" i="43"/>
  <c r="G16" i="20"/>
  <c r="B84" i="43"/>
  <c r="G15" i="20"/>
  <c r="B83" i="43"/>
  <c r="C24" i="20"/>
  <c r="B97" i="43"/>
  <c r="B75" i="43"/>
  <c r="B99" i="43"/>
  <c r="B101" i="43"/>
  <c r="B79" i="43"/>
  <c r="B94" i="43"/>
  <c r="B61" i="43"/>
  <c r="C16" i="20"/>
  <c r="C17" i="39"/>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H13"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S13" i="1"/>
  <c r="AR13" i="1"/>
  <c r="R13" i="1"/>
  <c r="J51" i="67"/>
  <c r="C24" i="12"/>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BL17" i="3"/>
  <c r="AZ17" i="3"/>
  <c r="BL13" i="3"/>
  <c r="J56" i="9"/>
  <c r="J57" i="9"/>
  <c r="J59" i="9"/>
  <c r="J61" i="9"/>
  <c r="A24" i="51"/>
  <c r="B18" i="72"/>
  <c r="U29" i="34"/>
  <c r="E5" i="6"/>
  <c r="K1" i="12"/>
  <c r="E19" i="69"/>
  <c r="E19" i="68"/>
  <c r="E19" i="11"/>
  <c r="G22" i="69"/>
  <c r="G22" i="68"/>
  <c r="G26" i="12"/>
  <c r="G22" i="11"/>
  <c r="C6" i="43"/>
  <c r="B19" i="53"/>
  <c r="B37" i="72"/>
  <c r="C7" i="39"/>
  <c r="C67" i="39"/>
  <c r="C7" i="35"/>
  <c r="C7" i="33"/>
  <c r="C7" i="21"/>
  <c r="C7" i="40"/>
  <c r="C63" i="40"/>
  <c r="M47" i="9"/>
  <c r="A4" i="51"/>
  <c r="B6" i="72"/>
  <c r="C48" i="35"/>
  <c r="D48" i="35"/>
  <c r="B6" i="1"/>
  <c r="E6" i="1"/>
  <c r="O11" i="1"/>
  <c r="B9" i="1"/>
  <c r="E9"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AC38" i="21"/>
  <c r="H32" i="21"/>
  <c r="H9" i="21"/>
  <c r="J9" i="21"/>
  <c r="J32" i="21"/>
  <c r="W32" i="21"/>
  <c r="F32" i="21"/>
  <c r="AA31" i="21"/>
  <c r="U17" i="21"/>
  <c r="W29" i="21"/>
  <c r="S19" i="21"/>
  <c r="S9" i="21"/>
  <c r="K141" i="21"/>
  <c r="K144" i="21"/>
  <c r="K143" i="21"/>
  <c r="U27" i="21"/>
  <c r="AB25" i="21"/>
  <c r="AB44" i="21"/>
  <c r="AA30" i="21"/>
  <c r="W13" i="21"/>
  <c r="W42" i="21"/>
  <c r="AC45"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48" i="68"/>
  <c r="F30" i="11"/>
  <c r="C48" i="11"/>
  <c r="F28" i="67"/>
  <c r="F31" i="12"/>
  <c r="F52" i="9"/>
  <c r="M18" i="67"/>
  <c r="F32" i="67"/>
  <c r="F60" i="67"/>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B45" i="21"/>
  <c r="AB9" i="21"/>
  <c r="U9" i="21"/>
  <c r="AA32" i="21"/>
  <c r="S32" i="21"/>
  <c r="W9" i="21"/>
  <c r="AC9" i="21"/>
  <c r="AB32" i="21"/>
  <c r="U32" i="21"/>
  <c r="K120" i="9"/>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2" i="76"/>
  <c r="F26" i="15"/>
  <c r="F8" i="15"/>
  <c r="L47" i="67"/>
  <c r="M24" i="67"/>
  <c r="J15" i="15"/>
  <c r="F8" i="67"/>
  <c r="F16" i="67"/>
  <c r="C76" i="67"/>
  <c r="F37" i="15"/>
  <c r="E7" i="76"/>
  <c r="F9" i="67"/>
  <c r="M22" i="67"/>
  <c r="F40" i="67"/>
  <c r="M26" i="15"/>
  <c r="F43" i="15"/>
  <c r="F36" i="67"/>
  <c r="F37" i="67"/>
  <c r="M8" i="15"/>
  <c r="F20" i="31"/>
  <c r="B10" i="76"/>
  <c r="V48" i="21"/>
  <c r="T48" i="21"/>
  <c r="R49" i="21"/>
  <c r="C49" i="21"/>
  <c r="B2" i="21"/>
  <c r="E9" i="76"/>
  <c r="F16" i="15"/>
  <c r="F36" i="15"/>
  <c r="L47" i="15"/>
  <c r="F6" i="73"/>
  <c r="M6" i="67"/>
  <c r="F26" i="67"/>
  <c r="F42" i="15"/>
  <c r="B13" i="76"/>
  <c r="F6" i="15"/>
  <c r="M28" i="15"/>
  <c r="L48" i="67"/>
  <c r="F43" i="67"/>
  <c r="M8" i="67"/>
  <c r="D34" i="9"/>
  <c r="F7" i="15"/>
  <c r="F13" i="67"/>
  <c r="AO13" i="1"/>
  <c r="F40" i="15"/>
  <c r="F3" i="73"/>
  <c r="F7" i="67"/>
  <c r="F13" i="15"/>
  <c r="F38" i="15"/>
  <c r="E8" i="76"/>
  <c r="M28" i="67"/>
  <c r="E13" i="76"/>
  <c r="M9" i="67"/>
  <c r="F38" i="67"/>
  <c r="L48" i="15"/>
  <c r="E10" i="76"/>
  <c r="B9" i="76"/>
  <c r="E2" i="69"/>
  <c r="F9" i="15"/>
  <c r="D35" i="9"/>
  <c r="B8" i="76"/>
  <c r="B11" i="76"/>
  <c r="F42" i="67"/>
  <c r="J15" i="67"/>
  <c r="E2" i="68"/>
  <c r="C20" i="9"/>
  <c r="M23" i="67"/>
  <c r="F7" i="73"/>
  <c r="B3" i="21"/>
  <c r="D20" i="9"/>
  <c r="M29" i="67"/>
  <c r="M22" i="15"/>
  <c r="M9" i="15"/>
  <c r="M23" i="15"/>
  <c r="E11" i="76"/>
  <c r="M6" i="15"/>
  <c r="B12" i="76"/>
  <c r="F5" i="73"/>
  <c r="F6" i="67"/>
  <c r="M26" i="67"/>
  <c r="C76" i="15"/>
  <c r="M29" i="15"/>
  <c r="M24" i="15"/>
  <c r="B7" i="76"/>
  <c r="G9" i="1"/>
  <c r="G10" i="1"/>
  <c r="G8" i="1"/>
  <c r="G6" i="1"/>
  <c r="G16" i="1"/>
  <c r="F10" i="39"/>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C11" i="21"/>
  <c r="AB11" i="21"/>
  <c r="F53" i="9"/>
  <c r="C5" i="11"/>
  <c r="C4" i="12"/>
  <c r="E14" i="6"/>
  <c r="E63" i="39"/>
  <c r="I4" i="6"/>
  <c r="G3" i="43"/>
  <c r="E29" i="6"/>
  <c r="F30" i="6"/>
  <c r="G30" i="6"/>
  <c r="G31" i="6"/>
  <c r="E28" i="6"/>
  <c r="L27" i="6"/>
  <c r="O6" i="1"/>
  <c r="T13" i="1"/>
  <c r="C58" i="21"/>
  <c r="D58" i="21"/>
  <c r="C58" i="33"/>
  <c r="C59" i="34"/>
  <c r="D59" i="34"/>
  <c r="E59" i="34"/>
  <c r="F59" i="34"/>
  <c r="G59" i="34"/>
  <c r="H59" i="34"/>
  <c r="I59" i="34"/>
  <c r="J59" i="34"/>
  <c r="K59" i="34"/>
  <c r="L59" i="34"/>
  <c r="M59" i="34"/>
  <c r="N59" i="34"/>
  <c r="O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c r="C30" i="11"/>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6" i="1"/>
  <c r="C13" i="12"/>
  <c r="P11" i="1"/>
  <c r="E59" i="40"/>
  <c r="D9" i="11"/>
  <c r="C9" i="11"/>
  <c r="D19" i="12"/>
  <c r="C19" i="12"/>
  <c r="O9" i="1"/>
  <c r="P9" i="1"/>
  <c r="O12" i="1"/>
  <c r="P12" i="1"/>
  <c r="O8" i="1"/>
  <c r="P8" i="1"/>
  <c r="H73" i="43"/>
  <c r="H90" i="43"/>
  <c r="O23" i="43"/>
  <c r="I18" i="43"/>
  <c r="E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AC21" i="39"/>
  <c r="AB23" i="39"/>
  <c r="AB15" i="39"/>
  <c r="AC15" i="39"/>
  <c r="S25" i="39"/>
  <c r="W39" i="39"/>
  <c r="W42" i="39"/>
  <c r="W14" i="39"/>
  <c r="S29" i="39"/>
  <c r="G21"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Q71" i="15"/>
  <c r="J53" i="15"/>
  <c r="L56" i="15"/>
  <c r="J57" i="15"/>
  <c r="J55" i="15"/>
  <c r="J58" i="15"/>
  <c r="Q50" i="15"/>
  <c r="I54" i="15"/>
  <c r="B20" i="31"/>
  <c r="B21" i="3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D3" i="73"/>
  <c r="D4" i="73"/>
  <c r="C16" i="15"/>
  <c r="C16" i="67"/>
  <c r="D7" i="73"/>
  <c r="J7" i="37"/>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C19" i="71"/>
  <c r="T20" i="71"/>
  <c r="D20" i="71"/>
  <c r="U20" i="71"/>
  <c r="E240" i="3"/>
  <c r="E487" i="3"/>
  <c r="E219" i="3"/>
  <c r="W40" i="40"/>
  <c r="AC40" i="40"/>
  <c r="AC12" i="21"/>
  <c r="W12" i="21"/>
  <c r="AB12" i="21"/>
  <c r="U12" i="21"/>
  <c r="AA27" i="34"/>
  <c r="S27" i="34"/>
  <c r="AC26" i="37"/>
  <c r="W26" i="37"/>
  <c r="BL5" i="3"/>
  <c r="B15" i="71"/>
  <c r="B14" i="71"/>
  <c r="B13" i="71"/>
  <c r="B12" i="71"/>
  <c r="S16" i="71"/>
  <c r="F7" i="36"/>
  <c r="H7" i="36"/>
  <c r="E94" i="3"/>
  <c r="E131" i="3"/>
  <c r="E142" i="3"/>
  <c r="E118" i="3"/>
  <c r="E369" i="3"/>
  <c r="E248" i="3"/>
  <c r="AA9" i="36"/>
  <c r="S9" i="36"/>
  <c r="AA34" i="35"/>
  <c r="S34" i="35"/>
  <c r="E15" i="71"/>
  <c r="E14" i="71"/>
  <c r="E13" i="71"/>
  <c r="E12" i="71"/>
  <c r="V16" i="71"/>
  <c r="E139" i="3"/>
  <c r="E378" i="3"/>
  <c r="S40" i="40"/>
  <c r="AA40" i="40"/>
  <c r="AC34" i="35"/>
  <c r="W34" i="35"/>
  <c r="E61" i="43"/>
  <c r="B59" i="43"/>
  <c r="B116" i="43"/>
  <c r="Z7" i="43"/>
  <c r="E30" i="6"/>
  <c r="E56" i="39"/>
  <c r="H7" i="34"/>
  <c r="AB7" i="34"/>
  <c r="T49" i="34"/>
  <c r="G49" i="34"/>
  <c r="E67" i="39"/>
  <c r="E69" i="39"/>
  <c r="J7" i="34"/>
  <c r="W7" i="34"/>
  <c r="F7" i="34"/>
  <c r="S7" i="34"/>
  <c r="AA26" i="35"/>
  <c r="S26" i="35"/>
  <c r="AC26" i="35"/>
  <c r="W26" i="35"/>
  <c r="AB26" i="35"/>
  <c r="U26" i="35"/>
  <c r="E61" i="39"/>
  <c r="E56" i="40"/>
  <c r="E72" i="43"/>
  <c r="B70" i="43"/>
  <c r="F45" i="69"/>
  <c r="E60" i="40"/>
  <c r="F31" i="6"/>
  <c r="E51" i="40"/>
  <c r="E16" i="6"/>
  <c r="AC6" i="3"/>
  <c r="H6" i="3"/>
  <c r="E58" i="40"/>
  <c r="E62" i="39"/>
  <c r="J10" i="40"/>
  <c r="AC10" i="40"/>
  <c r="H10" i="39"/>
  <c r="U10" i="39"/>
  <c r="F10" i="40"/>
  <c r="S10" i="40"/>
  <c r="J10" i="39"/>
  <c r="W10" i="39"/>
  <c r="H10" i="40"/>
  <c r="AB10" i="40"/>
  <c r="D26" i="43"/>
  <c r="C7" i="43"/>
  <c r="D10" i="52"/>
  <c r="D125" i="9"/>
  <c r="D11" i="52"/>
  <c r="B7" i="74"/>
  <c r="C7" i="74"/>
  <c r="F67" i="39"/>
  <c r="F59" i="67"/>
  <c r="H7" i="37"/>
  <c r="AB7" i="37"/>
  <c r="T42" i="37"/>
  <c r="G42" i="37"/>
  <c r="S10" i="39"/>
  <c r="AA10" i="39"/>
  <c r="H7" i="33"/>
  <c r="J7" i="33"/>
  <c r="D65" i="40"/>
  <c r="E63" i="40"/>
  <c r="F48" i="35"/>
  <c r="S7" i="36"/>
  <c r="AA7" i="36"/>
  <c r="R36" i="36"/>
  <c r="AC7" i="37"/>
  <c r="W7" i="37"/>
  <c r="AB7" i="36"/>
  <c r="T36" i="36"/>
  <c r="G36"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F41" i="67"/>
  <c r="L36" i="43"/>
  <c r="L37" i="43"/>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E6" i="3"/>
  <c r="E8" i="70"/>
  <c r="K25" i="6"/>
  <c r="E31"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25" i="12"/>
  <c r="C35" i="9"/>
  <c r="M27" i="15"/>
  <c r="M27" i="67"/>
  <c r="F41" i="15"/>
  <c r="F22" i="11"/>
  <c r="C23" i="11"/>
  <c r="F24" i="67"/>
  <c r="C24" i="67"/>
  <c r="F24" i="15"/>
  <c r="C24" i="15"/>
  <c r="F41" i="69"/>
  <c r="E49" i="34"/>
  <c r="O36" i="43"/>
  <c r="Q36" i="43"/>
  <c r="N36" i="43"/>
  <c r="M36" i="43"/>
  <c r="P36" i="43"/>
  <c r="C17" i="71"/>
  <c r="D18" i="71"/>
  <c r="P37" i="43"/>
  <c r="M37" i="43"/>
  <c r="Q37" i="43"/>
  <c r="O37" i="43"/>
  <c r="N37" i="43"/>
  <c r="S21" i="6"/>
  <c r="E6" i="70"/>
  <c r="C34" i="43"/>
  <c r="E34" i="43"/>
  <c r="F69" i="15"/>
  <c r="E33" i="43"/>
  <c r="S24" i="6"/>
  <c r="E11" i="70"/>
  <c r="S22" i="6"/>
  <c r="AQ8" i="1"/>
  <c r="AR8" i="1"/>
  <c r="S20" i="6"/>
  <c r="E7" i="70"/>
  <c r="AQ6" i="1"/>
  <c r="AR6" i="1"/>
  <c r="S23" i="6"/>
  <c r="E10" i="70"/>
  <c r="M25" i="6"/>
  <c r="I25" i="6"/>
  <c r="S25" i="6"/>
  <c r="S12" i="1"/>
  <c r="K27" i="6"/>
  <c r="C20" i="11"/>
  <c r="D17" i="12"/>
  <c r="C17" i="12"/>
  <c r="D10" i="11"/>
  <c r="C10" i="11"/>
  <c r="D20" i="12"/>
  <c r="C20" i="12"/>
  <c r="C18" i="12"/>
  <c r="D25" i="6"/>
  <c r="D15" i="6"/>
  <c r="M19" i="9"/>
  <c r="C118" i="9"/>
  <c r="B2" i="74"/>
  <c r="D26" i="6"/>
  <c r="D8" i="6"/>
  <c r="D14" i="6"/>
  <c r="D6" i="6"/>
  <c r="D9" i="6"/>
  <c r="D10" i="6"/>
  <c r="L19" i="9"/>
  <c r="D29" i="6"/>
  <c r="H25" i="6"/>
  <c r="C18" i="4"/>
  <c r="D5" i="6"/>
  <c r="D12" i="6"/>
  <c r="D11" i="6"/>
  <c r="D13" i="6"/>
  <c r="D28" i="6"/>
  <c r="D30" i="6"/>
  <c r="E61" i="40"/>
  <c r="H26" i="6"/>
  <c r="P14" i="1"/>
  <c r="P16" i="1"/>
  <c r="C11" i="12"/>
  <c r="L16" i="1"/>
  <c r="G42" i="43"/>
  <c r="I42" i="43"/>
  <c r="H67" i="39"/>
  <c r="G69" i="39"/>
  <c r="G41" i="43"/>
  <c r="I41" i="43"/>
  <c r="G38" i="43"/>
  <c r="I38" i="43"/>
  <c r="G40" i="43"/>
  <c r="I40"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26" i="12"/>
  <c r="D25" i="12"/>
  <c r="C44" i="11"/>
  <c r="D41" i="11"/>
  <c r="C26" i="11"/>
  <c r="D22" i="11"/>
  <c r="C34" i="9"/>
  <c r="C66" i="67"/>
  <c r="C60" i="67"/>
  <c r="C17" i="67"/>
  <c r="C14" i="67"/>
  <c r="C17" i="15"/>
  <c r="C25" i="11"/>
  <c r="C24" i="11"/>
  <c r="C16" i="71"/>
  <c r="D17" i="71"/>
  <c r="C18" i="67"/>
  <c r="C15" i="67"/>
  <c r="C31" i="43"/>
  <c r="E12" i="70"/>
  <c r="F34" i="11"/>
  <c r="F11" i="12"/>
  <c r="S16" i="1"/>
  <c r="E9" i="70"/>
  <c r="E2" i="70"/>
  <c r="AR9" i="1"/>
  <c r="AQ9" i="1"/>
  <c r="AQ11" i="1"/>
  <c r="AR11" i="1"/>
  <c r="AR12" i="1"/>
  <c r="T12" i="1"/>
  <c r="AQ12" i="1"/>
  <c r="AQ10" i="1"/>
  <c r="AR10" i="1"/>
  <c r="AR7" i="1"/>
  <c r="AQ7" i="1"/>
  <c r="M27" i="6"/>
  <c r="D16" i="6"/>
  <c r="R26" i="6"/>
  <c r="C15" i="12"/>
  <c r="C12" i="12"/>
  <c r="D27" i="6"/>
  <c r="D31" i="6"/>
  <c r="D8" i="74"/>
  <c r="D7" i="74"/>
  <c r="C4" i="52"/>
  <c r="B45" i="72"/>
  <c r="A10" i="51"/>
  <c r="B9" i="72"/>
  <c r="A7" i="51"/>
  <c r="B7" i="72"/>
  <c r="C21" i="9"/>
  <c r="D21" i="9"/>
  <c r="G21" i="9"/>
  <c r="R25" i="6"/>
  <c r="H69" i="39"/>
  <c r="I67" i="39"/>
  <c r="G65" i="40"/>
  <c r="H63" i="40"/>
  <c r="C43" i="37"/>
  <c r="C42" i="37"/>
  <c r="I48" i="35"/>
  <c r="C48" i="33"/>
  <c r="C49" i="33"/>
  <c r="H58" i="21"/>
  <c r="E47" i="37"/>
  <c r="F47" i="37"/>
  <c r="E46" i="37"/>
  <c r="F46" i="37"/>
  <c r="I47" i="37"/>
  <c r="J47" i="37"/>
  <c r="E53" i="33"/>
  <c r="F53" i="33"/>
  <c r="E52" i="33"/>
  <c r="F52" i="33"/>
  <c r="C33" i="15"/>
  <c r="C33" i="67"/>
  <c r="J19" i="67"/>
  <c r="B6" i="76"/>
  <c r="E6" i="76"/>
  <c r="C14" i="15"/>
  <c r="C22" i="11"/>
  <c r="C15" i="71"/>
  <c r="T16" i="71"/>
  <c r="D16" i="71"/>
  <c r="U16" i="71"/>
  <c r="C19" i="67"/>
  <c r="C20" i="67"/>
  <c r="C26" i="67"/>
  <c r="T16" i="1"/>
  <c r="C18" i="15"/>
  <c r="C15" i="15"/>
  <c r="C36" i="11"/>
  <c r="C37" i="11"/>
  <c r="C34" i="11"/>
  <c r="C23" i="12"/>
  <c r="C14" i="12"/>
  <c r="C16" i="12"/>
  <c r="C21" i="12"/>
  <c r="C22" i="12"/>
  <c r="S19" i="6"/>
  <c r="S27" i="6"/>
  <c r="I27" i="6"/>
  <c r="I5" i="6"/>
  <c r="I6" i="6"/>
  <c r="E2" i="76"/>
  <c r="B2" i="76"/>
  <c r="I69" i="39"/>
  <c r="J67" i="39"/>
  <c r="I63" i="40"/>
  <c r="H65" i="40"/>
  <c r="I58" i="21"/>
  <c r="J58" i="21"/>
  <c r="K58" i="21"/>
  <c r="L58" i="21"/>
  <c r="M58" i="21"/>
  <c r="N58" i="21"/>
  <c r="O58" i="21"/>
  <c r="H7" i="21"/>
  <c r="J48" i="35"/>
  <c r="C14" i="71"/>
  <c r="D15" i="71"/>
  <c r="F7" i="21"/>
  <c r="S7" i="21"/>
  <c r="J7" i="21"/>
  <c r="AC7" i="21"/>
  <c r="I48" i="21"/>
  <c r="C23" i="67"/>
  <c r="C29" i="67"/>
  <c r="J59" i="67"/>
  <c r="J60" i="67"/>
  <c r="Q48" i="67"/>
  <c r="C19" i="15"/>
  <c r="C20" i="15"/>
  <c r="C26" i="15"/>
  <c r="C38" i="11"/>
  <c r="C35" i="11"/>
  <c r="H27" i="6"/>
  <c r="C27" i="12"/>
  <c r="C25" i="12"/>
  <c r="B3" i="76"/>
  <c r="J69" i="39"/>
  <c r="K67" i="39"/>
  <c r="U7" i="21"/>
  <c r="AB7" i="21"/>
  <c r="G48" i="21"/>
  <c r="J63" i="40"/>
  <c r="I65" i="40"/>
  <c r="K48" i="35"/>
  <c r="L48" i="35"/>
  <c r="M48" i="35"/>
  <c r="N48" i="35"/>
  <c r="O48" i="35"/>
  <c r="H7" i="35"/>
  <c r="D14" i="71"/>
  <c r="C13" i="71"/>
  <c r="W7" i="21"/>
  <c r="AA7" i="21"/>
  <c r="J7" i="35"/>
  <c r="W7" i="35"/>
  <c r="Q49" i="67"/>
  <c r="J14" i="67"/>
  <c r="J13" i="67"/>
  <c r="J23" i="67"/>
  <c r="C36" i="67"/>
  <c r="C57" i="67"/>
  <c r="C64" i="67"/>
  <c r="C13" i="67"/>
  <c r="Q70" i="67"/>
  <c r="C33" i="11"/>
  <c r="C39" i="11"/>
  <c r="C61" i="67"/>
  <c r="C23" i="15"/>
  <c r="C29" i="15"/>
  <c r="R27" i="6"/>
  <c r="L67" i="39"/>
  <c r="K69" i="39"/>
  <c r="J65" i="40"/>
  <c r="K63" i="40"/>
  <c r="I52" i="21"/>
  <c r="J52" i="21"/>
  <c r="U7" i="35"/>
  <c r="AB7" i="35"/>
  <c r="T38" i="35"/>
  <c r="G38" i="35"/>
  <c r="E48" i="21"/>
  <c r="G52" i="21"/>
  <c r="H52" i="21"/>
  <c r="G53" i="21"/>
  <c r="H53" i="21"/>
  <c r="F7" i="35"/>
  <c r="M21" i="15"/>
  <c r="F35" i="15"/>
  <c r="M21" i="67"/>
  <c r="F35" i="67"/>
  <c r="AC7" i="35"/>
  <c r="V38" i="35"/>
  <c r="I38" i="35"/>
  <c r="C12" i="71"/>
  <c r="D13" i="71"/>
  <c r="C56" i="67"/>
  <c r="C65" i="67"/>
  <c r="J22" i="67"/>
  <c r="C37" i="67"/>
  <c r="C75" i="67"/>
  <c r="C36" i="15"/>
  <c r="J59" i="15"/>
  <c r="J60" i="15"/>
  <c r="Q48" i="15"/>
  <c r="C43" i="11"/>
  <c r="C42" i="11"/>
  <c r="C34" i="67"/>
  <c r="C31" i="67"/>
  <c r="F63" i="67"/>
  <c r="C62" i="67"/>
  <c r="C59" i="67"/>
  <c r="J20" i="67"/>
  <c r="J17" i="67"/>
  <c r="J19" i="15"/>
  <c r="Q49" i="15"/>
  <c r="C57" i="15"/>
  <c r="J14" i="15"/>
  <c r="J13" i="15"/>
  <c r="J23" i="15"/>
  <c r="C13" i="15"/>
  <c r="Q70" i="15"/>
  <c r="F63" i="15"/>
  <c r="C62" i="15"/>
  <c r="C34" i="15"/>
  <c r="J20" i="15"/>
  <c r="R16" i="1"/>
  <c r="L69" i="39"/>
  <c r="M67" i="39"/>
  <c r="S7" i="35"/>
  <c r="AA7" i="35"/>
  <c r="R38" i="35"/>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J22" i="15"/>
  <c r="C61" i="15"/>
  <c r="C59" i="15"/>
  <c r="C64" i="15"/>
  <c r="C37" i="15"/>
  <c r="C56" i="15"/>
  <c r="C65" i="15"/>
  <c r="C75" i="15"/>
  <c r="J17" i="15"/>
  <c r="C31" i="15"/>
  <c r="M69" i="39"/>
  <c r="N67" i="39"/>
  <c r="R39" i="35"/>
  <c r="E38" i="35"/>
  <c r="M63" i="40"/>
  <c r="L65" i="40"/>
  <c r="D2" i="21"/>
  <c r="C10" i="71"/>
  <c r="D11" i="71"/>
  <c r="C80" i="67"/>
  <c r="C79" i="67"/>
  <c r="C40" i="67"/>
  <c r="C45" i="67"/>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D2" i="34"/>
  <c r="D2" i="37"/>
  <c r="D2" i="35"/>
  <c r="D2" i="36"/>
  <c r="L51" i="15"/>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12" i="1"/>
  <c r="L46" i="15"/>
  <c r="B2" i="15"/>
  <c r="AO6" i="1"/>
  <c r="AO10" i="1"/>
  <c r="AO11" i="1"/>
  <c r="AO8" i="1"/>
  <c r="C7" i="71"/>
  <c r="D8" i="71"/>
  <c r="B3" i="15"/>
  <c r="Q66" i="15"/>
  <c r="Q75" i="15"/>
  <c r="Q62" i="15"/>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D5" i="74"/>
  <c r="B6" i="74"/>
  <c r="D6" i="74"/>
  <c r="S38" i="79"/>
  <c r="AG38" i="79"/>
  <c r="T38" i="79"/>
  <c r="AH38" i="79"/>
  <c r="U38" i="79"/>
  <c r="AI38" i="79"/>
  <c r="S39" i="79"/>
  <c r="AG39" i="79"/>
  <c r="T39" i="79"/>
  <c r="AH39" i="79"/>
  <c r="U39" i="79"/>
  <c r="AI39" i="79"/>
  <c r="S40" i="79"/>
  <c r="AG40" i="79"/>
  <c r="T40" i="79"/>
  <c r="AH40" i="79"/>
  <c r="U40" i="79"/>
  <c r="AI40" i="79"/>
  <c r="S41" i="79"/>
  <c r="AG41" i="79"/>
  <c r="T41" i="79"/>
  <c r="AH41" i="79"/>
  <c r="U41" i="79"/>
  <c r="AI41" i="79"/>
  <c r="S42" i="79"/>
  <c r="AG42" i="79"/>
  <c r="T42" i="79"/>
  <c r="AH42" i="79"/>
  <c r="U42" i="79"/>
  <c r="AI42" i="79"/>
  <c r="S43" i="79"/>
  <c r="AG43" i="79"/>
  <c r="T43" i="79"/>
  <c r="AH43" i="79"/>
  <c r="U43" i="79"/>
  <c r="AI43" i="79"/>
  <c r="S44" i="79"/>
  <c r="AG44" i="79"/>
  <c r="T44" i="79"/>
  <c r="AH44" i="79"/>
  <c r="U44" i="79"/>
  <c r="AI44" i="79"/>
  <c r="S45" i="79"/>
  <c r="AG45" i="79"/>
  <c r="T45" i="79"/>
  <c r="AH45" i="79"/>
  <c r="U45" i="79"/>
  <c r="AI45" i="79"/>
  <c r="S46" i="79"/>
  <c r="AG46" i="79"/>
  <c r="T46" i="79"/>
  <c r="AH46" i="79"/>
  <c r="U46" i="79"/>
  <c r="AI46" i="79"/>
  <c r="S47" i="79"/>
  <c r="AG47" i="79"/>
  <c r="T47" i="79"/>
  <c r="AH47" i="79"/>
  <c r="U47" i="79"/>
  <c r="AI47" i="79"/>
  <c r="S48" i="79"/>
  <c r="AG48" i="79"/>
  <c r="T48" i="79"/>
  <c r="AH48" i="79"/>
  <c r="U48" i="79"/>
  <c r="AI48" i="79"/>
  <c r="S49" i="79"/>
  <c r="AG49" i="79"/>
  <c r="T49" i="79"/>
  <c r="AH49" i="79"/>
  <c r="U49" i="79"/>
  <c r="AI49" i="79"/>
  <c r="S50" i="79"/>
  <c r="AG50" i="79"/>
  <c r="T50" i="79"/>
  <c r="AH50" i="79"/>
  <c r="U50" i="79"/>
  <c r="AI50" i="79"/>
  <c r="W38" i="79"/>
  <c r="AK38" i="79"/>
  <c r="W39" i="79"/>
  <c r="AK39" i="79"/>
  <c r="W40" i="79"/>
  <c r="AK40" i="79"/>
  <c r="W41" i="79"/>
  <c r="AK41" i="79"/>
  <c r="W42" i="79"/>
  <c r="AK42" i="79"/>
  <c r="W43" i="79"/>
  <c r="AK43" i="79"/>
  <c r="W44" i="79"/>
  <c r="AK44" i="79"/>
  <c r="W45" i="79"/>
  <c r="AK45" i="79"/>
  <c r="W46" i="79"/>
  <c r="AK46" i="79"/>
  <c r="W47" i="79"/>
  <c r="AK47" i="79"/>
  <c r="W48" i="79"/>
  <c r="AK48" i="79"/>
  <c r="W49" i="79"/>
  <c r="AK49" i="79"/>
  <c r="W50" i="79"/>
  <c r="AK50" i="79"/>
  <c r="Q16" i="1"/>
  <c r="F27" i="11"/>
  <c r="C46" i="11"/>
  <c r="C45" i="11"/>
  <c r="C47" i="11"/>
  <c r="D45" i="11"/>
  <c r="C49" i="11"/>
  <c r="F50" i="11"/>
  <c r="C51" i="11"/>
  <c r="C28" i="11"/>
  <c r="C27" i="11"/>
  <c r="C29" i="11"/>
  <c r="D27" i="11"/>
  <c r="C31" i="11"/>
  <c r="C52" i="11"/>
  <c r="C56" i="11"/>
  <c r="C57" i="11"/>
  <c r="B2" i="11"/>
  <c r="B3" i="11"/>
  <c r="F28" i="12"/>
  <c r="C30" i="12"/>
  <c r="C28" i="12"/>
  <c r="C29" i="12"/>
  <c r="D28" i="12"/>
  <c r="C32" i="12"/>
  <c r="B2" i="12"/>
  <c r="B3" i="12"/>
  <c r="F45" i="68"/>
  <c r="F45" i="82"/>
  <c r="F45" i="83"/>
  <c r="F45" i="84"/>
  <c r="F45" i="85"/>
  <c r="F45" i="86"/>
  <c r="B2" i="92"/>
  <c r="AO9" i="1"/>
  <c r="B9" i="70"/>
  <c r="B2" i="70"/>
  <c r="B3" i="70"/>
  <c r="C43" i="92"/>
  <c r="C45" i="92"/>
  <c r="C46" i="92"/>
  <c r="Q47" i="92"/>
  <c r="Q53" i="92"/>
  <c r="Q56" i="92"/>
  <c r="Q62" i="92"/>
  <c r="L51" i="92"/>
  <c r="Q67" i="92"/>
  <c r="Q69" i="92"/>
  <c r="Q68" i="92"/>
  <c r="Q65" i="92"/>
  <c r="Q75" i="92"/>
  <c r="C80" i="92"/>
  <c r="C79" i="92"/>
  <c r="C83" i="92"/>
  <c r="C82" i="92"/>
  <c r="C81" i="9"/>
  <c r="C104" i="9"/>
  <c r="H4" i="52"/>
  <c r="H119" i="9"/>
  <c r="H5" i="52"/>
  <c r="B30" i="72"/>
  <c r="C6" i="74"/>
  <c r="M54" i="9"/>
  <c r="D56" i="9"/>
  <c r="D58" i="9"/>
  <c r="C97" i="9"/>
  <c r="N58" i="9"/>
  <c r="P57" i="9"/>
  <c r="B47" i="72"/>
  <c r="D4" i="52"/>
  <c r="B20" i="72"/>
  <c r="D9" i="52"/>
  <c r="D123" i="9"/>
  <c r="D52" i="9"/>
  <c r="D53" i="9"/>
  <c r="C78" i="9"/>
  <c r="C73" i="9"/>
  <c r="M48" i="9"/>
  <c r="I4" i="52"/>
  <c r="C105" i="9"/>
  <c r="D118" i="9"/>
  <c r="D119" i="9"/>
  <c r="D5" i="52"/>
  <c r="B49" i="72"/>
  <c r="C68" i="9"/>
  <c r="D54" i="9"/>
  <c r="F4" i="52"/>
  <c r="B51" i="72"/>
  <c r="H108" i="9"/>
  <c r="D15" i="53"/>
  <c r="B31" i="72"/>
  <c r="D122" i="9"/>
  <c r="D8" i="52"/>
  <c r="C64" i="9"/>
  <c r="C63" i="9"/>
  <c r="C67" i="9"/>
  <c r="D59" i="9"/>
  <c r="M55" i="9"/>
  <c r="H107" i="9"/>
  <c r="D13" i="53"/>
  <c r="D14" i="53"/>
  <c r="B32" i="72"/>
  <c r="D5" i="53"/>
  <c r="D6" i="53"/>
  <c r="B22" i="72"/>
  <c r="N61" i="9"/>
  <c r="D55" i="9"/>
  <c r="M53" i="9"/>
  <c r="N57" i="9"/>
  <c r="N59" i="9"/>
  <c r="N60" i="9"/>
  <c r="H102" i="9"/>
  <c r="D7" i="53"/>
  <c r="B21" i="72"/>
  <c r="C72" i="9"/>
  <c r="C79" i="9"/>
  <c r="C80" i="9"/>
  <c r="E80" i="9"/>
  <c r="E81" i="9"/>
  <c r="G4" i="52"/>
  <c r="B52" i="72"/>
  <c r="E118" i="9"/>
  <c r="E4" i="52"/>
  <c r="B48" i="72"/>
  <c r="G118" i="9"/>
  <c r="F118" i="9"/>
  <c r="F119" i="9"/>
  <c r="F5" i="52"/>
  <c r="B53" i="72"/>
  <c r="C85" i="9"/>
  <c r="C95" i="9"/>
  <c r="C96" i="9"/>
  <c r="E96" i="9"/>
  <c r="E97" i="9"/>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85F0463-473A-4060-8F68-16092BE3AFAE}">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7995FBEF-B67C-4549-A4CE-3295D63FABEE}">
      <text>
        <r>
          <rPr>
            <sz val="10"/>
            <color indexed="81"/>
            <rFont val="宋体"/>
            <family val="3"/>
            <charset val="134"/>
          </rPr>
          <t xml:space="preserve">需注意，采用基准地价系数修正法中土地结果计算时，土地报酬率应采用该方法中报酬率（还原率）。
</t>
        </r>
      </text>
    </comment>
    <comment ref="L55" authorId="0" shapeId="0" xr:uid="{521A470E-FDA0-44DC-BD64-382AD0E70C39}">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DC052B5-DA2B-4FC8-913F-242E1FD8D951}">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C429C201-A1F5-4A01-A98C-A1C645F948F3}">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8E2C874A-ABAF-4074-8481-42CDF4116992}">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0BE3F0E-67F2-4E66-A7CE-CF6471F5650B}">
      <text>
        <r>
          <rPr>
            <sz val="10"/>
            <color indexed="81"/>
            <rFont val="宋体"/>
            <family val="3"/>
            <charset val="134"/>
          </rPr>
          <t xml:space="preserve">需注意，采用基准地价系数修正法中土地结果计算时，土地报酬率应采用该方法中报酬率（还原率）。
</t>
        </r>
      </text>
    </comment>
    <comment ref="L55" authorId="0" shapeId="0" xr:uid="{1CDA174F-2AB5-46A2-AFBE-987BD911EBFB}">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0822DA3-B9D3-410B-A6CF-11FB6BBEF029}">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51A6762C-73C8-467B-9D19-2189650FD211}">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BD8A76C-C5A6-4D9B-9B54-5DF049110A4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5C5E1B0-0DBB-4DD1-A9A3-9CA0AAE2F245}">
      <text>
        <r>
          <rPr>
            <sz val="10"/>
            <color indexed="81"/>
            <rFont val="宋体"/>
            <family val="3"/>
            <charset val="134"/>
          </rPr>
          <t xml:space="preserve">需注意，采用基准地价系数修正法中土地结果计算时，土地报酬率应采用该方法中报酬率（还原率）。
</t>
        </r>
      </text>
    </comment>
    <comment ref="L55" authorId="0" shapeId="0" xr:uid="{8891767E-4290-4E10-8ACE-F8055CB24F74}">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9E6A4267-7F45-460D-AF08-198357751D6F}">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1708338E-A4E9-4094-B256-261CA5B9ABA2}">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38A4AC7-7696-47CE-A506-7A844BA154A6}">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5838DF3-3938-4A8C-B3FA-253F7993F992}">
      <text>
        <r>
          <rPr>
            <sz val="10"/>
            <color indexed="81"/>
            <rFont val="宋体"/>
            <family val="3"/>
            <charset val="134"/>
          </rPr>
          <t xml:space="preserve">需注意，采用基准地价系数修正法中土地结果计算时，土地报酬率应采用该方法中报酬率（还原率）。
</t>
        </r>
      </text>
    </comment>
    <comment ref="L55" authorId="0" shapeId="0" xr:uid="{3A4CA063-9272-4707-BB63-5FFB96CB3673}">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A6248BD6-05A0-47AD-8CE8-07136075D82C}">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23B8732A-DC05-418A-AC99-EBB65FEBFFB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C1D129C-4EEB-472E-9876-DEA68D988B7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FD9F6011-C7BD-4791-BAA8-F7D26E90D2C5}">
      <text>
        <r>
          <rPr>
            <sz val="10"/>
            <color indexed="81"/>
            <rFont val="宋体"/>
            <family val="3"/>
            <charset val="134"/>
          </rPr>
          <t xml:space="preserve">需注意，采用基准地价系数修正法中土地结果计算时，土地报酬率应采用该方法中报酬率（还原率）。
</t>
        </r>
      </text>
    </comment>
    <comment ref="L55" authorId="0" shapeId="0" xr:uid="{E8CDC2AF-700E-4DBC-8DD6-BC1003A7C85D}">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6E9920F-81AA-41E0-BF20-6DFC3751404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8FF4515-8634-422F-A88C-8D7E00D82DC5}">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8B2A1296-7A44-4025-90E8-3457BB8DFF86}">
      <text>
        <r>
          <rPr>
            <sz val="10"/>
            <color indexed="81"/>
            <rFont val="宋体"/>
            <family val="3"/>
            <charset val="134"/>
          </rPr>
          <t xml:space="preserve">需注意，采用基准地价系数修正法中土地结果计算时，土地报酬率应采用该方法中报酬率（还原率）。
</t>
        </r>
      </text>
    </comment>
    <comment ref="L55" authorId="0" shapeId="0" xr:uid="{A04A6FD3-5EC2-42FE-96EC-C5895D7AADBA}">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D5D9B11-3F2E-4272-8314-FE74AB35F92B}">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9C91C48B-39DA-4D0B-9A61-D678104C3C28}">
      <text>
        <r>
          <rPr>
            <b/>
            <sz val="9"/>
            <color indexed="81"/>
            <rFont val="宋体"/>
            <family val="3"/>
            <charset val="134"/>
          </rPr>
          <t>对应区片地价表</t>
        </r>
        <r>
          <rPr>
            <sz val="9"/>
            <color indexed="81"/>
            <rFont val="宋体"/>
            <family val="3"/>
            <charset val="134"/>
          </rPr>
          <t xml:space="preserve">
</t>
        </r>
      </text>
    </comment>
    <comment ref="Y9" authorId="1" shapeId="0" xr:uid="{B9488EE2-4785-4C35-86D6-9495FA32D077}">
      <text>
        <r>
          <rPr>
            <sz val="11"/>
            <color indexed="81"/>
            <rFont val="宋体"/>
            <family val="3"/>
            <charset val="134"/>
          </rPr>
          <t xml:space="preserve">录入层数，将对应的结果录入至左侧相应层的楼层修正系数单元格中
</t>
        </r>
      </text>
    </comment>
    <comment ref="C16" authorId="1" shapeId="0" xr:uid="{A0C9BF17-68C3-441A-A1E4-B6F06B3608EE}">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995B7C12-A0A9-4FD1-BA63-9EB4507F27C3}">
      <text>
        <r>
          <rPr>
            <sz val="12"/>
            <color indexed="81"/>
            <rFont val="宋体"/>
            <family val="3"/>
            <charset val="134"/>
          </rPr>
          <t>1.05~1.1</t>
        </r>
        <r>
          <rPr>
            <sz val="9"/>
            <color indexed="81"/>
            <rFont val="宋体"/>
            <family val="3"/>
            <charset val="134"/>
          </rPr>
          <t xml:space="preserve">
</t>
        </r>
      </text>
    </comment>
    <comment ref="E16" authorId="1" shapeId="0" xr:uid="{7152B85D-67CA-4D10-A28C-FD23FD2663B3}">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C5EA3EB6-DE96-4194-8656-6B249D21F60E}">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3AA18D14-E208-4CCB-9204-E13ED2312EF8}">
      <text>
        <r>
          <rPr>
            <b/>
            <sz val="14"/>
            <color indexed="81"/>
            <rFont val="宋体"/>
            <family val="3"/>
            <charset val="134"/>
          </rPr>
          <t>工业选“中心城区”</t>
        </r>
        <r>
          <rPr>
            <sz val="9"/>
            <color indexed="81"/>
            <rFont val="宋体"/>
            <family val="3"/>
            <charset val="134"/>
          </rPr>
          <t xml:space="preserve">
</t>
        </r>
      </text>
    </comment>
    <comment ref="B35" authorId="4" shapeId="0" xr:uid="{9B5E3CD8-3893-482B-AF78-43FF32157056}">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53B7A796-4956-4536-8037-C1E1123D58FF}">
      <text>
        <r>
          <rPr>
            <sz val="9"/>
            <color indexed="81"/>
            <rFont val="宋体"/>
            <family val="3"/>
            <charset val="134"/>
          </rPr>
          <t xml:space="preserve">需在此处填写剩余土地年限
</t>
        </r>
      </text>
    </comment>
    <comment ref="C111" authorId="0" shapeId="0" xr:uid="{B4076DC1-EC02-4A43-9AAB-94053434742D}">
      <text>
        <r>
          <rPr>
            <b/>
            <sz val="9"/>
            <color indexed="81"/>
            <rFont val="宋体"/>
            <family val="3"/>
            <charset val="134"/>
          </rPr>
          <t xml:space="preserve">所在楼层
</t>
        </r>
        <r>
          <rPr>
            <sz val="9"/>
            <color indexed="81"/>
            <rFont val="宋体"/>
            <family val="3"/>
            <charset val="134"/>
          </rPr>
          <t xml:space="preserve">
</t>
        </r>
      </text>
    </comment>
    <comment ref="D111" authorId="0" shapeId="0" xr:uid="{094CC8A6-92D8-4461-8A2A-BC1C1EF046D5}">
      <text>
        <r>
          <rPr>
            <b/>
            <sz val="9"/>
            <color indexed="81"/>
            <rFont val="宋体"/>
            <family val="3"/>
            <charset val="134"/>
          </rPr>
          <t xml:space="preserve">所在楼层
</t>
        </r>
        <r>
          <rPr>
            <sz val="9"/>
            <color indexed="81"/>
            <rFont val="宋体"/>
            <family val="3"/>
            <charset val="134"/>
          </rPr>
          <t xml:space="preserve">
</t>
        </r>
      </text>
    </comment>
    <comment ref="E111" authorId="0" shapeId="0" xr:uid="{F6D74646-2F98-4055-9BFA-A2478F6898C4}">
      <text>
        <r>
          <rPr>
            <b/>
            <sz val="9"/>
            <color indexed="81"/>
            <rFont val="宋体"/>
            <family val="3"/>
            <charset val="134"/>
          </rPr>
          <t xml:space="preserve">所在楼层
</t>
        </r>
        <r>
          <rPr>
            <sz val="9"/>
            <color indexed="81"/>
            <rFont val="宋体"/>
            <family val="3"/>
            <charset val="134"/>
          </rPr>
          <t xml:space="preserve">
</t>
        </r>
      </text>
    </comment>
    <comment ref="F111" authorId="0" shapeId="0" xr:uid="{70E3C6A9-2861-4F0A-BECD-613849BE7FD7}">
      <text>
        <r>
          <rPr>
            <b/>
            <sz val="9"/>
            <color indexed="81"/>
            <rFont val="宋体"/>
            <family val="3"/>
            <charset val="134"/>
          </rPr>
          <t xml:space="preserve">所在楼层
</t>
        </r>
        <r>
          <rPr>
            <sz val="9"/>
            <color indexed="81"/>
            <rFont val="宋体"/>
            <family val="3"/>
            <charset val="134"/>
          </rPr>
          <t xml:space="preserve">
</t>
        </r>
      </text>
    </comment>
    <comment ref="G111" authorId="0" shapeId="0" xr:uid="{139BB398-F12B-45AE-B85F-39488FB001DC}">
      <text>
        <r>
          <rPr>
            <b/>
            <sz val="9"/>
            <color indexed="81"/>
            <rFont val="宋体"/>
            <family val="3"/>
            <charset val="134"/>
          </rPr>
          <t xml:space="preserve">所在楼层
</t>
        </r>
        <r>
          <rPr>
            <sz val="9"/>
            <color indexed="81"/>
            <rFont val="宋体"/>
            <family val="3"/>
            <charset val="134"/>
          </rPr>
          <t xml:space="preserve">
</t>
        </r>
      </text>
    </comment>
    <comment ref="H111" authorId="0" shapeId="0" xr:uid="{E81E9C7B-3605-41AA-B377-BA572D211B58}">
      <text>
        <r>
          <rPr>
            <b/>
            <sz val="9"/>
            <color indexed="81"/>
            <rFont val="宋体"/>
            <family val="3"/>
            <charset val="134"/>
          </rPr>
          <t xml:space="preserve">所在楼层
</t>
        </r>
        <r>
          <rPr>
            <sz val="9"/>
            <color indexed="81"/>
            <rFont val="宋体"/>
            <family val="3"/>
            <charset val="134"/>
          </rPr>
          <t xml:space="preserve">
</t>
        </r>
      </text>
    </comment>
    <comment ref="I111" authorId="0" shapeId="0" xr:uid="{8D698151-DF57-41B1-A581-AA1503662110}">
      <text>
        <r>
          <rPr>
            <b/>
            <sz val="9"/>
            <color indexed="81"/>
            <rFont val="宋体"/>
            <family val="3"/>
            <charset val="134"/>
          </rPr>
          <t xml:space="preserve">所在楼层
</t>
        </r>
        <r>
          <rPr>
            <sz val="9"/>
            <color indexed="81"/>
            <rFont val="宋体"/>
            <family val="3"/>
            <charset val="134"/>
          </rPr>
          <t xml:space="preserve">
</t>
        </r>
      </text>
    </comment>
    <comment ref="J111" authorId="0" shapeId="0" xr:uid="{29A14FC5-05E7-4E9A-93C5-CB6E736CDEB7}">
      <text>
        <r>
          <rPr>
            <b/>
            <sz val="9"/>
            <color indexed="81"/>
            <rFont val="宋体"/>
            <family val="3"/>
            <charset val="134"/>
          </rPr>
          <t xml:space="preserve">所在楼层
</t>
        </r>
        <r>
          <rPr>
            <sz val="9"/>
            <color indexed="81"/>
            <rFont val="宋体"/>
            <family val="3"/>
            <charset val="134"/>
          </rPr>
          <t xml:space="preserve">
</t>
        </r>
      </text>
    </comment>
    <comment ref="K111" authorId="0" shapeId="0" xr:uid="{21C0602B-BD82-49EF-B60D-47FC3ABC0CE4}">
      <text>
        <r>
          <rPr>
            <b/>
            <sz val="9"/>
            <color indexed="81"/>
            <rFont val="宋体"/>
            <family val="3"/>
            <charset val="134"/>
          </rPr>
          <t xml:space="preserve">所在楼层
</t>
        </r>
        <r>
          <rPr>
            <sz val="9"/>
            <color indexed="81"/>
            <rFont val="宋体"/>
            <family val="3"/>
            <charset val="134"/>
          </rPr>
          <t xml:space="preserve">
</t>
        </r>
      </text>
    </comment>
    <comment ref="L111" authorId="0" shapeId="0" xr:uid="{980D5C58-7E3A-4FB4-8B5A-E4EE508E74B0}">
      <text>
        <r>
          <rPr>
            <b/>
            <sz val="9"/>
            <color indexed="81"/>
            <rFont val="宋体"/>
            <family val="3"/>
            <charset val="134"/>
          </rPr>
          <t xml:space="preserve">所在楼层
</t>
        </r>
        <r>
          <rPr>
            <sz val="9"/>
            <color indexed="81"/>
            <rFont val="宋体"/>
            <family val="3"/>
            <charset val="134"/>
          </rPr>
          <t xml:space="preserve">
</t>
        </r>
      </text>
    </comment>
    <comment ref="M111" authorId="0" shapeId="0" xr:uid="{859FA417-A329-4AF9-BED1-794E30C515EF}">
      <text>
        <r>
          <rPr>
            <b/>
            <sz val="9"/>
            <color indexed="81"/>
            <rFont val="宋体"/>
            <family val="3"/>
            <charset val="134"/>
          </rPr>
          <t xml:space="preserve">所在楼层
</t>
        </r>
        <r>
          <rPr>
            <sz val="9"/>
            <color indexed="81"/>
            <rFont val="宋体"/>
            <family val="3"/>
            <charset val="134"/>
          </rPr>
          <t xml:space="preserve">
</t>
        </r>
      </text>
    </comment>
    <comment ref="N111" authorId="0" shapeId="0" xr:uid="{B8E07EC3-8806-4665-B7D2-A28B450CC7C7}">
      <text>
        <r>
          <rPr>
            <b/>
            <sz val="9"/>
            <color indexed="81"/>
            <rFont val="宋体"/>
            <family val="3"/>
            <charset val="134"/>
          </rPr>
          <t xml:space="preserve">所在楼层
</t>
        </r>
        <r>
          <rPr>
            <sz val="9"/>
            <color indexed="81"/>
            <rFont val="宋体"/>
            <family val="3"/>
            <charset val="134"/>
          </rPr>
          <t xml:space="preserve">
</t>
        </r>
      </text>
    </comment>
    <comment ref="D116" authorId="0" shapeId="0" xr:uid="{2CB5B7AA-141D-4E58-9E74-BA9630284F7C}">
      <text>
        <r>
          <rPr>
            <b/>
            <sz val="9"/>
            <color indexed="81"/>
            <rFont val="宋体"/>
            <family val="3"/>
            <charset val="134"/>
          </rPr>
          <t>依用途、级别选择录入</t>
        </r>
        <r>
          <rPr>
            <sz val="9"/>
            <color indexed="81"/>
            <rFont val="宋体"/>
            <family val="3"/>
            <charset val="134"/>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631553CC-3C8C-4FC1-B0B0-A20D0450F807}">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<sst xmlns="http://schemas.openxmlformats.org/spreadsheetml/2006/main" count="12284" uniqueCount="3527">
  <si>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</si>
  <si>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</si>
  <si>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</si>
  <si>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</si>
  <si>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</si>
  <si>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</si>
  <si>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</si>
  <si>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</si>
  <si>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</si>
  <si>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</si>
  <si>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</si>
  <si>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</si>
  <si>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</si>
  <si>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</si>
  <si>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</si>
  <si>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</si>
  <si>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</si>
  <si>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</si>
  <si>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</si>
  <si>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</si>
  <si>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</si>
  <si>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</si>
  <si>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</si>
  <si>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</si>
  <si>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</si>
  <si>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</si>
  <si>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</si>
  <si>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</si>
  <si>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</si>
  <si>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</si>
  <si>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</si>
  <si>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</si>
  <si>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</si>
  <si>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</si>
  <si>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</si>
  <si>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</si>
  <si>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</si>
  <si>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</si>
  <si>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</si>
  <si>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</si>
  <si>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</si>
  <si>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</si>
  <si>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</si>
  <si>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</si>
  <si>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</si>
  <si>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</si>
  <si>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</si>
  <si>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</si>
  <si>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</si>
  <si>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</si>
  <si>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</si>
  <si>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</si>
  <si>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</si>
  <si>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</si>
  <si>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</si>
  <si>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</si>
  <si>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</si>
  <si>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</si>
  <si>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</si>
  <si>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</si>
  <si>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</si>
  <si>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</si>
  <si>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</si>
  <si>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</si>
  <si>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</si>
  <si>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</si>
  <si>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</si>
  <si>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</si>
  <si>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</si>
  <si>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</si>
  <si>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</si>
  <si>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</si>
  <si>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</si>
  <si>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</si>
  <si>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</si>
  <si>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</si>
  <si>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</si>
  <si>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</si>
  <si>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</si>
  <si>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</si>
  <si>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</si>
  <si>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</si>
  <si>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</si>
  <si>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</si>
  <si>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</si>
  <si>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</si>
  <si>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</si>
  <si>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</si>
  <si>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</si>
  <si>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</si>
  <si>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</si>
  <si>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</si>
  <si>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</si>
  <si>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</si>
  <si>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</si>
  <si>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</si>
  <si>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</si>
  <si>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</si>
  <si>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</si>
  <si>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</si>
  <si>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</si>
  <si>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</si>
  <si>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</si>
  <si>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</si>
  <si>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</si>
  <si>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</si>
  <si>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</si>
  <si>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</si>
  <si>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</si>
  <si>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</si>
  <si>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</si>
  <si>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</si>
  <si>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</si>
  <si>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</si>
  <si>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</si>
  <si>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</si>
  <si>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</si>
  <si>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</si>
  <si>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</si>
  <si>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</si>
  <si>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</si>
  <si>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</si>
  <si>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</si>
  <si>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</si>
  <si>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</si>
  <si>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</si>
  <si>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</si>
  <si>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</si>
  <si>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</si>
  <si>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</si>
  <si>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</si>
  <si>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</si>
  <si>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</si>
  <si>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</si>
  <si>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</si>
  <si>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</si>
  <si>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</si>
  <si>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</si>
  <si>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</si>
  <si>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</si>
  <si>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</si>
  <si>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</si>
  <si>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</si>
  <si>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</si>
  <si>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</si>
  <si>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</si>
  <si>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</si>
  <si>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</si>
  <si>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</si>
  <si>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</si>
  <si>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</si>
  <si>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</si>
  <si>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</si>
  <si>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</si>
  <si>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</si>
  <si>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</si>
  <si>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</si>
  <si>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</si>
  <si>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</si>
  <si>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</si>
  <si>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</si>
  <si>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</si>
  <si>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</si>
  <si>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</si>
  <si>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</si>
  <si>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</si>
  <si>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</si>
  <si>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</si>
  <si>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</si>
  <si>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</si>
  <si>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</si>
  <si>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</si>
  <si>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</si>
  <si>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</si>
  <si>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</si>
  <si>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</si>
  <si>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</si>
  <si>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</si>
  <si>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</si>
  <si>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</si>
  <si>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</si>
  <si>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</si>
  <si>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</si>
  <si>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</si>
  <si>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</si>
  <si>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</si>
  <si>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</si>
  <si>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</si>
  <si>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</si>
  <si>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</si>
  <si>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</si>
  <si>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</si>
  <si>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</si>
  <si>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</si>
  <si>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</si>
  <si>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</si>
  <si>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</si>
  <si>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</si>
  <si>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</si>
  <si>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</si>
  <si>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</si>
  <si>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</si>
  <si>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</si>
  <si>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</si>
  <si>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</si>
  <si>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</si>
  <si>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</si>
  <si>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</si>
  <si>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</si>
  <si>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</si>
  <si>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</si>
  <si>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</si>
  <si>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</si>
  <si>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</si>
  <si>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</si>
  <si>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</si>
  <si>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</si>
  <si>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</si>
  <si>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</si>
  <si>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</si>
  <si>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</si>
  <si>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</si>
  <si>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</si>
  <si>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</si>
  <si>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</si>
  <si>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</si>
  <si>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</si>
  <si>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</si>
  <si>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</si>
  <si>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</si>
  <si>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</si>
  <si>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</si>
  <si>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</si>
  <si>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</si>
  <si>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</si>
  <si>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</si>
  <si>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</si>
  <si>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</si>
  <si>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</si>
  <si>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</si>
  <si>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</si>
  <si>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</si>
  <si>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</si>
  <si>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</si>
  <si>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</si>
  <si>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</si>
  <si>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</si>
  <si>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</si>
  <si>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</si>
  <si>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</si>
  <si>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</si>
  <si>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</si>
  <si>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</si>
  <si>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</si>
  <si>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</si>
  <si>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</si>
  <si>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</si>
  <si>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</si>
  <si>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</si>
  <si>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</si>
  <si>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</si>
  <si>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</si>
  <si>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</si>
  <si>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</si>
  <si>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</si>
  <si>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</si>
  <si>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</si>
  <si>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</si>
  <si>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</si>
  <si>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</si>
  <si>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</si>
  <si>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</si>
  <si>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</si>
  <si>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</si>
  <si>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</si>
  <si>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</si>
  <si>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</si>
  <si>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</si>
  <si>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</si>
  <si>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</si>
  <si>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</si>
  <si>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</si>
  <si>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</si>
  <si>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</si>
  <si>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</si>
  <si>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</si>
  <si>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</si>
  <si>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</si>
  <si>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</si>
  <si>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</si>
  <si>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</si>
  <si>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</si>
  <si>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</si>
  <si>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</si>
  <si>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</si>
  <si>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</si>
  <si>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</si>
  <si>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</si>
  <si>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</si>
  <si>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</si>
  <si>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</si>
  <si>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</si>
  <si>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</si>
  <si>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</si>
  <si>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</si>
  <si>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</si>
  <si>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</si>
  <si>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</si>
  <si>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</si>
  <si>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</si>
  <si>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</si>
  <si>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</si>
  <si>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</si>
  <si>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</si>
  <si>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</si>
  <si>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</si>
  <si>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</si>
  <si>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</si>
  <si>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</si>
  <si>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</si>
  <si>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</si>
  <si>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</si>
  <si>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</si>
  <si>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</si>
  <si>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</si>
  <si>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</si>
  <si>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</si>
  <si>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</si>
  <si>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</si>
  <si>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</si>
  <si>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</si>
  <si>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</si>
  <si>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</si>
  <si>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</si>
  <si>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</si>
  <si>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</si>
  <si>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</si>
  <si>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</si>
  <si>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</si>
  <si>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</si>
  <si>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</si>
  <si>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</si>
  <si>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</si>
  <si>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</si>
  <si>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</si>
  <si>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</si>
  <si>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</si>
  <si>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</si>
  <si>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</si>
  <si>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</si>
  <si>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</si>
  <si>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</si>
  <si>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</si>
  <si>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</si>
  <si>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</si>
  <si>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</si>
  <si>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</si>
  <si>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</si>
  <si>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</si>
  <si>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</si>
  <si>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</si>
  <si>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</si>
  <si>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</si>
  <si>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</si>
  <si>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</si>
  <si>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</si>
  <si>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</si>
  <si>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</si>
  <si>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</si>
  <si>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</si>
  <si>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</si>
  <si>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</si>
  <si>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</si>
  <si>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</si>
  <si>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</si>
  <si>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</si>
  <si>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</si>
  <si>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</si>
  <si>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</si>
  <si>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</si>
  <si>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</si>
  <si>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</si>
  <si>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</si>
  <si>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</si>
  <si>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</si>
  <si>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</si>
  <si>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</si>
  <si>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</si>
  <si>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</si>
  <si>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</si>
  <si>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</si>
  <si>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</si>
  <si>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</si>
  <si>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</si>
  <si>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</si>
  <si>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</si>
  <si>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</si>
  <si>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</si>
  <si>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</si>
  <si>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</si>
  <si>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</si>
  <si>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</si>
  <si>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</si>
  <si>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</si>
  <si>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</si>
  <si>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</si>
  <si>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</si>
  <si>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</si>
  <si>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</si>
  <si>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</si>
  <si>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</si>
  <si>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</si>
  <si>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</si>
  <si>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</si>
  <si>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</si>
  <si>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</si>
  <si>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</si>
  <si>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</si>
  <si>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</si>
  <si>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</si>
  <si>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</si>
  <si>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</si>
  <si>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</si>
  <si>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</si>
  <si>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</si>
  <si>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</si>
  <si>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</si>
  <si>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</si>
  <si>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</si>
  <si>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</si>
  <si>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</si>
  <si>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</si>
  <si>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</si>
  <si>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</si>
  <si>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</si>
  <si>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</si>
  <si>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</si>
  <si>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</si>
  <si>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</si>
  <si>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</si>
  <si>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</si>
  <si>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</si>
  <si>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</si>
  <si>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</si>
  <si>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</si>
  <si>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</si>
  <si>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</si>
  <si>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</si>
  <si>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</si>
  <si>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</si>
  <si>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</si>
  <si>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</si>
  <si>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</si>
  <si>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</si>
  <si>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</si>
  <si>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</si>
  <si>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</si>
  <si>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</si>
  <si>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</si>
  <si>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</si>
  <si>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</si>
  <si>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</si>
  <si>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</si>
  <si>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</si>
  <si>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</si>
  <si>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</si>
  <si>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</si>
  <si>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</si>
  <si>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</si>
  <si>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</si>
  <si>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</si>
  <si>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</si>
  <si>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</si>
  <si>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</si>
  <si>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</si>
  <si>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</si>
  <si>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</si>
  <si>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</si>
  <si>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</si>
  <si>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</si>
  <si>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</si>
  <si>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</si>
  <si>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</si>
  <si>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</si>
  <si>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</si>
  <si>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</si>
  <si>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</si>
  <si>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</si>
  <si>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</si>
  <si>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</si>
  <si>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</si>
  <si>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</si>
  <si>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</si>
  <si>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</si>
  <si>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</si>
  <si>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</si>
  <si>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</si>
  <si>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</si>
  <si>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</si>
  <si>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</si>
  <si>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</si>
  <si>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</si>
  <si>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</si>
  <si>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</si>
  <si>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</si>
  <si>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</si>
  <si>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</si>
  <si>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</si>
  <si>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</si>
  <si>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</si>
  <si>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</si>
  <si>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</si>
  <si>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</si>
  <si>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</si>
  <si>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</si>
  <si>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</si>
  <si>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</si>
  <si>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</si>
  <si>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</si>
  <si>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</si>
  <si>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</si>
  <si>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</si>
  <si>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</si>
  <si>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</si>
  <si>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</si>
  <si>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</si>
  <si>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</si>
  <si>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</si>
  <si>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</si>
  <si>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</si>
  <si>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</si>
  <si>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</si>
  <si>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</si>
  <si>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</si>
  <si>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</si>
  <si>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</si>
  <si>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</si>
  <si>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</si>
  <si>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</si>
  <si>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</si>
  <si>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</si>
  <si>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</si>
  <si>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</si>
  <si>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</si>
  <si>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</si>
  <si>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</si>
  <si>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</si>
  <si>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</si>
  <si>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</si>
  <si>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</si>
  <si>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</si>
  <si>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</si>
  <si>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</si>
  <si>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</si>
  <si>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</si>
  <si>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</si>
  <si>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</si>
  <si>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</si>
  <si>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</si>
  <si>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</si>
  <si>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</si>
  <si>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</si>
  <si>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</si>
  <si>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</si>
  <si>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</si>
  <si>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</si>
  <si>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</si>
  <si>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</si>
  <si>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</si>
  <si>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</si>
  <si>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</si>
  <si>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</si>
  <si>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</si>
  <si>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</si>
  <si>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</si>
  <si>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</si>
  <si>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</si>
  <si>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</si>
  <si>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</si>
  <si>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</si>
  <si>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</si>
  <si>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</si>
  <si>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</si>
  <si>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</si>
  <si>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</si>
  <si>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</si>
  <si>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</si>
  <si>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</si>
  <si>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</si>
  <si>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</si>
  <si>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</si>
  <si>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</si>
  <si>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</si>
  <si>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</si>
  <si>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</si>
  <si>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</si>
  <si>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</si>
  <si>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</si>
  <si>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</si>
  <si>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</si>
  <si>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</si>
  <si>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</si>
  <si>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</si>
  <si>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</si>
  <si>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</si>
  <si>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</si>
  <si>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</si>
  <si>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</si>
  <si>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</si>
  <si>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</si>
  <si>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</si>
  <si>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</si>
  <si>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</si>
  <si>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</si>
  <si>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</si>
  <si>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</si>
  <si>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</si>
  <si>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</si>
  <si>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</si>
  <si>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</si>
  <si>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</si>
  <si>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</si>
  <si>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</si>
  <si>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</si>
  <si>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</si>
  <si>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</si>
  <si>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</si>
  <si>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</si>
  <si>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</si>
  <si>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</si>
  <si>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</si>
  <si>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</si>
  <si>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</si>
  <si>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</si>
  <si>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</si>
  <si>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</si>
  <si>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</si>
  <si>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</si>
  <si>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</si>
  <si>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</si>
  <si>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</si>
  <si>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</si>
  <si>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</si>
  <si>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</si>
  <si>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</si>
  <si>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</si>
  <si>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</si>
  <si>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</si>
  <si>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</si>
  <si>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</si>
  <si>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</si>
  <si>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</si>
  <si>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</si>
  <si>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</si>
  <si>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</si>
  <si>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</si>
  <si>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</si>
  <si>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</si>
  <si>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</si>
  <si>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</si>
  <si>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</si>
  <si>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</si>
  <si>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</si>
  <si>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</si>
  <si>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</si>
  <si>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</si>
  <si>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</si>
  <si>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</si>
  <si>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</si>
  <si>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</si>
  <si>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</si>
  <si>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</si>
  <si>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</si>
  <si>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</si>
  <si>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</si>
  <si>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</si>
  <si>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</si>
  <si>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</si>
  <si>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</si>
  <si>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</si>
  <si>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</si>
  <si>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</si>
  <si>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</si>
  <si>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</si>
  <si>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</si>
  <si>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</si>
  <si>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</si>
  <si>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</si>
  <si>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</si>
  <si>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</si>
  <si>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</si>
  <si>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</si>
  <si>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</si>
  <si>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</si>
  <si>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</si>
  <si>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</si>
  <si>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</si>
  <si>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</si>
  <si>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</si>
  <si>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</si>
  <si>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</si>
  <si>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</si>
  <si>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</si>
  <si>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</si>
  <si>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</si>
  <si>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</si>
  <si>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</si>
  <si>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</si>
  <si>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</si>
  <si>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</si>
  <si>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</si>
  <si>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</si>
  <si>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</si>
  <si>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</si>
  <si>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</si>
  <si>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</si>
  <si>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</si>
  <si>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</si>
  <si>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</si>
  <si>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</si>
  <si>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</si>
  <si>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</si>
  <si>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</si>
  <si>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</si>
  <si>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</si>
  <si>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</si>
  <si>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</si>
  <si>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</si>
  <si>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</si>
  <si>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</si>
  <si>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</si>
  <si>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</si>
  <si>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</si>
  <si>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</si>
  <si>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</si>
  <si>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</si>
  <si>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</si>
  <si>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</si>
  <si>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</si>
  <si>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</si>
  <si>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</si>
  <si>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</si>
  <si>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</si>
  <si>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</si>
  <si>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</si>
  <si>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</si>
  <si>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</si>
  <si>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</si>
  <si>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</si>
  <si>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</si>
  <si>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</si>
  <si>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</si>
  <si>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</si>
  <si>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</si>
  <si>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</si>
  <si>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</si>
  <si>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</si>
  <si>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</si>
  <si>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</si>
  <si>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</si>
  <si>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</si>
  <si>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</si>
  <si>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</si>
  <si>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</si>
  <si>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</si>
  <si>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</si>
  <si>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</si>
  <si>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</si>
  <si>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</si>
  <si>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</si>
  <si>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</si>
  <si>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</si>
  <si>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</si>
  <si>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</si>
  <si>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</si>
  <si>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</si>
  <si>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</si>
  <si>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</si>
  <si>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</si>
  <si>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</si>
  <si>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</si>
  <si>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</si>
  <si>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</si>
  <si>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</si>
  <si>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</si>
  <si>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</si>
  <si>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</si>
  <si>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</si>
  <si>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</si>
  <si>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</si>
  <si>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</si>
  <si>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</si>
  <si>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</si>
  <si>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</si>
  <si>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</si>
  <si>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</si>
  <si>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</si>
  <si>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</si>
  <si>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</si>
  <si>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</si>
  <si>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</si>
  <si>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</si>
  <si>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</si>
  <si>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</si>
  <si>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</si>
  <si>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</si>
  <si>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</si>
  <si>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</si>
  <si>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</si>
  <si>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</si>
  <si>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</si>
  <si>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</si>
  <si>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</si>
  <si>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</si>
  <si>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</si>
  <si>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</si>
  <si>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</si>
  <si>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</si>
  <si>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</si>
  <si>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</si>
  <si>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</si>
  <si>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</si>
  <si>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</si>
  <si>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</si>
  <si>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</si>
  <si>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</si>
  <si>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</si>
  <si>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</si>
  <si>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</si>
  <si>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</si>
  <si>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</si>
  <si>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</si>
  <si>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</si>
  <si>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</si>
  <si>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</si>
  <si>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</si>
  <si>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</si>
  <si>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</si>
  <si>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</si>
  <si>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</si>
  <si>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</si>
  <si>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</si>
  <si>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</si>
  <si>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</si>
  <si>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</si>
  <si>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</si>
  <si>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</si>
  <si>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</si>
  <si>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</si>
  <si>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</si>
  <si>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</si>
  <si>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</si>
  <si>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</si>
  <si>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</si>
  <si>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</si>
  <si>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</si>
  <si>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</si>
  <si>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</si>
  <si>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</si>
  <si>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</si>
  <si>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</si>
  <si>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</si>
  <si>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</si>
  <si>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</si>
  <si>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</si>
  <si>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</si>
  <si>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</si>
  <si>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</si>
  <si>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</si>
  <si>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</si>
  <si>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</si>
  <si>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</si>
  <si>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</si>
  <si>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</si>
  <si>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</si>
  <si>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</si>
  <si>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</si>
  <si>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</si>
  <si>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</si>
  <si>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</si>
  <si>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</si>
  <si>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</si>
  <si>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</si>
  <si>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</si>
  <si>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</si>
  <si>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</si>
  <si>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</si>
  <si>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</si>
  <si>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</si>
  <si>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</si>
  <si>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</si>
  <si>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</si>
  <si>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</si>
  <si>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</si>
  <si>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</si>
  <si>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</si>
  <si>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</si>
  <si>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</si>
  <si>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</si>
  <si>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</si>
  <si>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</si>
  <si>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</si>
  <si>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</si>
  <si>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</si>
  <si>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</si>
  <si>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</si>
  <si>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</si>
  <si>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</si>
  <si>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</si>
  <si>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</si>
  <si>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</si>
  <si>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</si>
  <si>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</si>
  <si>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</si>
  <si>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</si>
  <si>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</si>
  <si>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</si>
  <si>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</si>
  <si>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</si>
  <si>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</si>
  <si>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</si>
  <si>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</si>
  <si>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</si>
  <si>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</si>
  <si>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</si>
  <si>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</si>
  <si>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</si>
  <si>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</si>
  <si>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</si>
  <si>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</si>
  <si>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</si>
  <si>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</si>
  <si>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</si>
  <si>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</si>
  <si>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</si>
  <si>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</si>
  <si>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</si>
  <si>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</si>
  <si>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</si>
  <si>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</si>
  <si>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</si>
  <si>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</si>
  <si>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</si>
  <si>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</si>
  <si>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</si>
  <si>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</si>
  <si>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</si>
  <si>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</si>
  <si>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</si>
  <si>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</si>
  <si>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</si>
  <si>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</si>
  <si>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</si>
  <si>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</si>
  <si>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</si>
  <si>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</si>
  <si>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</si>
  <si>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</si>
  <si>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</si>
  <si>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</si>
  <si>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</si>
  <si>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</si>
  <si>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</si>
  <si>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</si>
  <si>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</si>
  <si>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</si>
  <si>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</si>
  <si>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</si>
  <si>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</si>
  <si>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</si>
  <si>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</si>
  <si>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</si>
  <si>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</si>
  <si>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</si>
  <si>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</si>
  <si>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</si>
  <si>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</si>
  <si>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</si>
  <si>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</si>
  <si>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</si>
  <si>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</si>
  <si>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</si>
  <si>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</si>
  <si>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</si>
  <si>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</si>
  <si>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</si>
  <si>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</si>
  <si>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</si>
  <si>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</si>
  <si>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</si>
  <si>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</si>
  <si>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</si>
  <si>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</si>
  <si>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</si>
  <si>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</si>
  <si>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</si>
  <si>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</si>
  <si>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</si>
  <si>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</si>
  <si>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</si>
  <si>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</si>
  <si>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</si>
  <si>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</si>
  <si>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</si>
  <si>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</si>
  <si>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</si>
  <si>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</si>
  <si>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</si>
  <si>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</si>
  <si>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</si>
  <si>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</si>
  <si>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</si>
  <si>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</si>
  <si>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</si>
  <si>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</si>
  <si>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</si>
  <si>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</si>
  <si>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</si>
  <si>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</si>
  <si>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</si>
  <si>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</si>
  <si>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</si>
  <si>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</si>
  <si>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</si>
  <si>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</si>
  <si>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</si>
  <si>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</si>
  <si>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</si>
  <si>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</si>
  <si>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</si>
  <si>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</si>
  <si>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</si>
  <si>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</si>
  <si>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</si>
  <si>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</si>
  <si>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</si>
  <si>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</si>
  <si>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</si>
  <si>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</si>
  <si>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</si>
  <si>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</si>
  <si>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</si>
  <si>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</si>
  <si>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</si>
  <si>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</si>
  <si>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</si>
  <si>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</si>
  <si>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</si>
  <si>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</si>
  <si>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</si>
  <si>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</si>
  <si>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</si>
  <si>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</si>
  <si>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</si>
  <si>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</si>
  <si>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</si>
  <si>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</si>
  <si>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</si>
  <si>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</si>
  <si>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</si>
  <si>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</si>
  <si>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</si>
  <si>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</si>
  <si>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</si>
  <si>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</si>
  <si>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</si>
  <si>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</si>
  <si>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</si>
  <si>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</si>
  <si>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</si>
  <si>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</si>
  <si>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</si>
  <si>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</si>
  <si>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</si>
  <si>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</si>
  <si>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</si>
  <si>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</si>
  <si>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</si>
  <si>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</si>
  <si>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</si>
  <si>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</si>
  <si>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</si>
  <si>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</si>
  <si>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</si>
  <si>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</si>
  <si>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</si>
  <si>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</si>
  <si>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</si>
  <si>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</si>
  <si>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</si>
  <si>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</si>
  <si>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</si>
  <si>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</si>
  <si>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</si>
  <si>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</si>
  <si>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</si>
  <si>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</si>
  <si>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</si>
  <si>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</si>
  <si>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</si>
  <si>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</si>
  <si>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</si>
  <si>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</si>
  <si>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</si>
  <si>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</si>
  <si>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</si>
  <si>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</si>
  <si>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</si>
  <si>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</si>
  <si>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</si>
  <si>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</si>
  <si>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</si>
  <si>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</si>
  <si>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</si>
  <si>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</si>
  <si>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</si>
  <si>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</si>
  <si>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</si>
  <si>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</si>
  <si>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</si>
  <si>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</si>
  <si>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</si>
  <si>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</si>
  <si>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</si>
  <si>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</si>
  <si>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</si>
  <si>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</si>
  <si>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</si>
  <si>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</si>
  <si>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</si>
  <si>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</si>
  <si>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</si>
  <si>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</si>
  <si>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</si>
  <si>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</si>
  <si>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</si>
  <si>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</si>
  <si>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</si>
  <si>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</si>
  <si>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</si>
  <si>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</si>
  <si>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</si>
  <si>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</si>
  <si>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</si>
  <si>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</si>
  <si>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</si>
  <si>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</si>
  <si>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</si>
  <si>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</si>
  <si>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</si>
  <si>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</si>
  <si>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</si>
  <si>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</si>
  <si>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</si>
  <si>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</si>
  <si>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</si>
  <si>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</si>
  <si>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</si>
  <si>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</si>
  <si>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</si>
  <si>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</si>
  <si>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</si>
  <si>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</si>
  <si>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</si>
  <si>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</si>
  <si>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</si>
  <si>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</si>
  <si>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</si>
  <si>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</si>
  <si>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</si>
  <si>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</si>
  <si>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</si>
  <si>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</si>
  <si>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</si>
  <si>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</si>
  <si>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</si>
  <si>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</si>
  <si>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</si>
  <si>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</si>
  <si>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</si>
  <si>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</si>
  <si>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</si>
  <si>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</si>
  <si>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</si>
  <si>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</si>
  <si>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</si>
  <si>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</si>
  <si>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</si>
  <si>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</si>
  <si>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</si>
  <si>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</si>
  <si>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</si>
  <si>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</si>
  <si>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</si>
  <si>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</si>
  <si>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</si>
  <si>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</si>
  <si>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</si>
  <si>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</si>
  <si>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</si>
  <si>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</si>
  <si>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</si>
  <si>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</si>
  <si>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</si>
  <si>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</si>
  <si>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</si>
  <si>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</si>
  <si>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</si>
  <si>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</si>
  <si>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</si>
  <si>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</si>
  <si>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</si>
  <si>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</si>
  <si>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</si>
  <si>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</si>
  <si>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</si>
  <si>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</si>
  <si>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</si>
  <si>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</si>
  <si>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</si>
  <si>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</si>
  <si>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</si>
  <si>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</si>
  <si>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</si>
  <si>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</si>
  <si>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</si>
  <si>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</si>
  <si>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</si>
  <si>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</si>
  <si>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</si>
  <si>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</si>
  <si>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</si>
  <si>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</si>
  <si>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</si>
  <si>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</si>
  <si>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</si>
  <si>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</si>
  <si>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</si>
  <si>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</si>
  <si>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</si>
  <si>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</si>
  <si>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</si>
  <si>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</si>
  <si>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</si>
  <si>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</si>
  <si>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</si>
  <si>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</si>
  <si>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</si>
  <si>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</si>
  <si>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</si>
  <si>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</si>
  <si>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</si>
  <si>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</si>
  <si>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</si>
  <si>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</si>
  <si>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</si>
  <si>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</si>
  <si>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</si>
  <si>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</si>
  <si>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</si>
  <si>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</si>
  <si>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</si>
  <si>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</si>
  <si>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</si>
  <si>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</si>
  <si>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</si>
  <si>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</si>
  <si>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</si>
  <si>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</si>
  <si>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</si>
  <si>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</si>
  <si>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</si>
  <si>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</si>
  <si>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</si>
  <si>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</si>
  <si>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</si>
  <si>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</si>
  <si>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</si>
  <si>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</si>
  <si>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</si>
  <si>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</si>
  <si>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</si>
  <si>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</si>
  <si>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</si>
  <si>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</si>
  <si>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</si>
  <si>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</si>
  <si>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</si>
  <si>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</si>
  <si>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</si>
  <si>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</si>
  <si>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</si>
  <si>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</si>
  <si>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</si>
  <si>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</si>
  <si>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</si>
  <si>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</si>
  <si>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</si>
  <si>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</si>
  <si>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</si>
  <si>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</si>
  <si>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</si>
  <si>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</si>
  <si>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</si>
  <si>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</si>
  <si>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</si>
  <si>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</si>
  <si>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</si>
  <si>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</si>
  <si>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</si>
  <si>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</si>
  <si>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</si>
  <si>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</si>
  <si>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</si>
  <si>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</si>
  <si>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</si>
  <si>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</si>
  <si>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</si>
  <si>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</si>
  <si>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</si>
  <si>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</si>
  <si>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</si>
  <si>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</si>
  <si>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</si>
  <si>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</si>
  <si>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</si>
  <si>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</si>
  <si>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</si>
  <si>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</si>
  <si>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</si>
  <si>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</si>
  <si>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</si>
  <si>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</si>
  <si>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</si>
  <si>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</si>
  <si>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</si>
  <si>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</si>
  <si>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</si>
  <si>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</si>
  <si>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</si>
  <si>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</si>
  <si>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</si>
  <si>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</si>
  <si>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</si>
  <si>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</si>
  <si>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</si>
  <si>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</si>
  <si>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</si>
  <si>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</si>
  <si>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</si>
  <si>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</si>
  <si>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</si>
  <si>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</si>
  <si>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</si>
  <si>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</si>
  <si>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</si>
  <si>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</si>
  <si>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</si>
  <si>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</si>
  <si>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</si>
  <si>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</si>
  <si>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</si>
  <si>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</si>
  <si>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</si>
  <si>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</si>
  <si>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</si>
  <si>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</si>
  <si>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</si>
  <si>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</si>
  <si>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</si>
  <si>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</si>
  <si>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</si>
  <si>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</si>
  <si>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</si>
  <si>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</si>
  <si>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</si>
  <si>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</si>
  <si>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</si>
  <si>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</si>
  <si>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</si>
  <si>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</si>
  <si>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</si>
  <si>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</si>
  <si>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</si>
  <si>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</si>
  <si>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</si>
  <si>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</si>
  <si>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</si>
  <si>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</si>
  <si>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</si>
  <si>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</si>
  <si>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</si>
  <si>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</si>
  <si>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</si>
  <si>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</si>
  <si>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</si>
  <si>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</si>
  <si>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</si>
  <si>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</si>
  <si>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</si>
  <si>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</si>
  <si>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</si>
  <si>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</si>
  <si>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</si>
  <si>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</si>
  <si>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</si>
  <si>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</si>
  <si>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</si>
  <si>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</si>
  <si>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</si>
  <si>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</si>
  <si>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</si>
  <si>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</si>
  <si>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</si>
  <si>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</si>
  <si>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</si>
  <si>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</si>
  <si>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</si>
  <si>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</si>
  <si>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</si>
  <si>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</si>
  <si>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</si>
  <si>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</si>
  <si>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</si>
  <si>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</si>
  <si>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</si>
  <si>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</si>
  <si>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</si>
  <si>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</si>
  <si>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</si>
  <si>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</si>
  <si>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</si>
  <si>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</si>
  <si>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</si>
  <si>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</si>
  <si>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</si>
  <si>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</si>
  <si>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</si>
  <si>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</si>
  <si>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</si>
  <si>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</si>
  <si>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</si>
  <si>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</si>
  <si>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</si>
  <si>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</si>
  <si>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</si>
  <si>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</si>
  <si>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</si>
  <si>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</si>
  <si>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</si>
  <si>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</si>
  <si>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</si>
  <si>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</si>
  <si>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</si>
  <si>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</si>
  <si>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</si>
  <si>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</si>
  <si>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</si>
  <si>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</si>
  <si>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</si>
  <si>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</si>
  <si>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</si>
  <si>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</si>
  <si>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</si>
  <si>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</si>
  <si>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</si>
  <si>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</si>
  <si>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</si>
  <si>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</si>
  <si>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</si>
  <si>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</si>
  <si>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</si>
  <si>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</si>
  <si>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</si>
  <si>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</si>
  <si>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</si>
  <si>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</si>
  <si>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</si>
  <si>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</si>
  <si>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</si>
  <si>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</si>
  <si>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</si>
  <si>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</si>
  <si>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</si>
  <si>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</si>
  <si>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</si>
  <si>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</si>
  <si>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</si>
  <si>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</si>
  <si>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</si>
  <si>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</si>
  <si>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</si>
  <si>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</si>
  <si>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</si>
  <si>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</si>
  <si>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</si>
  <si>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</si>
  <si>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</si>
  <si>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</si>
  <si>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</si>
  <si>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</si>
  <si>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</si>
  <si>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</si>
  <si>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</si>
  <si>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</si>
  <si>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</si>
  <si>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</si>
  <si>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</si>
  <si>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</si>
  <si>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</si>
  <si>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</si>
  <si>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</si>
  <si>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</si>
  <si>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</si>
  <si>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</si>
  <si>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</si>
  <si>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</si>
  <si>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</si>
  <si>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</si>
  <si>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</si>
  <si>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</si>
  <si>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</si>
  <si>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</si>
  <si>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</si>
  <si>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</si>
  <si>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</si>
  <si>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</si>
  <si>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</si>
  <si>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</si>
  <si>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</si>
  <si>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</si>
  <si>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</si>
  <si>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</si>
  <si>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</si>
  <si>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</si>
  <si>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</si>
  <si>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</si>
  <si>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</si>
  <si>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</si>
  <si>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</si>
  <si>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</si>
  <si>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</si>
  <si>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</si>
  <si>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</si>
  <si>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</si>
  <si>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</si>
  <si>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</si>
  <si>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</si>
  <si>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</si>
  <si>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</si>
  <si>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</si>
  <si>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</si>
  <si>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</si>
  <si>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</si>
  <si>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</si>
  <si>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</si>
  <si>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</si>
  <si>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</si>
  <si>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</si>
  <si>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</si>
  <si>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</si>
  <si>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</si>
  <si>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</si>
  <si>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</si>
  <si>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</si>
  <si>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</si>
  <si>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</si>
  <si>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</si>
  <si>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</si>
  <si>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</si>
  <si>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</si>
  <si>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</si>
  <si>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</si>
  <si>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</si>
  <si>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</si>
  <si>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</si>
  <si>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</si>
  <si>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</si>
  <si>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</si>
  <si>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</si>
  <si>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</si>
  <si>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</si>
  <si>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</si>
  <si>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</si>
  <si>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</si>
  <si>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</si>
  <si>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</si>
  <si>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</si>
  <si>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</si>
  <si>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</si>
  <si>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</si>
  <si>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</si>
  <si>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</si>
  <si>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</si>
  <si>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</si>
  <si>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</si>
  <si>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</si>
  <si>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</si>
  <si>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</si>
  <si>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</si>
  <si>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</si>
  <si>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</si>
  <si>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</si>
  <si>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</si>
  <si>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</si>
  <si>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</si>
  <si>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</si>
  <si>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</si>
  <si>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</si>
  <si>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</si>
  <si>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</si>
  <si>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</si>
  <si>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</si>
  <si>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</si>
  <si>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</si>
  <si>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</si>
  <si>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</si>
  <si>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</si>
  <si>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</si>
  <si>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</si>
  <si>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</si>
  <si>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</si>
  <si>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</si>
  <si>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</si>
  <si>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</si>
  <si>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</si>
  <si>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</si>
  <si>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</si>
  <si>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</si>
  <si>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</si>
  <si>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</si>
  <si>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</si>
  <si>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</si>
  <si>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</si>
  <si>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</si>
  <si>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</si>
  <si>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</si>
  <si>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</si>
  <si>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</si>
  <si>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</si>
  <si>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</si>
  <si>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</si>
  <si>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</si>
  <si>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</si>
  <si>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</si>
  <si>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</si>
  <si>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</si>
  <si>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</si>
  <si>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</si>
  <si>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</si>
  <si>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</si>
  <si>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</si>
  <si>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</si>
  <si>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</si>
  <si>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</si>
  <si>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</si>
  <si>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</si>
  <si>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</si>
  <si>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</si>
  <si>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</si>
  <si>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</si>
  <si>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</si>
  <si>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</si>
  <si>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</si>
  <si>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</si>
  <si>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</si>
  <si>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</si>
  <si>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</si>
  <si>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</si>
  <si>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</si>
  <si>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</si>
  <si>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</si>
  <si>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</si>
  <si>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</si>
  <si>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</si>
  <si>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</si>
  <si>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</si>
  <si>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</si>
  <si>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</si>
  <si>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</si>
  <si>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</si>
  <si>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</si>
  <si>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</si>
  <si>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</si>
  <si>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</si>
  <si>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</si>
  <si>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</si>
  <si>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</si>
  <si>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</si>
  <si>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</si>
  <si>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</si>
  <si>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</si>
  <si>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</si>
  <si>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</si>
  <si>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</si>
  <si>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</si>
  <si>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</si>
  <si>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</si>
  <si>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</si>
  <si>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</si>
  <si>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</si>
  <si>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</si>
  <si>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</si>
  <si>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</si>
  <si>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</si>
  <si>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</si>
  <si>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</si>
  <si>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</si>
  <si>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</si>
  <si>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</si>
  <si>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</si>
  <si>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</si>
  <si>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</si>
  <si>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</si>
  <si>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</si>
  <si>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</si>
  <si>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</si>
  <si>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</si>
  <si>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</si>
  <si>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</si>
  <si>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</si>
  <si>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</si>
  <si>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</si>
  <si>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</si>
  <si>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</si>
  <si>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</si>
  <si>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</si>
  <si>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</si>
  <si>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</si>
  <si>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</si>
  <si>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</si>
  <si>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</si>
  <si>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</si>
  <si>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</si>
  <si>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</si>
  <si>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</si>
  <si>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</si>
  <si>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</si>
  <si>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</si>
  <si>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</si>
  <si>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</si>
  <si>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</si>
  <si>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</si>
  <si>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</si>
  <si>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</si>
  <si>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</si>
  <si>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</si>
  <si>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</si>
  <si>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</si>
  <si>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</si>
  <si>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</si>
  <si>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</si>
  <si>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</si>
  <si>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</si>
  <si>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</si>
  <si>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</si>
  <si>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</si>
  <si>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</si>
  <si>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</si>
  <si>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</si>
  <si>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</si>
  <si>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</si>
  <si>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</si>
  <si>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</si>
  <si>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</si>
  <si>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</si>
  <si>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</si>
  <si>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</si>
  <si>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</si>
  <si>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</si>
  <si>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</si>
  <si>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</si>
  <si>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</si>
  <si>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</si>
  <si>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</si>
  <si>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</si>
  <si>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</si>
  <si>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</si>
  <si>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</si>
  <si>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</si>
  <si>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</si>
  <si>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</si>
  <si>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</si>
  <si>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</si>
  <si>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</si>
  <si>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</si>
  <si>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</si>
  <si>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</si>
  <si>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</si>
  <si>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</si>
  <si>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</si>
  <si>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</si>
  <si>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</si>
  <si>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</si>
  <si>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</si>
  <si>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</si>
  <si>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</si>
  <si>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</si>
  <si>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</si>
  <si>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</si>
  <si>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</si>
  <si>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</si>
  <si>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</si>
  <si>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</si>
  <si>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</si>
  <si>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</si>
  <si>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</si>
  <si>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</si>
  <si>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</si>
  <si>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</si>
  <si>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</si>
  <si>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</si>
  <si>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</si>
  <si>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</si>
  <si>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</si>
  <si>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</si>
  <si>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</si>
  <si>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</si>
  <si>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</si>
  <si>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</si>
  <si>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</si>
  <si>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</si>
  <si>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</si>
  <si>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</si>
  <si>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</si>
  <si>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</si>
  <si>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</si>
  <si>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</si>
  <si>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</si>
  <si>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</si>
  <si>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</si>
  <si>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</si>
  <si>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</si>
  <si>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</si>
  <si>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</si>
  <si>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</si>
  <si>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</si>
  <si>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</si>
  <si>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</si>
  <si>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</si>
  <si>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</si>
  <si>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</si>
  <si>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</si>
  <si>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</si>
  <si>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</si>
  <si>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</si>
  <si>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</si>
  <si>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</si>
  <si>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</si>
  <si>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</si>
  <si>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</si>
  <si>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</si>
  <si>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</si>
  <si>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</si>
  <si>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</si>
  <si>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</si>
  <si>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</si>
  <si>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</si>
  <si>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</si>
  <si>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</si>
  <si>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</si>
  <si>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</si>
  <si>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</si>
  <si>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</si>
  <si>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</si>
  <si>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</si>
  <si>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</si>
  <si>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</si>
  <si>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</si>
  <si>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</si>
  <si>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</si>
  <si>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</si>
  <si>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</si>
  <si>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</si>
  <si>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</si>
  <si>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</si>
  <si>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</si>
  <si>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</si>
  <si>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</si>
  <si>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</si>
  <si>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</si>
  <si>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</si>
  <si>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</si>
  <si>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</si>
  <si>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</si>
  <si>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</si>
  <si>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</si>
  <si>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</si>
  <si>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</si>
  <si>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</si>
  <si>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</si>
  <si>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</si>
  <si>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</si>
  <si>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</si>
  <si>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</si>
  <si>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</si>
  <si>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</si>
  <si>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</si>
  <si>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</si>
  <si>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</si>
  <si>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</si>
  <si>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</si>
  <si>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</si>
  <si>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</si>
  <si>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</si>
  <si>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</si>
  <si>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</si>
  <si>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</si>
  <si>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</si>
  <si>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</si>
  <si>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</si>
  <si>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</si>
  <si>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</si>
  <si>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</si>
  <si>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</si>
  <si>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</si>
  <si>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</si>
  <si>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</si>
  <si>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</si>
  <si>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</si>
  <si>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</si>
  <si>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</si>
  <si>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</si>
  <si>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</si>
  <si>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</si>
  <si>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</si>
  <si>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</si>
  <si>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</si>
  <si>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</si>
  <si>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</si>
  <si>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</si>
  <si>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</si>
  <si>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</si>
  <si>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</si>
  <si>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</si>
  <si>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</si>
  <si>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</si>
  <si>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</si>
  <si>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</si>
  <si>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</si>
  <si>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</si>
  <si>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</si>
  <si>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</si>
  <si>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</si>
  <si>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</si>
  <si>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</si>
  <si>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</si>
  <si>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</si>
  <si>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</si>
  <si>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</si>
  <si>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</si>
  <si>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</si>
  <si>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</si>
  <si>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</si>
  <si>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</si>
  <si>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</si>
  <si>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</si>
  <si>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</si>
  <si>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</si>
  <si>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</si>
  <si>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</si>
  <si>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</si>
  <si>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</si>
  <si>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</si>
  <si>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</si>
  <si>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</si>
  <si>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</si>
  <si>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</si>
  <si>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</si>
  <si>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</si>
  <si>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</si>
  <si>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</si>
  <si>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</si>
  <si>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</si>
  <si>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</si>
  <si>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</si>
  <si>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</si>
  <si>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</si>
  <si>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</si>
  <si>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</si>
  <si>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</si>
  <si>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</si>
  <si>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</si>
  <si>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</si>
  <si>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</si>
  <si>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</si>
  <si>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</si>
  <si>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</si>
  <si>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</si>
  <si>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</si>
  <si>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</si>
  <si>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</si>
  <si>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</si>
  <si>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</si>
  <si>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</si>
  <si>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</si>
  <si>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</si>
  <si>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</si>
  <si>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</si>
  <si>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</si>
  <si>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</si>
  <si>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</si>
  <si>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</si>
  <si>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</si>
  <si>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</si>
  <si>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</si>
  <si>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</si>
  <si>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</si>
  <si>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</si>
  <si>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</si>
  <si>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</si>
  <si>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</si>
  <si>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</si>
  <si>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</si>
  <si>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</si>
  <si>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</si>
  <si>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</si>
  <si>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</si>
  <si>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</si>
  <si>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</si>
  <si>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</si>
  <si>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</si>
  <si>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</si>
  <si>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</si>
  <si>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</si>
  <si>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</si>
  <si>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</si>
  <si>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</si>
  <si>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</si>
  <si>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</si>
  <si>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</si>
  <si>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</si>
  <si>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</si>
  <si>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</si>
  <si>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</si>
  <si>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</si>
  <si>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</si>
  <si>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</si>
  <si>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</si>
  <si>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</si>
  <si>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</si>
  <si>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</si>
  <si>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</si>
  <si>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</si>
  <si>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</si>
  <si>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</si>
  <si>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</si>
  <si>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</si>
  <si>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</si>
  <si>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</si>
  <si>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</si>
  <si>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</si>
  <si>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</si>
  <si>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</si>
  <si>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</si>
  <si>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</si>
  <si>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</si>
  <si>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</si>
  <si>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</si>
  <si>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</si>
  <si>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</si>
  <si>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</si>
  <si>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</si>
  <si>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</si>
  <si>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</si>
  <si>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</si>
  <si>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</si>
  <si>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</si>
  <si>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</si>
  <si>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</si>
  <si>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</si>
  <si>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</si>
  <si>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</si>
  <si>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</si>
  <si>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</si>
  <si>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</si>
  <si>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</si>
  <si>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</si>
  <si>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</si>
  <si>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</si>
  <si>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</si>
  <si>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</si>
  <si>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</si>
  <si>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</si>
  <si>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</si>
  <si>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</si>
  <si>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</si>
  <si>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</si>
  <si>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</si>
  <si>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</si>
  <si>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</si>
  <si>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</si>
  <si>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</si>
  <si>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</si>
  <si>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</si>
  <si>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</si>
  <si>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</si>
  <si>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</si>
  <si>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</si>
  <si>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</si>
  <si>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</si>
  <si>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</si>
  <si>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</si>
  <si>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</si>
  <si>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</si>
  <si>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</si>
  <si>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</si>
  <si>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</si>
  <si>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</si>
  <si>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</si>
  <si>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</si>
  <si>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</si>
  <si>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</si>
  <si>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</si>
  <si>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</si>
  <si>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</si>
  <si>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</si>
  <si>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</si>
  <si>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</si>
  <si>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</si>
  <si>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</si>
  <si>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</si>
  <si>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</si>
  <si>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</si>
  <si>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</si>
  <si>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</si>
  <si>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</si>
  <si>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</si>
  <si>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</si>
  <si>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</si>
  <si>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</si>
  <si>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</si>
  <si>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</si>
  <si>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</si>
  <si>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</si>
  <si>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</si>
  <si>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</si>
  <si>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</si>
  <si>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</si>
  <si>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</si>
  <si>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</si>
  <si>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</si>
  <si>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</si>
  <si>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</si>
  <si>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</si>
  <si>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</si>
  <si>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</si>
  <si>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</si>
  <si>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</si>
  <si>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</si>
  <si>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</si>
  <si>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</si>
  <si>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</si>
  <si>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</si>
  <si>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</si>
  <si>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</si>
  <si>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</si>
  <si>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</si>
  <si>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</si>
  <si>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</si>
  <si>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</si>
  <si>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</si>
  <si>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</si>
  <si>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</si>
  <si>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</si>
  <si>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</si>
  <si>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</si>
  <si>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</si>
  <si>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</si>
  <si>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</si>
  <si>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</si>
  <si>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</si>
  <si>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</si>
  <si>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</si>
  <si>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</si>
  <si>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</si>
  <si>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</si>
  <si>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</si>
  <si>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</si>
  <si>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</si>
  <si>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</si>
  <si>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</si>
  <si>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</si>
  <si>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</si>
  <si>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</si>
  <si>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</si>
  <si>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</si>
  <si>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</si>
  <si>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</si>
  <si>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</si>
  <si>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</si>
  <si>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</si>
  <si>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</si>
  <si>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</si>
  <si>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</si>
  <si>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</si>
  <si>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</si>
  <si>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</si>
  <si>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</si>
  <si>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</si>
  <si>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</si>
  <si>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</si>
  <si>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</si>
  <si>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</si>
  <si>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</si>
  <si>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</si>
  <si>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</si>
  <si>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</si>
  <si>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</si>
  <si>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</si>
  <si>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</si>
  <si>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</si>
  <si>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</si>
  <si>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</si>
  <si>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</si>
  <si>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</si>
  <si>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</si>
  <si>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</si>
  <si>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</si>
  <si>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</si>
  <si>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</si>
  <si>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</si>
  <si>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</si>
  <si>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</si>
  <si>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</si>
  <si>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</si>
  <si>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</si>
  <si>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</si>
  <si>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</si>
  <si>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</si>
  <si>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</si>
  <si>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</si>
  <si>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</si>
  <si>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</si>
  <si>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</si>
  <si>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</si>
  <si>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</si>
  <si>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</si>
  <si>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</si>
  <si>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</si>
  <si>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</si>
  <si>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</si>
  <si>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</si>
  <si>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</si>
  <si>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</si>
  <si>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</si>
  <si>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</si>
  <si>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</si>
  <si>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</si>
  <si>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</si>
  <si>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</si>
  <si>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</si>
  <si>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</si>
  <si>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</si>
  <si>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</si>
  <si>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</si>
  <si>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</si>
  <si>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</si>
  <si>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</si>
  <si>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</si>
  <si>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</si>
  <si>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</si>
  <si>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</si>
  <si>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</si>
  <si>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</si>
  <si>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</si>
  <si>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</si>
  <si>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</si>
  <si>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</si>
  <si>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</si>
  <si>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</si>
  <si>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</si>
  <si>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</si>
  <si>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</si>
  <si>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</si>
  <si>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</si>
  <si>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</si>
  <si>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</si>
  <si>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</si>
  <si>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</si>
  <si>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</si>
  <si>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</si>
  <si>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</si>
  <si>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</si>
  <si>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</si>
  <si>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</si>
  <si>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</si>
  <si>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</si>
  <si>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</si>
  <si>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</si>
  <si>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</si>
  <si>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</si>
  <si>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</si>
  <si>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</si>
  <si>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</si>
  <si>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</si>
  <si>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</si>
  <si>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</si>
  <si>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</si>
  <si>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</si>
  <si>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</si>
  <si>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</si>
  <si>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</si>
  <si>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</si>
  <si>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</si>
  <si>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</si>
  <si>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</si>
  <si>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</si>
  <si>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</si>
  <si>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</si>
  <si>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</si>
  <si>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</si>
  <si>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</si>
  <si>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</si>
  <si>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</si>
  <si>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</si>
  <si>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</si>
  <si>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</si>
  <si>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</si>
  <si>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</si>
  <si>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</si>
  <si>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</si>
  <si>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</si>
  <si>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</si>
  <si>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</si>
  <si>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</si>
  <si>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</si>
  <si>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</si>
  <si>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</si>
  <si>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</si>
  <si>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</si>
  <si>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</si>
  <si>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</si>
  <si>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</si>
  <si>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</si>
  <si>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</si>
  <si>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</si>
  <si>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</si>
  <si>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</si>
  <si>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</si>
  <si>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</si>
  <si>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</si>
  <si>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</si>
  <si>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</si>
  <si>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</si>
  <si>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</si>
  <si>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</si>
  <si>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</si>
  <si>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</si>
  <si>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</si>
  <si>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</si>
  <si>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</si>
  <si>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</si>
  <si>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</si>
  <si>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</si>
  <si>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</si>
  <si>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</si>
  <si>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</si>
  <si>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</si>
  <si>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</si>
  <si>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</si>
  <si>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</si>
  <si>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</si>
  <si>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</si>
  <si>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</si>
  <si>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</si>
  <si>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</si>
  <si>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</si>
  <si>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</si>
  <si>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</si>
  <si>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</si>
  <si>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</si>
  <si>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</si>
  <si>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</si>
  <si>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</si>
  <si>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</si>
  <si>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</si>
  <si>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</si>
  <si>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</si>
  <si>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</si>
  <si>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</si>
  <si>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</si>
  <si>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</si>
  <si>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</si>
  <si>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</si>
  <si>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</si>
  <si>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</si>
  <si>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</si>
  <si>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</si>
  <si>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</si>
  <si>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</si>
  <si>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</si>
  <si>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</si>
  <si>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</si>
  <si>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</si>
  <si>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</si>
  <si>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</si>
  <si>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</si>
  <si>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</si>
  <si>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</si>
  <si>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</si>
  <si>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</si>
  <si>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</si>
  <si>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</si>
  <si>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</si>
  <si>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</si>
  <si>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</si>
  <si>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</si>
  <si>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</si>
  <si>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</si>
  <si>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</si>
  <si>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</si>
  <si>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</si>
  <si>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</si>
  <si>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</si>
  <si>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</si>
  <si>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</si>
  <si>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</si>
  <si>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</si>
  <si>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</si>
  <si>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</si>
  <si>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</si>
  <si>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</si>
  <si>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</si>
  <si>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</si>
  <si>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</si>
  <si>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</si>
  <si>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</si>
  <si>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</si>
  <si>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</si>
  <si>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</si>
  <si>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</si>
  <si>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</si>
  <si>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</si>
  <si>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</si>
  <si>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</si>
  <si>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</si>
  <si>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</si>
  <si>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</si>
  <si>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</si>
  <si>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</si>
  <si>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</si>
  <si>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</si>
  <si>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</si>
  <si>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</si>
  <si>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</si>
  <si>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</si>
  <si>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</si>
  <si>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</si>
  <si>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</si>
  <si>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</si>
  <si>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</si>
  <si>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</si>
  <si>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</si>
  <si>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</si>
  <si>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</si>
  <si>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</si>
  <si>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</si>
  <si>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</si>
  <si>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</si>
  <si>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</si>
  <si>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</si>
  <si>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</si>
  <si>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</si>
  <si>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</si>
  <si>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</si>
  <si>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</si>
  <si>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</si>
  <si>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</si>
  <si>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</si>
  <si>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</si>
  <si>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</si>
  <si>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</si>
  <si>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</si>
  <si>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</si>
  <si>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</si>
  <si>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</si>
  <si>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</si>
  <si>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</si>
  <si>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</si>
  <si>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</si>
  <si>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</si>
  <si>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</si>
  <si>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</si>
  <si>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</si>
  <si>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</si>
  <si>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</si>
  <si>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</si>
  <si>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</si>
  <si>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</si>
  <si>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</si>
  <si>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</si>
  <si>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</si>
  <si>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</si>
  <si>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</si>
  <si>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</si>
  <si>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</si>
  <si>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</si>
  <si>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</si>
  <si>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</si>
  <si>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</si>
  <si>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</si>
  <si>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</si>
  <si>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</si>
  <si>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</si>
  <si>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</si>
  <si>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</si>
  <si>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</si>
  <si>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</si>
  <si>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</si>
  <si>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</si>
  <si>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</si>
  <si>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</si>
  <si>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</si>
  <si>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</si>
  <si>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</si>
  <si>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</si>
  <si>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</si>
  <si>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</si>
  <si>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</si>
  <si>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</si>
  <si>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</si>
  <si>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</si>
  <si>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</si>
  <si>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</si>
  <si>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</si>
  <si>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</si>
  <si>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</si>
  <si>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</si>
  <si>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</si>
  <si>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</si>
  <si>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</si>
  <si>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</si>
  <si>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</si>
  <si>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</si>
  <si>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</si>
  <si>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</si>
  <si>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</si>
  <si>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</si>
  <si>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</si>
  <si>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</si>
  <si>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</si>
  <si>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</si>
  <si>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</si>
  <si>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</si>
  <si>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</si>
  <si>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</si>
  <si>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</si>
  <si>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</si>
  <si>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</si>
  <si>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</si>
  <si>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</si>
  <si>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</si>
  <si>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</si>
  <si>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</si>
  <si>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</si>
  <si>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</si>
  <si>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</si>
  <si>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</si>
  <si>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</si>
  <si>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</si>
  <si>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</si>
  <si>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</si>
  <si>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</si>
  <si>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</si>
  <si>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</si>
  <si>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</si>
  <si>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</si>
  <si>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</si>
  <si>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</si>
  <si>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</si>
  <si>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</si>
  <si>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</si>
  <si>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</si>
  <si>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</si>
  <si>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</si>
  <si>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</si>
  <si>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</si>
  <si>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</si>
  <si>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</si>
  <si>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</si>
  <si>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</si>
  <si>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</si>
  <si>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</si>
  <si>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</si>
  <si>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</si>
  <si>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</si>
  <si>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</si>
  <si>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</si>
  <si>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</si>
  <si>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</si>
  <si>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</si>
  <si>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</si>
  <si>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</si>
  <si>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</si>
  <si>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</si>
  <si>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</si>
  <si>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</si>
  <si>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</si>
  <si>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</si>
  <si>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</si>
  <si>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</si>
  <si>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</si>
  <si>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</si>
  <si>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</si>
  <si>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</si>
  <si>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</si>
  <si>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</si>
  <si>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</si>
  <si>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</si>
  <si>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</si>
  <si>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</si>
  <si>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</si>
  <si>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</si>
  <si>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</si>
  <si>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</si>
  <si>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</si>
  <si>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</si>
  <si>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</si>
  <si>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</si>
  <si>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</si>
  <si>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</si>
  <si>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</si>
  <si>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</si>
  <si>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</si>
  <si>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</si>
  <si>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</si>
  <si>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</si>
  <si>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</si>
  <si>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</si>
  <si>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</si>
  <si>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</si>
  <si>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</si>
  <si>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</si>
  <si>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</si>
  <si>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</si>
  <si>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</si>
  <si>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</si>
  <si>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</si>
  <si>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</si>
  <si>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</si>
  <si>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</si>
  <si>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</si>
  <si>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</si>
  <si>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</si>
  <si>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</si>
  <si>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</si>
  <si>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</si>
  <si>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</si>
  <si>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</si>
  <si>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</si>
  <si>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</si>
  <si>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</si>
  <si>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</si>
  <si>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</si>
  <si>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</si>
  <si>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</si>
  <si>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</si>
  <si>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</si>
  <si>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</si>
  <si>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</si>
  <si>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</si>
  <si>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</si>
  <si>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</si>
  <si>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</si>
  <si>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</si>
  <si>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</si>
  <si>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</si>
  <si>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</si>
  <si>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</si>
  <si>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</si>
  <si>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</si>
  <si>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</si>
  <si>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</si>
  <si>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</si>
  <si>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</si>
  <si>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</si>
  <si>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</si>
  <si>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</si>
  <si>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</si>
  <si>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</si>
  <si>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</si>
  <si>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</si>
  <si>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</si>
  <si>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</si>
  <si>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</si>
  <si>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</si>
  <si>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</si>
  <si>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</si>
  <si>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</si>
  <si>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</si>
  <si>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</si>
  <si>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</si>
  <si>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</si>
  <si>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</si>
  <si>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</si>
  <si>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</si>
  <si>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</si>
  <si>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</si>
  <si>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</si>
  <si>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</si>
  <si>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</si>
  <si>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</si>
  <si>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</si>
  <si>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</si>
  <si>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</si>
  <si>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</si>
  <si>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</si>
  <si>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</si>
  <si>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</si>
  <si>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</si>
  <si>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</si>
  <si>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</si>
  <si>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</si>
  <si>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</si>
  <si>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</si>
  <si>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</si>
  <si>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</si>
  <si>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</si>
  <si>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</si>
  <si>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</si>
  <si>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</si>
  <si>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</si>
  <si>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</si>
  <si>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</si>
  <si>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</si>
  <si>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</si>
  <si>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</si>
  <si>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</si>
  <si>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</si>
  <si>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</si>
  <si>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</si>
  <si>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</si>
  <si>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</si>
  <si>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</si>
  <si>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</si>
  <si>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</si>
  <si>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</si>
  <si>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</si>
  <si>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</si>
  <si>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</si>
  <si>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</si>
  <si>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</si>
  <si>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</si>
  <si>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</si>
  <si>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</si>
  <si>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</si>
  <si>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</si>
  <si>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</si>
  <si>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</si>
  <si>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</si>
  <si>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</si>
  <si>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</si>
  <si>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</si>
  <si>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</si>
  <si>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</si>
  <si>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</si>
  <si>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</si>
  <si>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</si>
  <si>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</si>
  <si>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</si>
  <si>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</si>
  <si>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</si>
  <si>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</si>
  <si>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</si>
  <si>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</si>
  <si>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</si>
  <si>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</si>
  <si>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</si>
  <si>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</si>
  <si>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</si>
  <si>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</si>
  <si>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</si>
  <si>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</si>
  <si>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</si>
  <si>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</si>
  <si>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</si>
  <si>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</si>
  <si>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</si>
  <si>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</si>
  <si>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</si>
  <si>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</si>
  <si>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</si>
  <si>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</si>
  <si>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</si>
  <si>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</si>
  <si>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</si>
  <si>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</si>
  <si>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</si>
  <si>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</si>
  <si>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</si>
  <si>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</si>
  <si>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</si>
  <si>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</si>
  <si>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</si>
  <si>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</si>
  <si>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</si>
  <si>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</si>
  <si>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</si>
  <si>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</si>
  <si>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</si>
  <si>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</si>
  <si>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</si>
  <si>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</si>
  <si>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</si>
  <si>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</si>
  <si>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</si>
  <si>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</si>
  <si>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</si>
  <si>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</si>
  <si>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</si>
  <si>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</si>
  <si>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</si>
  <si>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</si>
  <si>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</si>
  <si>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</si>
  <si>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</si>
  <si>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</si>
  <si>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</si>
  <si>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</si>
  <si>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</si>
  <si>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</si>
  <si>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</si>
  <si>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</si>
  <si>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</si>
  <si>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</si>
  <si>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</si>
  <si>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</si>
  <si>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</si>
  <si>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</si>
  <si>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</si>
  <si>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</si>
  <si>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</si>
  <si>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</si>
  <si>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</si>
  <si>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</si>
  <si>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</si>
  <si>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</si>
  <si>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</si>
  <si>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</si>
  <si>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</si>
  <si>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</si>
  <si>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</si>
  <si>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</si>
  <si>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</si>
  <si>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</si>
  <si>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</si>
  <si>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</si>
  <si>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</si>
  <si>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</si>
  <si>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</si>
  <si>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</si>
  <si>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</si>
  <si>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</si>
  <si>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</si>
  <si>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</si>
  <si>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</si>
  <si>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</si>
  <si>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</si>
  <si>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</si>
  <si>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</si>
  <si>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</si>
  <si>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</si>
  <si>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</si>
  <si>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</si>
  <si>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</si>
  <si>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</si>
  <si>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</si>
  <si>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</si>
  <si>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</si>
  <si>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</si>
  <si>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</si>
  <si>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</si>
  <si>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</si>
  <si>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</si>
  <si>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</si>
  <si>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</si>
  <si>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</si>
  <si>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</si>
  <si>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</si>
  <si>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</si>
  <si>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</si>
  <si>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</si>
  <si>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</si>
  <si>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</si>
  <si>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</si>
  <si>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</si>
  <si>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</si>
  <si>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</si>
  <si>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</si>
  <si>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</si>
  <si>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</si>
  <si>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</si>
  <si>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</si>
  <si>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</si>
  <si>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</si>
  <si>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</si>
  <si>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</si>
  <si>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</si>
  <si>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</si>
  <si>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</si>
  <si>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</si>
  <si>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</si>
  <si>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</si>
  <si>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</si>
  <si>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</si>
  <si>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</si>
  <si>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</si>
  <si>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</si>
  <si>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</si>
  <si>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</si>
  <si>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</si>
  <si>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</si>
  <si>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</si>
  <si>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</si>
  <si>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</si>
  <si>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</si>
  <si>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</si>
  <si>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</si>
  <si>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</si>
  <si>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</si>
  <si>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</si>
  <si>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</si>
  <si>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</si>
  <si>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</si>
  <si>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</si>
  <si>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</si>
  <si>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</si>
  <si>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</si>
  <si>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</si>
  <si>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</si>
  <si>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</si>
  <si>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</si>
  <si>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</si>
  <si>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</si>
  <si>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</si>
  <si>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</si>
  <si>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</si>
  <si>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</si>
  <si>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</si>
  <si>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</si>
  <si>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</si>
  <si>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</si>
  <si>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</si>
  <si>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</si>
  <si>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</si>
  <si>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</si>
  <si>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</si>
  <si>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</si>
  <si>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</si>
  <si>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</si>
  <si>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</si>
  <si>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</si>
  <si>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</si>
  <si>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</si>
  <si>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</si>
  <si>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</si>
  <si>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</si>
  <si>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</si>
  <si>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</si>
  <si>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</si>
  <si>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</si>
  <si>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</si>
  <si>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</si>
  <si>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</si>
  <si>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</si>
  <si>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</si>
  <si>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</si>
  <si>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</si>
  <si>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</si>
  <si>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</si>
  <si>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</si>
  <si>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</si>
  <si>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</si>
  <si>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</si>
  <si>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</si>
  <si>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</si>
  <si>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</si>
  <si>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</si>
  <si>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</si>
  <si>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</si>
  <si>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</si>
  <si>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</si>
  <si>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</si>
  <si>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</si>
  <si>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</si>
  <si>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</si>
  <si>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</si>
  <si>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</si>
  <si>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</si>
  <si>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</si>
  <si>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</si>
  <si>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</si>
  <si>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</si>
  <si>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</si>
  <si>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</si>
  <si>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</si>
  <si>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</si>
  <si>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</si>
  <si>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</si>
  <si>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</si>
  <si>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</si>
  <si>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</si>
  <si>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</si>
  <si>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</si>
  <si>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</si>
  <si>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</si>
  <si>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</si>
  <si>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</si>
  <si>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</si>
  <si>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</si>
  <si>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</si>
  <si>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</si>
  <si>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</si>
  <si>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</si>
  <si>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</si>
  <si>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</si>
  <si>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</si>
  <si>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</si>
  <si>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</si>
  <si>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</si>
  <si>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</si>
  <si>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</si>
  <si>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</si>
  <si>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</si>
  <si>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</si>
  <si>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</si>
  <si>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</si>
  <si>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</si>
  <si>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</si>
  <si>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</si>
  <si>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</si>
  <si>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</si>
  <si>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</si>
  <si>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</si>
  <si>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</si>
  <si>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</si>
  <si>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</si>
  <si>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</si>
  <si>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</si>
  <si>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</si>
  <si>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</si>
  <si>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</si>
  <si>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</si>
  <si>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</si>
  <si>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</si>
  <si>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</si>
  <si>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</si>
  <si>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</si>
  <si>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</si>
  <si>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</si>
  <si>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</si>
  <si>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</si>
  <si>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</si>
  <si>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</si>
  <si>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</si>
  <si>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</si>
  <si>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</si>
  <si>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</si>
  <si>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</si>
  <si>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</si>
  <si>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</si>
  <si>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</si>
  <si>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</si>
  <si>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</si>
  <si>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</si>
  <si>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</si>
  <si>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</si>
  <si>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</si>
  <si>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</si>
  <si>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</si>
  <si>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</si>
  <si>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</si>
  <si>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</si>
  <si>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</si>
  <si>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</si>
  <si>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</si>
  <si>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</si>
  <si>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</si>
  <si>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</si>
  <si>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</si>
  <si>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</si>
  <si>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</si>
  <si>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</si>
  <si>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</si>
  <si>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</si>
  <si>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</si>
  <si>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</si>
  <si>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</si>
  <si>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</si>
  <si>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</si>
  <si>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</si>
  <si>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</si>
  <si>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</si>
  <si>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</si>
  <si>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</si>
  <si>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</si>
  <si>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</si>
  <si>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</si>
  <si>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</si>
  <si>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</si>
  <si>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</si>
  <si>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</si>
  <si>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</si>
  <si>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</si>
  <si>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</si>
  <si>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</si>
  <si>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</si>
  <si>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</si>
  <si>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</si>
  <si>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</si>
  <si>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</si>
  <si>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</si>
  <si>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</si>
  <si>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</si>
  <si>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</si>
  <si>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</si>
  <si>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</si>
  <si>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</si>
  <si>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</si>
  <si>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</si>
  <si>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</si>
  <si>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</si>
  <si>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</si>
  <si>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</si>
  <si>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</si>
  <si>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</si>
  <si>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</si>
  <si>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</si>
  <si>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</si>
  <si>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</si>
  <si>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</si>
  <si>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</si>
  <si>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</si>
  <si>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</si>
  <si>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</si>
  <si>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</si>
  <si>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</si>
  <si>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</si>
  <si>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</si>
  <si>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</si>
  <si>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</si>
  <si>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</si>
  <si>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</si>
  <si>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</si>
  <si>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</si>
  <si>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</si>
  <si>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</si>
  <si>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</si>
  <si>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</si>
  <si>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</si>
  <si>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</si>
  <si>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</si>
  <si>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</si>
  <si>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</si>
  <si>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</si>
  <si>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</si>
  <si>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</si>
  <si>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</si>
  <si>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</si>
  <si>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</si>
  <si>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</si>
  <si>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</si>
  <si>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</si>
  <si>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</si>
  <si>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</si>
  <si>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</si>
  <si>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</si>
  <si>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</si>
  <si>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</si>
  <si>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</si>
  <si>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</si>
  <si>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</si>
  <si>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</si>
  <si>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</si>
  <si>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</si>
  <si>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</si>
  <si>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</si>
  <si>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</si>
  <si>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</si>
  <si>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</si>
  <si>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</si>
  <si>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</si>
  <si>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</si>
  <si>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</si>
  <si>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</si>
  <si>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</si>
  <si>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</si>
  <si>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</si>
  <si>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</si>
  <si>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</si>
  <si>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</si>
  <si>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</si>
  <si>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</si>
  <si>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</si>
  <si>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</si>
  <si>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</si>
  <si>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</si>
  <si>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</si>
  <si>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</si>
  <si>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</si>
  <si>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</si>
  <si>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</si>
  <si>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</si>
  <si>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</si>
  <si>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</si>
  <si>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</si>
  <si>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</si>
  <si>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</si>
  <si>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</si>
  <si>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</si>
  <si>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</si>
  <si>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</si>
  <si>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</si>
  <si>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</si>
  <si>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</si>
  <si>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</si>
  <si>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</si>
  <si>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</si>
  <si>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</si>
  <si>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</si>
  <si>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</si>
  <si>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</si>
  <si>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</si>
  <si>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</si>
  <si>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</si>
  <si>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</si>
  <si>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</si>
  <si>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</si>
  <si>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</si>
  <si>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</si>
  <si>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</si>
  <si>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</si>
  <si>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</si>
  <si>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</si>
  <si>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</si>
  <si>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</si>
  <si>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</si>
  <si>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</si>
  <si>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</si>
  <si>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</si>
  <si>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</si>
  <si>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</si>
  <si>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</si>
  <si>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</si>
  <si>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</si>
  <si>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</si>
  <si>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</si>
  <si>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</si>
  <si>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</si>
  <si>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</si>
  <si>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</si>
  <si>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</si>
  <si>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</si>
  <si>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</si>
  <si>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</si>
  <si>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</si>
  <si>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</si>
  <si>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</si>
  <si>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</si>
  <si>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</si>
  <si>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</si>
  <si>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</si>
  <si>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</si>
  <si>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</si>
  <si>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</si>
  <si>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</si>
  <si>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</si>
  <si>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</si>
  <si>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</si>
  <si>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</si>
  <si>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</si>
  <si>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</si>
  <si>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</si>
  <si>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</si>
  <si>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</si>
  <si>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</si>
  <si>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</si>
  <si>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</si>
  <si>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</si>
  <si>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</si>
  <si>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</si>
  <si>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</si>
  <si>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</si>
  <si>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</si>
  <si>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</si>
  <si>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</si>
  <si>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</si>
  <si>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</si>
  <si>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</si>
  <si>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</si>
  <si>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</si>
  <si>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</si>
  <si>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</si>
  <si>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</si>
  <si>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</si>
  <si>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</si>
  <si>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</si>
  <si>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</si>
  <si>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</si>
  <si>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</si>
  <si>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</si>
  <si>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</si>
  <si>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</si>
  <si>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</si>
  <si>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</si>
  <si>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</si>
  <si>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</si>
  <si>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</si>
  <si>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</si>
  <si>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</si>
  <si>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</si>
  <si>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</si>
  <si>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</si>
  <si>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</si>
  <si>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</si>
  <si>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</si>
  <si>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</si>
  <si>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</si>
  <si>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</si>
  <si>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</si>
  <si>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</si>
  <si>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</si>
  <si>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</si>
  <si>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</si>
  <si>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</si>
  <si>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</si>
  <si>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</si>
  <si>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</si>
  <si>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</si>
  <si>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</si>
  <si>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</si>
  <si>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</si>
  <si>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</si>
  <si>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</si>
  <si>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</si>
  <si>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</si>
  <si>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</si>
  <si>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</si>
  <si>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</si>
  <si>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</si>
  <si>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</si>
  <si>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</si>
  <si>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</si>
  <si>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</si>
  <si>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</si>
  <si>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</si>
  <si>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</si>
  <si>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</si>
  <si>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</si>
  <si>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</si>
  <si>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</si>
  <si>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</si>
  <si>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</si>
  <si>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</si>
  <si>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</si>
  <si>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</si>
  <si>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</si>
  <si>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</si>
  <si>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</si>
  <si>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</si>
  <si>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</si>
  <si>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</si>
  <si>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</si>
  <si>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</si>
  <si>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</si>
  <si>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</si>
  <si>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</si>
  <si>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</si>
  <si>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</si>
  <si>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</si>
  <si>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</si>
  <si>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</si>
  <si>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</si>
  <si>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</si>
  <si>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</si>
  <si>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</si>
  <si>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</si>
  <si>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</si>
  <si>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</si>
  <si>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</si>
  <si>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</si>
  <si>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</si>
  <si>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</si>
  <si>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</si>
  <si>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</si>
  <si>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</si>
  <si>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</si>
  <si>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</si>
  <si>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</si>
  <si>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</si>
  <si>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</si>
  <si>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</si>
  <si>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</si>
  <si>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</si>
  <si>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</si>
  <si>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</si>
  <si>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</si>
  <si>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</si>
  <si>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</si>
  <si>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</si>
  <si>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</si>
  <si>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</si>
  <si>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</si>
  <si>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</si>
  <si>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</si>
  <si>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</si>
  <si>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</si>
  <si>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</si>
  <si>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</si>
  <si>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</si>
  <si>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</si>
  <si>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</si>
  <si>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</si>
  <si>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是</t>
  </si>
  <si>
    <t>Ⅳ-通1</t>
  </si>
  <si>
    <t>地上</t>
  </si>
  <si>
    <t>平层住宅</t>
  </si>
  <si>
    <t>抵押</t>
  </si>
  <si>
    <t>房地产市场价值</t>
  </si>
  <si>
    <t>企业</t>
  </si>
  <si>
    <t>估价对象位于北京城市副中心商务中心区，周边商业氛围较成熟，人流量较大，商业繁华度较好</t>
    <phoneticPr fontId="24" type="noConversion"/>
  </si>
  <si>
    <t>估价对象位于北京城市副中心商务中心区，周边办公楼项目较多，入驻率较高，办公集聚程度较好</t>
    <phoneticPr fontId="24" type="noConversion"/>
  </si>
  <si>
    <t>自定义容积率</t>
  </si>
  <si>
    <r>
      <rPr>
        <sz val="10"/>
        <rFont val="宋体"/>
        <family val="3"/>
        <charset val="134"/>
      </rPr>
      <t>直线</t>
    </r>
    <r>
      <rPr>
        <sz val="10"/>
        <rFont val="Arial"/>
        <family val="2"/>
      </rPr>
      <t>170</t>
    </r>
    <phoneticPr fontId="134" type="noConversion"/>
  </si>
  <si>
    <t>与级别开发程度一致</t>
  </si>
  <si>
    <t>较好</t>
  </si>
  <si>
    <t>好</t>
  </si>
  <si>
    <t>一般</t>
  </si>
  <si>
    <t>楼层修正</t>
  </si>
  <si>
    <t>不临65条商业街</t>
  </si>
  <si>
    <t>中心城区以外</t>
  </si>
  <si>
    <t>成新度</t>
  </si>
  <si>
    <t>楼层</t>
    <phoneticPr fontId="134" type="noConversion"/>
  </si>
  <si>
    <t>未包含在土地购买价格中</t>
  </si>
  <si>
    <t>已包含在土地取得成本中</t>
  </si>
  <si>
    <t>地下办公</t>
  </si>
  <si>
    <t>地下商业</t>
  </si>
  <si>
    <t>车库-办公</t>
  </si>
  <si>
    <r>
      <rPr>
        <sz val="11"/>
        <color indexed="8"/>
        <rFont val="宋体"/>
        <family val="3"/>
        <charset val="134"/>
      </rPr>
      <t>机械车位用车库</t>
    </r>
    <r>
      <rPr>
        <sz val="11"/>
        <color indexed="8"/>
        <rFont val="Arial"/>
        <family val="2"/>
      </rPr>
      <t>-</t>
    </r>
    <r>
      <rPr>
        <sz val="11"/>
        <color indexed="8"/>
        <rFont val="宋体"/>
        <family val="3"/>
        <charset val="134"/>
      </rPr>
      <t>办公代</t>
    </r>
    <phoneticPr fontId="3" type="noConversion"/>
  </si>
  <si>
    <t>收益法 (元)地上商业</t>
    <phoneticPr fontId="16" type="noConversion"/>
  </si>
  <si>
    <t>收益法 (元) 地下商业</t>
    <phoneticPr fontId="16" type="noConversion"/>
  </si>
  <si>
    <t>收益法 (元) 地下办公</t>
    <phoneticPr fontId="16" type="noConversion"/>
  </si>
  <si>
    <t>收益法 (元)机械车位</t>
    <phoneticPr fontId="16" type="noConversion"/>
  </si>
  <si>
    <t>收益法 (元)车位</t>
    <phoneticPr fontId="16" type="noConversion"/>
  </si>
  <si>
    <t>收益法（元）仓储</t>
    <phoneticPr fontId="16" type="noConversion"/>
  </si>
  <si>
    <t>押一</t>
  </si>
  <si>
    <t>钢混</t>
  </si>
  <si>
    <t>非生产用房</t>
  </si>
  <si>
    <t>否</t>
  </si>
  <si>
    <t>建筑面积</t>
    <phoneticPr fontId="134" type="noConversion"/>
  </si>
  <si>
    <t>成本法地上商业</t>
    <phoneticPr fontId="16" type="noConversion"/>
  </si>
  <si>
    <t>成本法 地下商业</t>
    <phoneticPr fontId="16" type="noConversion"/>
  </si>
  <si>
    <t>成本法 地下办公</t>
    <phoneticPr fontId="16" type="noConversion"/>
  </si>
  <si>
    <t>成本法机械车位</t>
    <phoneticPr fontId="16" type="noConversion"/>
  </si>
  <si>
    <t>成本法车位</t>
    <phoneticPr fontId="16" type="noConversion"/>
  </si>
  <si>
    <t>成本法仓储</t>
    <phoneticPr fontId="16" type="noConversion"/>
  </si>
  <si>
    <t>全部缴纳</t>
  </si>
  <si>
    <t>建面</t>
    <phoneticPr fontId="134" type="noConversion"/>
  </si>
  <si>
    <t>其他：</t>
  </si>
  <si>
    <t>住宅</t>
    <phoneticPr fontId="7" type="noConversion"/>
  </si>
  <si>
    <t>收益法 (元)</t>
  </si>
  <si>
    <t>月租金</t>
    <phoneticPr fontId="134" type="noConversion"/>
  </si>
  <si>
    <t>《郑州市人民政府关于印发郑州市城市基础设施配套费征收管理办法的通知》（郑政文〔2017〕100号）。</t>
  </si>
  <si>
    <t>现房</t>
  </si>
  <si>
    <t>估价对象周边有196路、B38路、Y25路等多条公交线路，综合评价交通便捷度一般</t>
    <phoneticPr fontId="40" type="noConversion"/>
  </si>
  <si>
    <t>估价对象周边有河南省体育场馆中心、郑州海洋馆等人文景观，东风渠水系等自然景观，综合评价环境状况较好。</t>
    <phoneticPr fontId="3" type="noConversion"/>
  </si>
  <si>
    <t>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t>
    <phoneticPr fontId="40" type="noConversion"/>
  </si>
  <si>
    <t>周边有阳光嘉苑、瑞祥花园、园田花园、四月天等住宅小区，居住社区成熟度较好。</t>
    <phoneticPr fontId="40" type="noConversion"/>
  </si>
  <si>
    <t>单套模式</t>
  </si>
  <si>
    <t>售价</t>
  </si>
  <si>
    <t>瑞景花园</t>
    <phoneticPr fontId="3" type="noConversion"/>
  </si>
  <si>
    <t>估价对象</t>
    <phoneticPr fontId="3" type="noConversion"/>
  </si>
  <si>
    <t>正常</t>
  </si>
  <si>
    <t>住宅</t>
    <phoneticPr fontId="24" type="noConversion"/>
  </si>
  <si>
    <t>房屋性质</t>
    <phoneticPr fontId="24" type="noConversion"/>
  </si>
  <si>
    <t>商品房</t>
    <phoneticPr fontId="24" type="noConversion"/>
  </si>
  <si>
    <t>七通</t>
  </si>
  <si>
    <t>周边有阳光嘉苑、瑞祥花园、园田花园、四月天等住宅小区，居住社区成熟度较好。</t>
    <phoneticPr fontId="24" type="noConversion"/>
  </si>
  <si>
    <r>
      <rPr>
        <sz val="11"/>
        <rFont val="宋体"/>
        <family val="3"/>
        <charset val="134"/>
      </rPr>
      <t>周边有</t>
    </r>
    <r>
      <rPr>
        <sz val="11"/>
        <rFont val="Arial"/>
        <family val="2"/>
      </rPr>
      <t>196</t>
    </r>
    <r>
      <rPr>
        <sz val="11"/>
        <rFont val="宋体"/>
        <family val="3"/>
        <charset val="134"/>
      </rPr>
      <t>路、</t>
    </r>
    <r>
      <rPr>
        <sz val="11"/>
        <rFont val="Arial"/>
        <family val="2"/>
      </rPr>
      <t>B38</t>
    </r>
    <r>
      <rPr>
        <sz val="11"/>
        <rFont val="宋体"/>
        <family val="3"/>
        <charset val="134"/>
      </rPr>
      <t>路、</t>
    </r>
    <r>
      <rPr>
        <sz val="11"/>
        <rFont val="Arial"/>
        <family val="2"/>
      </rPr>
      <t>Y25</t>
    </r>
    <r>
      <rPr>
        <sz val="11"/>
        <rFont val="宋体"/>
        <family val="3"/>
        <charset val="134"/>
      </rPr>
      <t>路等多条公交线路，综合评价交通便捷度一般</t>
    </r>
    <phoneticPr fontId="24" type="noConversion"/>
  </si>
  <si>
    <t>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t>
    <phoneticPr fontId="24" type="noConversion"/>
  </si>
  <si>
    <t>周边有河南省体育场馆中心、郑州海洋馆等人文景观，东风渠水系等自然景观，综合评价环境状况较好。</t>
    <phoneticPr fontId="24" type="noConversion"/>
  </si>
  <si>
    <t>南北</t>
  </si>
  <si>
    <t>南北</t>
    <phoneticPr fontId="24" type="noConversion"/>
  </si>
  <si>
    <t>高楼层</t>
  </si>
  <si>
    <t>高楼层</t>
    <phoneticPr fontId="24" type="noConversion"/>
  </si>
  <si>
    <t>中楼层</t>
  </si>
  <si>
    <t>中楼层</t>
    <phoneticPr fontId="24" type="noConversion"/>
  </si>
  <si>
    <t>低楼层</t>
    <phoneticPr fontId="24" type="noConversion"/>
  </si>
  <si>
    <t>售价</t>
    <phoneticPr fontId="134" type="noConversion"/>
  </si>
  <si>
    <t>案例1</t>
    <phoneticPr fontId="134" type="noConversion"/>
  </si>
  <si>
    <t>成交价</t>
    <phoneticPr fontId="134" type="noConversion"/>
  </si>
  <si>
    <t>日期</t>
    <phoneticPr fontId="134" type="noConversion"/>
  </si>
  <si>
    <t>3层</t>
    <phoneticPr fontId="134" type="noConversion"/>
  </si>
  <si>
    <t>案例2</t>
    <phoneticPr fontId="134" type="noConversion"/>
  </si>
  <si>
    <t>挂牌</t>
  </si>
  <si>
    <t>挂牌</t>
    <phoneticPr fontId="24" type="noConversion"/>
  </si>
  <si>
    <t>多层板楼</t>
  </si>
  <si>
    <t>多层板楼</t>
    <phoneticPr fontId="24" type="noConversion"/>
  </si>
  <si>
    <t>混合</t>
  </si>
  <si>
    <t>混合</t>
    <phoneticPr fontId="24" type="noConversion"/>
  </si>
  <si>
    <t>普通装修</t>
  </si>
  <si>
    <t>普通装修</t>
    <phoneticPr fontId="24" type="noConversion"/>
  </si>
  <si>
    <t>普通物业管理</t>
  </si>
  <si>
    <t>普通物业管理</t>
    <phoneticPr fontId="24" type="noConversion"/>
  </si>
  <si>
    <t>七通</t>
    <phoneticPr fontId="24" type="noConversion"/>
  </si>
  <si>
    <t>三居</t>
  </si>
  <si>
    <t>三居</t>
    <phoneticPr fontId="24" type="noConversion"/>
  </si>
  <si>
    <t>精装修</t>
    <phoneticPr fontId="24" type="noConversion"/>
  </si>
  <si>
    <t>简单装修</t>
    <phoneticPr fontId="24" type="noConversion"/>
  </si>
  <si>
    <t>两居</t>
    <phoneticPr fontId="24" type="noConversion"/>
  </si>
  <si>
    <t>户型</t>
    <phoneticPr fontId="134" type="noConversion"/>
  </si>
  <si>
    <t>三居</t>
    <phoneticPr fontId="134" type="noConversion"/>
  </si>
  <si>
    <t>案例3</t>
    <phoneticPr fontId="134" type="noConversion"/>
  </si>
  <si>
    <t>交易情况</t>
    <phoneticPr fontId="134" type="noConversion"/>
  </si>
  <si>
    <t>成交</t>
    <phoneticPr fontId="134" type="noConversion"/>
  </si>
  <si>
    <t>挂牌</t>
    <phoneticPr fontId="134" type="noConversion"/>
  </si>
  <si>
    <t>比较法-住宅</t>
  </si>
  <si>
    <t>中楼层</t>
    <phoneticPr fontId="134" type="noConversion"/>
  </si>
  <si>
    <t>中指算报酬率</t>
    <phoneticPr fontId="134" type="noConversion"/>
  </si>
  <si>
    <t>7月</t>
    <phoneticPr fontId="134" type="noConversion"/>
  </si>
  <si>
    <t>8月</t>
    <phoneticPr fontId="134" type="noConversion"/>
  </si>
  <si>
    <t>9月</t>
    <phoneticPr fontId="134" type="noConversion"/>
  </si>
  <si>
    <t>金水售价</t>
    <phoneticPr fontId="134" type="noConversion"/>
  </si>
  <si>
    <t>郑州租金</t>
    <phoneticPr fontId="134" type="noConversion"/>
  </si>
  <si>
    <t>扣减后总价</t>
    <phoneticPr fontId="8" type="noConversion"/>
  </si>
  <si>
    <t>万元</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</si>
</sst>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name val="Arial"/>
      <family val="3"/>
      <charset val="134"/>
    </font>
    <font>
      <sz val="11"/>
      <color indexed="8"/>
      <name val="Arial"/>
      <family val="3"/>
      <charset val="134"/>
    </font>
    <font>
      <sz val="14"/>
      <color rgb="FF000000"/>
      <name val="Verdana"/>
      <family val="2"/>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6" borderId="64" xfId="0" applyFont="1" applyFill="1" applyBorder="1" applyAlignment="1" applyProtection="1">
      <alignment horizontal="left" vertical="center" wrapText="1"/>
      <protection locked="0"/>
    </xf>
    <xf numFmtId="0" fontId="0" fillId="0" borderId="0" xfId="0" applyAlignment="1">
      <alignment horizontal="center" vertical="center"/>
    </xf>
    <xf numFmtId="0" fontId="272" fillId="12" borderId="0" xfId="0" applyFont="1" applyFill="1" applyProtection="1">
      <alignment vertical="center"/>
      <protection locked="0"/>
    </xf>
    <xf numFmtId="10" fontId="0" fillId="0" borderId="0" xfId="17" applyNumberFormat="1" applyFont="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9" fontId="47" fillId="12" borderId="0" xfId="0" applyNumberFormat="1" applyFont="1" applyFill="1" applyProtection="1">
      <alignment vertical="center"/>
      <protection locked="0"/>
    </xf>
    <xf numFmtId="9" fontId="47" fillId="12" borderId="0" xfId="17" applyFont="1" applyFill="1" applyProtection="1">
      <alignment vertical="center"/>
      <protection locked="0"/>
    </xf>
    <xf numFmtId="177" fontId="44" fillId="0" borderId="23" xfId="0" applyNumberFormat="1" applyFont="1" applyBorder="1" applyAlignment="1" applyProtection="1">
      <alignment horizontal="center" vertical="center"/>
      <protection locked="0"/>
    </xf>
    <xf numFmtId="0" fontId="272" fillId="6" borderId="6" xfId="0" applyFont="1" applyFill="1" applyBorder="1" applyAlignment="1">
      <alignment vertical="center" wrapText="1"/>
    </xf>
    <xf numFmtId="0" fontId="273" fillId="0" borderId="0" xfId="0" applyFont="1" applyAlignment="1">
      <alignment horizontal="left" vertical="center"/>
    </xf>
    <xf numFmtId="49" fontId="222" fillId="0" borderId="10" xfId="0" applyNumberFormat="1" applyFont="1" applyBorder="1" applyAlignment="1" applyProtection="1">
      <alignment vertical="center" wrapText="1"/>
      <protection locked="0"/>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274"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14" fontId="0" fillId="0" borderId="0" xfId="0" applyNumberFormat="1">
      <alignment vertical="center"/>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6"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1">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228600</xdr:colOff>
      <xdr:row>22</xdr:row>
      <xdr:rowOff>52162</xdr:rowOff>
    </xdr:from>
    <xdr:to>
      <xdr:col>15</xdr:col>
      <xdr:colOff>532543</xdr:colOff>
      <xdr:row>52</xdr:row>
      <xdr:rowOff>217945</xdr:rowOff>
    </xdr:to>
    <xdr:pic>
      <xdr:nvPicPr>
        <xdr:cNvPr id="2" name="图片 1">
          <a:extLst>
            <a:ext uri="{FF2B5EF4-FFF2-40B4-BE49-F238E27FC236}">
              <a16:creationId xmlns:a16="http://schemas.microsoft.com/office/drawing/2014/main" id="{D05A8E99-5CEC-74A6-4480-3B0CFA5B7D9E}"/>
            </a:ext>
          </a:extLst>
        </xdr:cNvPr>
        <xdr:cNvPicPr>
          <a:picLocks noChangeAspect="1"/>
        </xdr:cNvPicPr>
      </xdr:nvPicPr>
      <xdr:blipFill>
        <a:blip xmlns:r="http://schemas.openxmlformats.org/officeDocument/2006/relationships" r:embed="rId1"/>
        <a:stretch>
          <a:fillRect/>
        </a:stretch>
      </xdr:blipFill>
      <xdr:spPr>
        <a:xfrm>
          <a:off x="8248650" y="4652737"/>
          <a:ext cx="5075968" cy="6690408"/>
        </a:xfrm>
        <a:prstGeom prst="rect">
          <a:avLst/>
        </a:prstGeom>
      </xdr:spPr>
    </xdr:pic>
    <xdr:clientData/>
  </xdr:twoCellAnchor>
  <xdr:twoCellAnchor editAs="oneCell">
    <xdr:from>
      <xdr:col>16</xdr:col>
      <xdr:colOff>294960</xdr:colOff>
      <xdr:row>23</xdr:row>
      <xdr:rowOff>38100</xdr:rowOff>
    </xdr:from>
    <xdr:to>
      <xdr:col>30</xdr:col>
      <xdr:colOff>588234</xdr:colOff>
      <xdr:row>48</xdr:row>
      <xdr:rowOff>112859</xdr:rowOff>
    </xdr:to>
    <xdr:pic>
      <xdr:nvPicPr>
        <xdr:cNvPr id="3" name="图片 2">
          <a:extLst>
            <a:ext uri="{FF2B5EF4-FFF2-40B4-BE49-F238E27FC236}">
              <a16:creationId xmlns:a16="http://schemas.microsoft.com/office/drawing/2014/main" id="{42F9AB66-8794-CF81-0EE8-0D028DDEA33C}"/>
            </a:ext>
          </a:extLst>
        </xdr:cNvPr>
        <xdr:cNvPicPr>
          <a:picLocks noChangeAspect="1"/>
        </xdr:cNvPicPr>
      </xdr:nvPicPr>
      <xdr:blipFill>
        <a:blip xmlns:r="http://schemas.openxmlformats.org/officeDocument/2006/relationships" r:embed="rId2"/>
        <a:stretch>
          <a:fillRect/>
        </a:stretch>
      </xdr:blipFill>
      <xdr:spPr>
        <a:xfrm>
          <a:off x="13915710" y="4867275"/>
          <a:ext cx="9122949" cy="5675459"/>
        </a:xfrm>
        <a:prstGeom prst="rect">
          <a:avLst/>
        </a:prstGeom>
      </xdr:spPr>
    </xdr:pic>
    <xdr:clientData/>
  </xdr:twoCellAnchor>
  <xdr:twoCellAnchor editAs="oneCell">
    <xdr:from>
      <xdr:col>16</xdr:col>
      <xdr:colOff>609600</xdr:colOff>
      <xdr:row>50</xdr:row>
      <xdr:rowOff>180975</xdr:rowOff>
    </xdr:from>
    <xdr:to>
      <xdr:col>26</xdr:col>
      <xdr:colOff>303992</xdr:colOff>
      <xdr:row>63</xdr:row>
      <xdr:rowOff>66373</xdr:rowOff>
    </xdr:to>
    <xdr:pic>
      <xdr:nvPicPr>
        <xdr:cNvPr id="4" name="图片 3">
          <a:extLst>
            <a:ext uri="{FF2B5EF4-FFF2-40B4-BE49-F238E27FC236}">
              <a16:creationId xmlns:a16="http://schemas.microsoft.com/office/drawing/2014/main" id="{90E7ED86-EBDB-0E98-505B-E1EEE853BC00}"/>
            </a:ext>
          </a:extLst>
        </xdr:cNvPr>
        <xdr:cNvPicPr>
          <a:picLocks noChangeAspect="1"/>
        </xdr:cNvPicPr>
      </xdr:nvPicPr>
      <xdr:blipFill>
        <a:blip xmlns:r="http://schemas.openxmlformats.org/officeDocument/2006/relationships" r:embed="rId3"/>
        <a:stretch>
          <a:fillRect/>
        </a:stretch>
      </xdr:blipFill>
      <xdr:spPr>
        <a:xfrm>
          <a:off x="14230350" y="10982325"/>
          <a:ext cx="6466667" cy="2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276225</xdr:colOff>
      <xdr:row>0</xdr:row>
      <xdr:rowOff>85725</xdr:rowOff>
    </xdr:from>
    <xdr:to>
      <xdr:col>19</xdr:col>
      <xdr:colOff>190500</xdr:colOff>
      <xdr:row>38</xdr:row>
      <xdr:rowOff>128620</xdr:rowOff>
    </xdr:to>
    <xdr:pic>
      <xdr:nvPicPr>
        <xdr:cNvPr id="2" name="图片 1">
          <a:extLst>
            <a:ext uri="{FF2B5EF4-FFF2-40B4-BE49-F238E27FC236}">
              <a16:creationId xmlns:a16="http://schemas.microsoft.com/office/drawing/2014/main" id="{F54411F2-E082-E3E0-6817-060A771C3AFE}"/>
            </a:ext>
          </a:extLst>
        </xdr:cNvPr>
        <xdr:cNvPicPr>
          <a:picLocks noChangeAspect="1"/>
        </xdr:cNvPicPr>
      </xdr:nvPicPr>
      <xdr:blipFill>
        <a:blip xmlns:r="http://schemas.openxmlformats.org/officeDocument/2006/relationships" r:embed="rId1"/>
        <a:stretch>
          <a:fillRect/>
        </a:stretch>
      </xdr:blipFill>
      <xdr:spPr>
        <a:xfrm>
          <a:off x="12896850" y="85725"/>
          <a:ext cx="5686425" cy="73961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67037</xdr:colOff>
      <xdr:row>0</xdr:row>
      <xdr:rowOff>28575</xdr:rowOff>
    </xdr:from>
    <xdr:to>
      <xdr:col>3</xdr:col>
      <xdr:colOff>107813</xdr:colOff>
      <xdr:row>26</xdr:row>
      <xdr:rowOff>126502</xdr:rowOff>
    </xdr:to>
    <xdr:pic>
      <xdr:nvPicPr>
        <xdr:cNvPr id="2" name="图片 1">
          <a:extLst>
            <a:ext uri="{FF2B5EF4-FFF2-40B4-BE49-F238E27FC236}">
              <a16:creationId xmlns:a16="http://schemas.microsoft.com/office/drawing/2014/main" id="{E48C2E7C-4792-30CE-D2C7-140A17C907E9}"/>
            </a:ext>
          </a:extLst>
        </xdr:cNvPr>
        <xdr:cNvPicPr>
          <a:picLocks noChangeAspect="1"/>
        </xdr:cNvPicPr>
      </xdr:nvPicPr>
      <xdr:blipFill>
        <a:blip xmlns:r="http://schemas.openxmlformats.org/officeDocument/2006/relationships" r:embed="rId1"/>
        <a:stretch>
          <a:fillRect/>
        </a:stretch>
      </xdr:blipFill>
      <xdr:spPr>
        <a:xfrm>
          <a:off x="67037" y="28575"/>
          <a:ext cx="2098176" cy="4555627"/>
        </a:xfrm>
        <a:prstGeom prst="rect">
          <a:avLst/>
        </a:prstGeom>
      </xdr:spPr>
    </xdr:pic>
    <xdr:clientData/>
  </xdr:twoCellAnchor>
  <xdr:twoCellAnchor editAs="oneCell">
    <xdr:from>
      <xdr:col>3</xdr:col>
      <xdr:colOff>113593</xdr:colOff>
      <xdr:row>0</xdr:row>
      <xdr:rowOff>0</xdr:rowOff>
    </xdr:from>
    <xdr:to>
      <xdr:col>6</xdr:col>
      <xdr:colOff>79186</xdr:colOff>
      <xdr:row>27</xdr:row>
      <xdr:rowOff>23687</xdr:rowOff>
    </xdr:to>
    <xdr:pic>
      <xdr:nvPicPr>
        <xdr:cNvPr id="3" name="图片 2">
          <a:extLst>
            <a:ext uri="{FF2B5EF4-FFF2-40B4-BE49-F238E27FC236}">
              <a16:creationId xmlns:a16="http://schemas.microsoft.com/office/drawing/2014/main" id="{54A2B835-15DE-0B8D-65A8-7F3F7CB71339}"/>
            </a:ext>
          </a:extLst>
        </xdr:cNvPr>
        <xdr:cNvPicPr>
          <a:picLocks noChangeAspect="1"/>
        </xdr:cNvPicPr>
      </xdr:nvPicPr>
      <xdr:blipFill>
        <a:blip xmlns:r="http://schemas.openxmlformats.org/officeDocument/2006/relationships" r:embed="rId2"/>
        <a:stretch>
          <a:fillRect/>
        </a:stretch>
      </xdr:blipFill>
      <xdr:spPr>
        <a:xfrm>
          <a:off x="2170993" y="0"/>
          <a:ext cx="2137293" cy="4652837"/>
        </a:xfrm>
        <a:prstGeom prst="rect">
          <a:avLst/>
        </a:prstGeom>
      </xdr:spPr>
    </xdr:pic>
    <xdr:clientData/>
  </xdr:twoCellAnchor>
  <xdr:twoCellAnchor editAs="oneCell">
    <xdr:from>
      <xdr:col>6</xdr:col>
      <xdr:colOff>222400</xdr:colOff>
      <xdr:row>0</xdr:row>
      <xdr:rowOff>19051</xdr:rowOff>
    </xdr:from>
    <xdr:to>
      <xdr:col>9</xdr:col>
      <xdr:colOff>312667</xdr:colOff>
      <xdr:row>27</xdr:row>
      <xdr:rowOff>39783</xdr:rowOff>
    </xdr:to>
    <xdr:pic>
      <xdr:nvPicPr>
        <xdr:cNvPr id="4" name="图片 3">
          <a:extLst>
            <a:ext uri="{FF2B5EF4-FFF2-40B4-BE49-F238E27FC236}">
              <a16:creationId xmlns:a16="http://schemas.microsoft.com/office/drawing/2014/main" id="{1CE4535C-FF00-FC0C-B6DA-2749628498C3}"/>
            </a:ext>
          </a:extLst>
        </xdr:cNvPr>
        <xdr:cNvPicPr>
          <a:picLocks noChangeAspect="1"/>
        </xdr:cNvPicPr>
      </xdr:nvPicPr>
      <xdr:blipFill>
        <a:blip xmlns:r="http://schemas.openxmlformats.org/officeDocument/2006/relationships" r:embed="rId3"/>
        <a:stretch>
          <a:fillRect/>
        </a:stretch>
      </xdr:blipFill>
      <xdr:spPr>
        <a:xfrm>
          <a:off x="4337200" y="19051"/>
          <a:ext cx="2147667" cy="4649882"/>
        </a:xfrm>
        <a:prstGeom prst="rect">
          <a:avLst/>
        </a:prstGeom>
      </xdr:spPr>
    </xdr:pic>
    <xdr:clientData/>
  </xdr:twoCellAnchor>
  <xdr:twoCellAnchor editAs="oneCell">
    <xdr:from>
      <xdr:col>9</xdr:col>
      <xdr:colOff>342749</xdr:colOff>
      <xdr:row>0</xdr:row>
      <xdr:rowOff>0</xdr:rowOff>
    </xdr:from>
    <xdr:to>
      <xdr:col>12</xdr:col>
      <xdr:colOff>473022</xdr:colOff>
      <xdr:row>27</xdr:row>
      <xdr:rowOff>76201</xdr:rowOff>
    </xdr:to>
    <xdr:pic>
      <xdr:nvPicPr>
        <xdr:cNvPr id="5" name="图片 4">
          <a:extLst>
            <a:ext uri="{FF2B5EF4-FFF2-40B4-BE49-F238E27FC236}">
              <a16:creationId xmlns:a16="http://schemas.microsoft.com/office/drawing/2014/main" id="{9EA33DEE-8AC4-7900-F18E-A7DA346066F7}"/>
            </a:ext>
          </a:extLst>
        </xdr:cNvPr>
        <xdr:cNvPicPr>
          <a:picLocks noChangeAspect="1"/>
        </xdr:cNvPicPr>
      </xdr:nvPicPr>
      <xdr:blipFill>
        <a:blip xmlns:r="http://schemas.openxmlformats.org/officeDocument/2006/relationships" r:embed="rId4"/>
        <a:stretch>
          <a:fillRect/>
        </a:stretch>
      </xdr:blipFill>
      <xdr:spPr>
        <a:xfrm>
          <a:off x="6514949" y="0"/>
          <a:ext cx="2187673" cy="4705351"/>
        </a:xfrm>
        <a:prstGeom prst="rect">
          <a:avLst/>
        </a:prstGeom>
      </xdr:spPr>
    </xdr:pic>
    <xdr:clientData/>
  </xdr:twoCellAnchor>
  <xdr:twoCellAnchor editAs="oneCell">
    <xdr:from>
      <xdr:col>0</xdr:col>
      <xdr:colOff>9525</xdr:colOff>
      <xdr:row>27</xdr:row>
      <xdr:rowOff>66676</xdr:rowOff>
    </xdr:from>
    <xdr:to>
      <xdr:col>2</xdr:col>
      <xdr:colOff>590613</xdr:colOff>
      <xdr:row>51</xdr:row>
      <xdr:rowOff>159968</xdr:rowOff>
    </xdr:to>
    <xdr:pic>
      <xdr:nvPicPr>
        <xdr:cNvPr id="6" name="图片 5">
          <a:extLst>
            <a:ext uri="{FF2B5EF4-FFF2-40B4-BE49-F238E27FC236}">
              <a16:creationId xmlns:a16="http://schemas.microsoft.com/office/drawing/2014/main" id="{EF931253-EEA8-AC90-F996-59B7B0E76DBD}"/>
            </a:ext>
          </a:extLst>
        </xdr:cNvPr>
        <xdr:cNvPicPr>
          <a:picLocks noChangeAspect="1"/>
        </xdr:cNvPicPr>
      </xdr:nvPicPr>
      <xdr:blipFill>
        <a:blip xmlns:r="http://schemas.openxmlformats.org/officeDocument/2006/relationships" r:embed="rId5"/>
        <a:stretch>
          <a:fillRect/>
        </a:stretch>
      </xdr:blipFill>
      <xdr:spPr>
        <a:xfrm>
          <a:off x="9525" y="4695826"/>
          <a:ext cx="1952688" cy="4208092"/>
        </a:xfrm>
        <a:prstGeom prst="rect">
          <a:avLst/>
        </a:prstGeom>
      </xdr:spPr>
    </xdr:pic>
    <xdr:clientData/>
  </xdr:twoCellAnchor>
  <xdr:twoCellAnchor editAs="oneCell">
    <xdr:from>
      <xdr:col>2</xdr:col>
      <xdr:colOff>604362</xdr:colOff>
      <xdr:row>27</xdr:row>
      <xdr:rowOff>66676</xdr:rowOff>
    </xdr:from>
    <xdr:to>
      <xdr:col>5</xdr:col>
      <xdr:colOff>361854</xdr:colOff>
      <xdr:row>51</xdr:row>
      <xdr:rowOff>137297</xdr:rowOff>
    </xdr:to>
    <xdr:pic>
      <xdr:nvPicPr>
        <xdr:cNvPr id="7" name="图片 6">
          <a:extLst>
            <a:ext uri="{FF2B5EF4-FFF2-40B4-BE49-F238E27FC236}">
              <a16:creationId xmlns:a16="http://schemas.microsoft.com/office/drawing/2014/main" id="{26DD0A86-F86B-7E57-3465-08BFD6429786}"/>
            </a:ext>
          </a:extLst>
        </xdr:cNvPr>
        <xdr:cNvPicPr>
          <a:picLocks noChangeAspect="1"/>
        </xdr:cNvPicPr>
      </xdr:nvPicPr>
      <xdr:blipFill>
        <a:blip xmlns:r="http://schemas.openxmlformats.org/officeDocument/2006/relationships" r:embed="rId6"/>
        <a:stretch>
          <a:fillRect/>
        </a:stretch>
      </xdr:blipFill>
      <xdr:spPr>
        <a:xfrm>
          <a:off x="1975962" y="4695826"/>
          <a:ext cx="1929192" cy="4185421"/>
        </a:xfrm>
        <a:prstGeom prst="rect">
          <a:avLst/>
        </a:prstGeom>
      </xdr:spPr>
    </xdr:pic>
    <xdr:clientData/>
  </xdr:twoCellAnchor>
  <xdr:twoCellAnchor editAs="oneCell">
    <xdr:from>
      <xdr:col>5</xdr:col>
      <xdr:colOff>482368</xdr:colOff>
      <xdr:row>27</xdr:row>
      <xdr:rowOff>66676</xdr:rowOff>
    </xdr:from>
    <xdr:to>
      <xdr:col>8</xdr:col>
      <xdr:colOff>353878</xdr:colOff>
      <xdr:row>51</xdr:row>
      <xdr:rowOff>154380</xdr:rowOff>
    </xdr:to>
    <xdr:pic>
      <xdr:nvPicPr>
        <xdr:cNvPr id="8" name="图片 7">
          <a:extLst>
            <a:ext uri="{FF2B5EF4-FFF2-40B4-BE49-F238E27FC236}">
              <a16:creationId xmlns:a16="http://schemas.microsoft.com/office/drawing/2014/main" id="{A82A1C70-B57E-5A66-5D0D-B5FBD619023D}"/>
            </a:ext>
          </a:extLst>
        </xdr:cNvPr>
        <xdr:cNvPicPr>
          <a:picLocks noChangeAspect="1"/>
        </xdr:cNvPicPr>
      </xdr:nvPicPr>
      <xdr:blipFill>
        <a:blip xmlns:r="http://schemas.openxmlformats.org/officeDocument/2006/relationships" r:embed="rId7"/>
        <a:stretch>
          <a:fillRect/>
        </a:stretch>
      </xdr:blipFill>
      <xdr:spPr>
        <a:xfrm>
          <a:off x="3911368" y="4695826"/>
          <a:ext cx="1928910" cy="4202504"/>
        </a:xfrm>
        <a:prstGeom prst="rect">
          <a:avLst/>
        </a:prstGeom>
      </xdr:spPr>
    </xdr:pic>
    <xdr:clientData/>
  </xdr:twoCellAnchor>
  <xdr:twoCellAnchor editAs="oneCell">
    <xdr:from>
      <xdr:col>8</xdr:col>
      <xdr:colOff>368069</xdr:colOff>
      <xdr:row>27</xdr:row>
      <xdr:rowOff>66676</xdr:rowOff>
    </xdr:from>
    <xdr:to>
      <xdr:col>11</xdr:col>
      <xdr:colOff>253201</xdr:colOff>
      <xdr:row>51</xdr:row>
      <xdr:rowOff>161925</xdr:rowOff>
    </xdr:to>
    <xdr:pic>
      <xdr:nvPicPr>
        <xdr:cNvPr id="9" name="图片 8">
          <a:extLst>
            <a:ext uri="{FF2B5EF4-FFF2-40B4-BE49-F238E27FC236}">
              <a16:creationId xmlns:a16="http://schemas.microsoft.com/office/drawing/2014/main" id="{DD4DCE95-713A-0A17-9CF3-38859A8AC9F3}"/>
            </a:ext>
          </a:extLst>
        </xdr:cNvPr>
        <xdr:cNvPicPr>
          <a:picLocks noChangeAspect="1"/>
        </xdr:cNvPicPr>
      </xdr:nvPicPr>
      <xdr:blipFill>
        <a:blip xmlns:r="http://schemas.openxmlformats.org/officeDocument/2006/relationships" r:embed="rId8"/>
        <a:stretch>
          <a:fillRect/>
        </a:stretch>
      </xdr:blipFill>
      <xdr:spPr>
        <a:xfrm>
          <a:off x="5854469" y="4695826"/>
          <a:ext cx="1942532" cy="4210049"/>
        </a:xfrm>
        <a:prstGeom prst="rect">
          <a:avLst/>
        </a:prstGeom>
      </xdr:spPr>
    </xdr:pic>
    <xdr:clientData/>
  </xdr:twoCellAnchor>
  <xdr:twoCellAnchor editAs="oneCell">
    <xdr:from>
      <xdr:col>19</xdr:col>
      <xdr:colOff>28575</xdr:colOff>
      <xdr:row>1</xdr:row>
      <xdr:rowOff>0</xdr:rowOff>
    </xdr:from>
    <xdr:to>
      <xdr:col>25</xdr:col>
      <xdr:colOff>609600</xdr:colOff>
      <xdr:row>42</xdr:row>
      <xdr:rowOff>5687</xdr:rowOff>
    </xdr:to>
    <xdr:pic>
      <xdr:nvPicPr>
        <xdr:cNvPr id="11" name="图片 10">
          <a:extLst>
            <a:ext uri="{FF2B5EF4-FFF2-40B4-BE49-F238E27FC236}">
              <a16:creationId xmlns:a16="http://schemas.microsoft.com/office/drawing/2014/main" id="{23FA75A8-DE4A-CF61-D7ED-A48884A9ED54}"/>
            </a:ext>
          </a:extLst>
        </xdr:cNvPr>
        <xdr:cNvPicPr>
          <a:picLocks noChangeAspect="1"/>
        </xdr:cNvPicPr>
      </xdr:nvPicPr>
      <xdr:blipFill>
        <a:blip xmlns:r="http://schemas.openxmlformats.org/officeDocument/2006/relationships" r:embed="rId9"/>
        <a:stretch>
          <a:fillRect/>
        </a:stretch>
      </xdr:blipFill>
      <xdr:spPr>
        <a:xfrm>
          <a:off x="13058775" y="171450"/>
          <a:ext cx="4695825" cy="7035137"/>
        </a:xfrm>
        <a:prstGeom prst="rect">
          <a:avLst/>
        </a:prstGeom>
      </xdr:spPr>
    </xdr:pic>
    <xdr:clientData/>
  </xdr:twoCellAnchor>
  <xdr:twoCellAnchor editAs="oneCell">
    <xdr:from>
      <xdr:col>26</xdr:col>
      <xdr:colOff>257175</xdr:colOff>
      <xdr:row>0</xdr:row>
      <xdr:rowOff>160523</xdr:rowOff>
    </xdr:from>
    <xdr:to>
      <xdr:col>38</xdr:col>
      <xdr:colOff>65567</xdr:colOff>
      <xdr:row>18</xdr:row>
      <xdr:rowOff>56746</xdr:rowOff>
    </xdr:to>
    <xdr:pic>
      <xdr:nvPicPr>
        <xdr:cNvPr id="12" name="图片 11">
          <a:extLst>
            <a:ext uri="{FF2B5EF4-FFF2-40B4-BE49-F238E27FC236}">
              <a16:creationId xmlns:a16="http://schemas.microsoft.com/office/drawing/2014/main" id="{39BFB10D-ED8E-E734-583D-35A560899878}"/>
            </a:ext>
          </a:extLst>
        </xdr:cNvPr>
        <xdr:cNvPicPr>
          <a:picLocks noChangeAspect="1"/>
        </xdr:cNvPicPr>
      </xdr:nvPicPr>
      <xdr:blipFill>
        <a:blip xmlns:r="http://schemas.openxmlformats.org/officeDocument/2006/relationships" r:embed="rId10"/>
        <a:stretch>
          <a:fillRect/>
        </a:stretch>
      </xdr:blipFill>
      <xdr:spPr>
        <a:xfrm>
          <a:off x="18126075" y="160523"/>
          <a:ext cx="8190392" cy="2982323"/>
        </a:xfrm>
        <a:prstGeom prst="rect">
          <a:avLst/>
        </a:prstGeom>
      </xdr:spPr>
    </xdr:pic>
    <xdr:clientData/>
  </xdr:twoCellAnchor>
  <xdr:twoCellAnchor editAs="oneCell">
    <xdr:from>
      <xdr:col>8</xdr:col>
      <xdr:colOff>347135</xdr:colOff>
      <xdr:row>53</xdr:row>
      <xdr:rowOff>9525</xdr:rowOff>
    </xdr:from>
    <xdr:to>
      <xdr:col>13</xdr:col>
      <xdr:colOff>218977</xdr:colOff>
      <xdr:row>95</xdr:row>
      <xdr:rowOff>27075</xdr:rowOff>
    </xdr:to>
    <xdr:pic>
      <xdr:nvPicPr>
        <xdr:cNvPr id="13" name="图片 12">
          <a:extLst>
            <a:ext uri="{FF2B5EF4-FFF2-40B4-BE49-F238E27FC236}">
              <a16:creationId xmlns:a16="http://schemas.microsoft.com/office/drawing/2014/main" id="{C649D4E8-128C-C845-9EBA-CDA750B12C06}"/>
            </a:ext>
          </a:extLst>
        </xdr:cNvPr>
        <xdr:cNvPicPr>
          <a:picLocks noChangeAspect="1"/>
        </xdr:cNvPicPr>
      </xdr:nvPicPr>
      <xdr:blipFill>
        <a:blip xmlns:r="http://schemas.openxmlformats.org/officeDocument/2006/relationships" r:embed="rId11"/>
        <a:stretch>
          <a:fillRect/>
        </a:stretch>
      </xdr:blipFill>
      <xdr:spPr>
        <a:xfrm>
          <a:off x="5871635" y="9096375"/>
          <a:ext cx="3300842" cy="7218450"/>
        </a:xfrm>
        <a:prstGeom prst="rect">
          <a:avLst/>
        </a:prstGeom>
      </xdr:spPr>
    </xdr:pic>
    <xdr:clientData/>
  </xdr:twoCellAnchor>
  <xdr:twoCellAnchor editAs="oneCell">
    <xdr:from>
      <xdr:col>14</xdr:col>
      <xdr:colOff>333036</xdr:colOff>
      <xdr:row>52</xdr:row>
      <xdr:rowOff>160606</xdr:rowOff>
    </xdr:from>
    <xdr:to>
      <xdr:col>18</xdr:col>
      <xdr:colOff>485211</xdr:colOff>
      <xdr:row>90</xdr:row>
      <xdr:rowOff>92999</xdr:rowOff>
    </xdr:to>
    <xdr:pic>
      <xdr:nvPicPr>
        <xdr:cNvPr id="14" name="图片 13">
          <a:extLst>
            <a:ext uri="{FF2B5EF4-FFF2-40B4-BE49-F238E27FC236}">
              <a16:creationId xmlns:a16="http://schemas.microsoft.com/office/drawing/2014/main" id="{D977F502-953D-8A5C-4A34-E4F26F6931CD}"/>
            </a:ext>
          </a:extLst>
        </xdr:cNvPr>
        <xdr:cNvPicPr>
          <a:picLocks noChangeAspect="1"/>
        </xdr:cNvPicPr>
      </xdr:nvPicPr>
      <xdr:blipFill>
        <a:blip xmlns:r="http://schemas.openxmlformats.org/officeDocument/2006/relationships" r:embed="rId12"/>
        <a:stretch>
          <a:fillRect/>
        </a:stretch>
      </xdr:blipFill>
      <xdr:spPr>
        <a:xfrm>
          <a:off x="9972336" y="9076006"/>
          <a:ext cx="2895375" cy="6447493"/>
        </a:xfrm>
        <a:prstGeom prst="rect">
          <a:avLst/>
        </a:prstGeom>
      </xdr:spPr>
    </xdr:pic>
    <xdr:clientData/>
  </xdr:twoCellAnchor>
  <xdr:twoCellAnchor editAs="oneCell">
    <xdr:from>
      <xdr:col>19</xdr:col>
      <xdr:colOff>531373</xdr:colOff>
      <xdr:row>53</xdr:row>
      <xdr:rowOff>16179</xdr:rowOff>
    </xdr:from>
    <xdr:to>
      <xdr:col>24</xdr:col>
      <xdr:colOff>454612</xdr:colOff>
      <xdr:row>95</xdr:row>
      <xdr:rowOff>5175</xdr:rowOff>
    </xdr:to>
    <xdr:pic>
      <xdr:nvPicPr>
        <xdr:cNvPr id="15" name="图片 14">
          <a:extLst>
            <a:ext uri="{FF2B5EF4-FFF2-40B4-BE49-F238E27FC236}">
              <a16:creationId xmlns:a16="http://schemas.microsoft.com/office/drawing/2014/main" id="{59CEF493-A6C4-D8B0-2D7A-C1B645F1F3F9}"/>
            </a:ext>
          </a:extLst>
        </xdr:cNvPr>
        <xdr:cNvPicPr>
          <a:picLocks noChangeAspect="1"/>
        </xdr:cNvPicPr>
      </xdr:nvPicPr>
      <xdr:blipFill>
        <a:blip xmlns:r="http://schemas.openxmlformats.org/officeDocument/2006/relationships" r:embed="rId13"/>
        <a:stretch>
          <a:fillRect/>
        </a:stretch>
      </xdr:blipFill>
      <xdr:spPr>
        <a:xfrm>
          <a:off x="13599673" y="9103029"/>
          <a:ext cx="3352239" cy="7189896"/>
        </a:xfrm>
        <a:prstGeom prst="rect">
          <a:avLst/>
        </a:prstGeom>
      </xdr:spPr>
    </xdr:pic>
    <xdr:clientData/>
  </xdr:twoCellAnchor>
  <xdr:twoCellAnchor editAs="oneCell">
    <xdr:from>
      <xdr:col>25</xdr:col>
      <xdr:colOff>600075</xdr:colOff>
      <xdr:row>53</xdr:row>
      <xdr:rowOff>19050</xdr:rowOff>
    </xdr:from>
    <xdr:to>
      <xdr:col>30</xdr:col>
      <xdr:colOff>279899</xdr:colOff>
      <xdr:row>94</xdr:row>
      <xdr:rowOff>85725</xdr:rowOff>
    </xdr:to>
    <xdr:pic>
      <xdr:nvPicPr>
        <xdr:cNvPr id="16" name="图片 15">
          <a:extLst>
            <a:ext uri="{FF2B5EF4-FFF2-40B4-BE49-F238E27FC236}">
              <a16:creationId xmlns:a16="http://schemas.microsoft.com/office/drawing/2014/main" id="{569E65CE-F599-68D6-2E11-FD8DC38CB9E7}"/>
            </a:ext>
          </a:extLst>
        </xdr:cNvPr>
        <xdr:cNvPicPr>
          <a:picLocks noChangeAspect="1"/>
        </xdr:cNvPicPr>
      </xdr:nvPicPr>
      <xdr:blipFill>
        <a:blip xmlns:r="http://schemas.openxmlformats.org/officeDocument/2006/relationships" r:embed="rId14"/>
        <a:stretch>
          <a:fillRect/>
        </a:stretch>
      </xdr:blipFill>
      <xdr:spPr>
        <a:xfrm>
          <a:off x="17783175" y="9105900"/>
          <a:ext cx="3261224" cy="7096125"/>
        </a:xfrm>
        <a:prstGeom prst="rect">
          <a:avLst/>
        </a:prstGeom>
      </xdr:spPr>
    </xdr:pic>
    <xdr:clientData/>
  </xdr:twoCellAnchor>
  <xdr:twoCellAnchor editAs="oneCell">
    <xdr:from>
      <xdr:col>0</xdr:col>
      <xdr:colOff>95250</xdr:colOff>
      <xdr:row>100</xdr:row>
      <xdr:rowOff>95250</xdr:rowOff>
    </xdr:from>
    <xdr:to>
      <xdr:col>12</xdr:col>
      <xdr:colOff>408493</xdr:colOff>
      <xdr:row>107</xdr:row>
      <xdr:rowOff>57005</xdr:rowOff>
    </xdr:to>
    <xdr:pic>
      <xdr:nvPicPr>
        <xdr:cNvPr id="17" name="图片 16">
          <a:extLst>
            <a:ext uri="{FF2B5EF4-FFF2-40B4-BE49-F238E27FC236}">
              <a16:creationId xmlns:a16="http://schemas.microsoft.com/office/drawing/2014/main" id="{CAD9A57C-1B01-B133-70AC-78F82ACAD9CB}"/>
            </a:ext>
          </a:extLst>
        </xdr:cNvPr>
        <xdr:cNvPicPr>
          <a:picLocks noChangeAspect="1"/>
        </xdr:cNvPicPr>
      </xdr:nvPicPr>
      <xdr:blipFill>
        <a:blip xmlns:r="http://schemas.openxmlformats.org/officeDocument/2006/relationships" r:embed="rId15"/>
        <a:stretch>
          <a:fillRect/>
        </a:stretch>
      </xdr:blipFill>
      <xdr:spPr>
        <a:xfrm>
          <a:off x="95250" y="17240250"/>
          <a:ext cx="8657143" cy="1161905"/>
        </a:xfrm>
        <a:prstGeom prst="rect">
          <a:avLst/>
        </a:prstGeom>
      </xdr:spPr>
    </xdr:pic>
    <xdr:clientData/>
  </xdr:twoCellAnchor>
  <xdr:twoCellAnchor editAs="oneCell">
    <xdr:from>
      <xdr:col>0</xdr:col>
      <xdr:colOff>276226</xdr:colOff>
      <xdr:row>107</xdr:row>
      <xdr:rowOff>142875</xdr:rowOff>
    </xdr:from>
    <xdr:to>
      <xdr:col>12</xdr:col>
      <xdr:colOff>470574</xdr:colOff>
      <xdr:row>113</xdr:row>
      <xdr:rowOff>161925</xdr:rowOff>
    </xdr:to>
    <xdr:pic>
      <xdr:nvPicPr>
        <xdr:cNvPr id="18" name="图片 17">
          <a:extLst>
            <a:ext uri="{FF2B5EF4-FFF2-40B4-BE49-F238E27FC236}">
              <a16:creationId xmlns:a16="http://schemas.microsoft.com/office/drawing/2014/main" id="{2004CBA4-7318-89D2-F6A4-19EE5C5B20F1}"/>
            </a:ext>
          </a:extLst>
        </xdr:cNvPr>
        <xdr:cNvPicPr>
          <a:picLocks noChangeAspect="1"/>
        </xdr:cNvPicPr>
      </xdr:nvPicPr>
      <xdr:blipFill>
        <a:blip xmlns:r="http://schemas.openxmlformats.org/officeDocument/2006/relationships" r:embed="rId16"/>
        <a:stretch>
          <a:fillRect/>
        </a:stretch>
      </xdr:blipFill>
      <xdr:spPr>
        <a:xfrm>
          <a:off x="276226" y="18488025"/>
          <a:ext cx="8538248" cy="1047750"/>
        </a:xfrm>
        <a:prstGeom prst="rect">
          <a:avLst/>
        </a:prstGeom>
      </xdr:spPr>
    </xdr:pic>
    <xdr:clientData/>
  </xdr:twoCellAnchor>
  <xdr:twoCellAnchor editAs="oneCell">
    <xdr:from>
      <xdr:col>0</xdr:col>
      <xdr:colOff>361950</xdr:colOff>
      <xdr:row>114</xdr:row>
      <xdr:rowOff>104776</xdr:rowOff>
    </xdr:from>
    <xdr:to>
      <xdr:col>12</xdr:col>
      <xdr:colOff>321847</xdr:colOff>
      <xdr:row>123</xdr:row>
      <xdr:rowOff>123826</xdr:rowOff>
    </xdr:to>
    <xdr:pic>
      <xdr:nvPicPr>
        <xdr:cNvPr id="19" name="图片 18">
          <a:extLst>
            <a:ext uri="{FF2B5EF4-FFF2-40B4-BE49-F238E27FC236}">
              <a16:creationId xmlns:a16="http://schemas.microsoft.com/office/drawing/2014/main" id="{C9F62FE8-1FED-CEDD-EEB9-B29ECA0AD8A9}"/>
            </a:ext>
          </a:extLst>
        </xdr:cNvPr>
        <xdr:cNvPicPr>
          <a:picLocks noChangeAspect="1"/>
        </xdr:cNvPicPr>
      </xdr:nvPicPr>
      <xdr:blipFill>
        <a:blip xmlns:r="http://schemas.openxmlformats.org/officeDocument/2006/relationships" r:embed="rId17"/>
        <a:stretch>
          <a:fillRect/>
        </a:stretch>
      </xdr:blipFill>
      <xdr:spPr>
        <a:xfrm>
          <a:off x="361950" y="19650076"/>
          <a:ext cx="8303797" cy="1562100"/>
        </a:xfrm>
        <a:prstGeom prst="rect">
          <a:avLst/>
        </a:prstGeom>
      </xdr:spPr>
    </xdr:pic>
    <xdr:clientData/>
  </xdr:twoCellAnchor>
  <xdr:twoCellAnchor editAs="oneCell">
    <xdr:from>
      <xdr:col>0</xdr:col>
      <xdr:colOff>361950</xdr:colOff>
      <xdr:row>124</xdr:row>
      <xdr:rowOff>104775</xdr:rowOff>
    </xdr:from>
    <xdr:to>
      <xdr:col>12</xdr:col>
      <xdr:colOff>219075</xdr:colOff>
      <xdr:row>130</xdr:row>
      <xdr:rowOff>56632</xdr:rowOff>
    </xdr:to>
    <xdr:pic>
      <xdr:nvPicPr>
        <xdr:cNvPr id="20" name="图片 19">
          <a:extLst>
            <a:ext uri="{FF2B5EF4-FFF2-40B4-BE49-F238E27FC236}">
              <a16:creationId xmlns:a16="http://schemas.microsoft.com/office/drawing/2014/main" id="{D87C77B3-53D5-FFBE-1DD4-7526C728D233}"/>
            </a:ext>
          </a:extLst>
        </xdr:cNvPr>
        <xdr:cNvPicPr>
          <a:picLocks noChangeAspect="1"/>
        </xdr:cNvPicPr>
      </xdr:nvPicPr>
      <xdr:blipFill>
        <a:blip xmlns:r="http://schemas.openxmlformats.org/officeDocument/2006/relationships" r:embed="rId18"/>
        <a:stretch>
          <a:fillRect/>
        </a:stretch>
      </xdr:blipFill>
      <xdr:spPr>
        <a:xfrm>
          <a:off x="361950" y="21364575"/>
          <a:ext cx="8201025" cy="980557"/>
        </a:xfrm>
        <a:prstGeom prst="rect">
          <a:avLst/>
        </a:prstGeom>
      </xdr:spPr>
    </xdr:pic>
    <xdr:clientData/>
  </xdr:twoCellAnchor>
  <xdr:twoCellAnchor editAs="oneCell">
    <xdr:from>
      <xdr:col>0</xdr:col>
      <xdr:colOff>295275</xdr:colOff>
      <xdr:row>131</xdr:row>
      <xdr:rowOff>57150</xdr:rowOff>
    </xdr:from>
    <xdr:to>
      <xdr:col>12</xdr:col>
      <xdr:colOff>370423</xdr:colOff>
      <xdr:row>137</xdr:row>
      <xdr:rowOff>57021</xdr:rowOff>
    </xdr:to>
    <xdr:pic>
      <xdr:nvPicPr>
        <xdr:cNvPr id="21" name="图片 20">
          <a:extLst>
            <a:ext uri="{FF2B5EF4-FFF2-40B4-BE49-F238E27FC236}">
              <a16:creationId xmlns:a16="http://schemas.microsoft.com/office/drawing/2014/main" id="{D60C5629-1B40-B8A9-9C71-A707A74D53FE}"/>
            </a:ext>
          </a:extLst>
        </xdr:cNvPr>
        <xdr:cNvPicPr>
          <a:picLocks noChangeAspect="1"/>
        </xdr:cNvPicPr>
      </xdr:nvPicPr>
      <xdr:blipFill>
        <a:blip xmlns:r="http://schemas.openxmlformats.org/officeDocument/2006/relationships" r:embed="rId19"/>
        <a:stretch>
          <a:fillRect/>
        </a:stretch>
      </xdr:blipFill>
      <xdr:spPr>
        <a:xfrm>
          <a:off x="295275" y="22517100"/>
          <a:ext cx="8419048" cy="1028571"/>
        </a:xfrm>
        <a:prstGeom prst="rect">
          <a:avLst/>
        </a:prstGeom>
      </xdr:spPr>
    </xdr:pic>
    <xdr:clientData/>
  </xdr:twoCellAnchor>
  <xdr:twoCellAnchor editAs="oneCell">
    <xdr:from>
      <xdr:col>0</xdr:col>
      <xdr:colOff>266700</xdr:colOff>
      <xdr:row>138</xdr:row>
      <xdr:rowOff>133350</xdr:rowOff>
    </xdr:from>
    <xdr:to>
      <xdr:col>12</xdr:col>
      <xdr:colOff>303752</xdr:colOff>
      <xdr:row>144</xdr:row>
      <xdr:rowOff>161793</xdr:rowOff>
    </xdr:to>
    <xdr:pic>
      <xdr:nvPicPr>
        <xdr:cNvPr id="22" name="图片 21">
          <a:extLst>
            <a:ext uri="{FF2B5EF4-FFF2-40B4-BE49-F238E27FC236}">
              <a16:creationId xmlns:a16="http://schemas.microsoft.com/office/drawing/2014/main" id="{6F1FE8C9-9412-7030-7EEC-3E834C4241A7}"/>
            </a:ext>
          </a:extLst>
        </xdr:cNvPr>
        <xdr:cNvPicPr>
          <a:picLocks noChangeAspect="1"/>
        </xdr:cNvPicPr>
      </xdr:nvPicPr>
      <xdr:blipFill>
        <a:blip xmlns:r="http://schemas.openxmlformats.org/officeDocument/2006/relationships" r:embed="rId20"/>
        <a:stretch>
          <a:fillRect/>
        </a:stretch>
      </xdr:blipFill>
      <xdr:spPr>
        <a:xfrm>
          <a:off x="266700" y="23793450"/>
          <a:ext cx="8380952" cy="1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房地产市场价值预评估</v>
      </c>
    </row>
    <row r="3" spans="1:2">
      <c r="A3" s="1115" t="s">
        <v>523</v>
      </c>
      <c r="B3" s="1116">
        <f>'预评函-封皮'!B40</f>
        <v>0</v>
      </c>
    </row>
    <row r="4" spans="1:2">
      <c r="A4" s="1115" t="s">
        <v>524</v>
      </c>
      <c r="B4" s="1116" t="str">
        <f>'预评函-封皮'!B46</f>
        <v>（注册号：0)、（注册号：0)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受贵公司委托，我公司对房地产市场价值进行了预评估。</v>
      </c>
    </row>
    <row r="7" spans="1:2">
      <c r="A7" s="1115" t="s">
        <v>566</v>
      </c>
      <c r="B7" s="1116" t="str">
        <f>'预评函-1'!A7</f>
        <v>估价对象为房地产，为所有。根据《国有土地使用证》[]，估价对象（分摊）出让国有建设用地使用权面积为0平方米，建筑面积为154.79平方米。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估价对象为房地产,属开发建设的，该项目尚在开发建设中。根据《国有土地使用证》[]，估价对象（分摊）出让国有建设用地使用权面积为0平方米，规划建筑面积为154.79平方米。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2025年10月10日（评估专业人员实地查勘之日）</v>
      </c>
    </row>
    <row r="13" spans="1:2">
      <c r="A13" s="1115" t="s">
        <v>529</v>
      </c>
      <c r="B13" s="1116" t="str">
        <f>'预评函-1'!A18</f>
        <v>本次估价的“房地产价值”是指在正常市场情况下，在价值时点2025年10月10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5" thickBot="1">
      <c r="A18" s="1118" t="s">
        <v>534</v>
      </c>
      <c r="B18" s="1119" t="str">
        <f>'预评函-1'!A24</f>
        <v>本次评估采用的主估价方法为收益法和比较法。</v>
      </c>
    </row>
    <row r="19" spans="1:2" s="1114" customFormat="1" ht="15"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t="e">
        <f ca="1">'预评函-2'!D5</f>
        <v>#REF!</v>
      </c>
    </row>
    <row r="21" spans="1:2">
      <c r="A21" s="1115" t="s">
        <v>537</v>
      </c>
      <c r="B21" s="1116" t="e">
        <f ca="1">'预评函-2'!D7</f>
        <v>#REF!</v>
      </c>
    </row>
    <row r="22" spans="1:2">
      <c r="A22" s="1115" t="s">
        <v>538</v>
      </c>
      <c r="B22" s="1116" t="e">
        <f ca="1">'预评函-2'!D6</f>
        <v>#REF!</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t="e">
        <f ca="1">'预评函-2'!D13</f>
        <v>#REF!</v>
      </c>
    </row>
    <row r="31" spans="1:2">
      <c r="A31" s="1115" t="s">
        <v>576</v>
      </c>
      <c r="B31" s="1116" t="e">
        <f ca="1">'预评函-2'!D15</f>
        <v>#REF!</v>
      </c>
    </row>
    <row r="32" spans="1:2">
      <c r="A32" s="1115" t="s">
        <v>543</v>
      </c>
      <c r="B32" s="1116" t="e">
        <f ca="1">'预评函-2'!D14</f>
        <v>#REF!</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房地产</v>
      </c>
    </row>
    <row r="42" spans="1:2">
      <c r="A42" s="1115" t="s">
        <v>590</v>
      </c>
      <c r="B42" s="1116" t="str">
        <f>'预评函-3'!B2</f>
        <v>建筑面积</v>
      </c>
    </row>
    <row r="43" spans="1:2">
      <c r="A43" s="1115" t="s">
        <v>591</v>
      </c>
      <c r="B43" s="1116">
        <f>'预评函-3'!B4</f>
        <v>154.79</v>
      </c>
    </row>
    <row r="44" spans="1:2">
      <c r="A44" s="1115" t="s">
        <v>575</v>
      </c>
      <c r="B44" s="1116" t="str">
        <f>'预评函-3'!C2</f>
        <v>(分摊)土地面积</v>
      </c>
    </row>
    <row r="45" spans="1:2">
      <c r="A45" s="1115" t="s">
        <v>547</v>
      </c>
      <c r="B45" s="1116">
        <f>'预评函-3'!C4</f>
        <v>0</v>
      </c>
    </row>
    <row r="46" spans="1:2">
      <c r="A46" s="1115" t="s">
        <v>573</v>
      </c>
      <c r="B46" s="1116" t="str">
        <f>'预评函-3'!D2</f>
        <v>出让国有建设用地使用权价值</v>
      </c>
    </row>
    <row r="47" spans="1:2">
      <c r="A47" s="1115" t="s">
        <v>548</v>
      </c>
      <c r="B47" s="1116" t="e">
        <f ca="1">'预评函-3'!D4</f>
        <v>#REF!</v>
      </c>
    </row>
    <row r="48" spans="1:2">
      <c r="A48" s="1115" t="s">
        <v>549</v>
      </c>
      <c r="B48" s="1116" t="e">
        <f ca="1">'预评函-3'!E4</f>
        <v>#REF!</v>
      </c>
    </row>
    <row r="49" spans="1:2">
      <c r="A49" s="1115" t="s">
        <v>550</v>
      </c>
      <c r="B49" s="1116" t="e">
        <f ca="1">'预评函-3'!D5</f>
        <v>#REF!</v>
      </c>
    </row>
    <row r="50" spans="1:2">
      <c r="A50" s="1115" t="s">
        <v>574</v>
      </c>
      <c r="B50" s="1116" t="str">
        <f>'预评函-3'!F2</f>
        <v>在建建筑物价值</v>
      </c>
    </row>
    <row r="51" spans="1:2">
      <c r="A51" s="1115" t="s">
        <v>551</v>
      </c>
      <c r="B51" s="1116" t="e">
        <f ca="1">'预评函-3'!F4</f>
        <v>#REF!</v>
      </c>
    </row>
    <row r="52" spans="1:2">
      <c r="A52" s="1115" t="s">
        <v>552</v>
      </c>
      <c r="B52" s="1116" t="e">
        <f ca="1">'预评函-3'!G4</f>
        <v>#REF!</v>
      </c>
    </row>
    <row r="53" spans="1:2">
      <c r="A53" s="1115" t="s">
        <v>580</v>
      </c>
      <c r="B53" s="1116" t="e">
        <f ca="1">'预评函-3'!F5</f>
        <v>#REF!</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f>'预评函-4'!A4</f>
        <v>0</v>
      </c>
    </row>
    <row r="71" spans="1:2">
      <c r="A71" s="1115" t="s">
        <v>563</v>
      </c>
      <c r="B71" s="1116">
        <f>'预评函-4'!B4</f>
        <v>0</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M42" sqref="M42"/>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8" width="15.125" style="1441" customWidth="1"/>
    <col min="29" max="16384" width="9" style="1401"/>
  </cols>
  <sheetData>
    <row r="1" spans="1:28" s="1436" customFormat="1" ht="40.5">
      <c r="A1" s="1432" t="s">
        <v>44</v>
      </c>
      <c r="B1" s="1433" t="s">
        <v>977</v>
      </c>
      <c r="C1" s="1434" t="s">
        <v>314</v>
      </c>
      <c r="D1" s="1435" t="s">
        <v>3346</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c r="X1" s="1434" t="s">
        <v>673</v>
      </c>
      <c r="Y1" s="1434" t="s">
        <v>21</v>
      </c>
      <c r="Z1" s="1434" t="s">
        <v>3402</v>
      </c>
      <c r="AA1" s="1434" t="s">
        <v>3401</v>
      </c>
      <c r="AB1" s="1434" t="s">
        <v>3</v>
      </c>
    </row>
    <row r="2" spans="1:28">
      <c r="A2" s="1437" t="s">
        <v>19</v>
      </c>
      <c r="B2" s="1437" t="s">
        <v>993</v>
      </c>
      <c r="C2" s="1438" t="s">
        <v>315</v>
      </c>
      <c r="D2" s="1439" t="s">
        <v>994</v>
      </c>
      <c r="E2" s="1439" t="s">
        <v>995</v>
      </c>
      <c r="F2" s="1439" t="s">
        <v>996</v>
      </c>
      <c r="G2" s="1439">
        <v>20</v>
      </c>
      <c r="H2" s="1439" t="s">
        <v>996</v>
      </c>
      <c r="I2" s="1439" t="s">
        <v>3332</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c r="X2" s="1441" t="s">
        <v>2435</v>
      </c>
      <c r="Y2" s="1441" t="s">
        <v>3409</v>
      </c>
      <c r="Z2" s="1441" t="s">
        <v>2448</v>
      </c>
      <c r="AA2" s="1441" t="s">
        <v>3410</v>
      </c>
      <c r="AB2" s="1441" t="s">
        <v>2475</v>
      </c>
    </row>
    <row r="3" spans="1:28">
      <c r="A3" s="1437" t="s">
        <v>1001</v>
      </c>
      <c r="B3" s="1440" t="s">
        <v>448</v>
      </c>
      <c r="C3" s="1438" t="s">
        <v>316</v>
      </c>
      <c r="D3" s="1439" t="s">
        <v>1002</v>
      </c>
      <c r="E3" s="1439" t="s">
        <v>13</v>
      </c>
      <c r="F3" s="1439" t="s">
        <v>1003</v>
      </c>
      <c r="G3" s="1439">
        <v>40</v>
      </c>
      <c r="H3" s="1439" t="s">
        <v>1003</v>
      </c>
      <c r="I3" s="1439" t="s">
        <v>3333</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c r="X3" s="1441" t="s">
        <v>2437</v>
      </c>
      <c r="Z3" s="1441" t="s">
        <v>2450</v>
      </c>
      <c r="AB3" s="1441" t="s">
        <v>2477</v>
      </c>
    </row>
    <row r="4" spans="1:28">
      <c r="A4" s="1437" t="s">
        <v>1008</v>
      </c>
      <c r="B4" s="1437" t="s">
        <v>1009</v>
      </c>
      <c r="C4" s="1438" t="s">
        <v>317</v>
      </c>
      <c r="D4" s="1439" t="s">
        <v>389</v>
      </c>
      <c r="E4" s="1439" t="s">
        <v>1010</v>
      </c>
      <c r="F4" s="1439" t="s">
        <v>1011</v>
      </c>
      <c r="G4" s="1439">
        <v>50</v>
      </c>
      <c r="H4" s="1439" t="s">
        <v>1011</v>
      </c>
      <c r="I4" s="1439" t="s">
        <v>3334</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c r="X4" s="1441" t="s">
        <v>2439</v>
      </c>
      <c r="Z4" s="1441" t="s">
        <v>2452</v>
      </c>
      <c r="AB4" s="1441" t="s">
        <v>2479</v>
      </c>
    </row>
    <row r="5" spans="1:28">
      <c r="A5" s="1437" t="s">
        <v>1014</v>
      </c>
      <c r="B5" s="1437" t="s">
        <v>1015</v>
      </c>
      <c r="C5" s="1438" t="s">
        <v>318</v>
      </c>
      <c r="F5" s="1439" t="s">
        <v>1016</v>
      </c>
      <c r="G5" s="1439">
        <v>70</v>
      </c>
      <c r="H5" s="1439" t="s">
        <v>1017</v>
      </c>
      <c r="I5" s="1439" t="s">
        <v>3335</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c r="X5" s="1441" t="s">
        <v>2441</v>
      </c>
      <c r="Z5" s="1441" t="s">
        <v>2454</v>
      </c>
      <c r="AB5" s="1441" t="s">
        <v>3411</v>
      </c>
    </row>
    <row r="6" spans="1:28">
      <c r="A6" s="1437" t="s">
        <v>1020</v>
      </c>
      <c r="B6" s="1440" t="s">
        <v>449</v>
      </c>
      <c r="C6" s="1442" t="s">
        <v>24</v>
      </c>
      <c r="F6" s="1439" t="s">
        <v>1017</v>
      </c>
      <c r="H6" s="1439" t="s">
        <v>1021</v>
      </c>
      <c r="I6" s="1439" t="s">
        <v>3336</v>
      </c>
      <c r="K6" s="1439" t="s">
        <v>1022</v>
      </c>
      <c r="L6" s="1439" t="s">
        <v>1022</v>
      </c>
      <c r="M6" s="1439" t="s">
        <v>1022</v>
      </c>
      <c r="N6" s="1439" t="s">
        <v>1022</v>
      </c>
      <c r="O6" s="1439" t="s">
        <v>1022</v>
      </c>
      <c r="P6" s="1439" t="s">
        <v>1022</v>
      </c>
      <c r="Q6" s="1439" t="s">
        <v>1022</v>
      </c>
      <c r="R6" s="1439" t="s">
        <v>446</v>
      </c>
      <c r="S6" s="1439" t="s">
        <v>1022</v>
      </c>
      <c r="T6" s="1439"/>
      <c r="U6" s="1439" t="s">
        <v>1022</v>
      </c>
      <c r="W6" s="1439" t="s">
        <v>1022</v>
      </c>
      <c r="X6" s="1441" t="s">
        <v>2443</v>
      </c>
      <c r="Z6" s="1441" t="s">
        <v>2456</v>
      </c>
      <c r="AB6" s="1441" t="s">
        <v>2482</v>
      </c>
    </row>
    <row r="7" spans="1:28">
      <c r="A7" s="1437" t="s">
        <v>1023</v>
      </c>
      <c r="B7" s="1440" t="s">
        <v>450</v>
      </c>
      <c r="C7" s="1438" t="s">
        <v>25</v>
      </c>
      <c r="F7" s="1439" t="s">
        <v>1024</v>
      </c>
      <c r="H7" s="1439" t="s">
        <v>1025</v>
      </c>
      <c r="I7" s="1439" t="s">
        <v>3337</v>
      </c>
      <c r="X7" s="1441" t="s">
        <v>2445</v>
      </c>
      <c r="Z7" s="1441" t="s">
        <v>2458</v>
      </c>
      <c r="AB7" s="1441" t="s">
        <v>2484</v>
      </c>
    </row>
    <row r="8" spans="1:28">
      <c r="A8" s="1437" t="s">
        <v>1026</v>
      </c>
      <c r="B8" s="1437" t="s">
        <v>1027</v>
      </c>
      <c r="C8" s="1438" t="s">
        <v>319</v>
      </c>
      <c r="F8" s="1439" t="s">
        <v>1028</v>
      </c>
      <c r="H8" s="1439" t="s">
        <v>2573</v>
      </c>
      <c r="I8" s="1439" t="s">
        <v>3338</v>
      </c>
      <c r="X8" s="1441" t="s">
        <v>3412</v>
      </c>
      <c r="Z8" s="1441" t="s">
        <v>2460</v>
      </c>
      <c r="AB8" s="1441" t="s">
        <v>2486</v>
      </c>
    </row>
    <row r="9" spans="1:28">
      <c r="A9" s="1437" t="s">
        <v>1029</v>
      </c>
      <c r="B9" s="1437" t="s">
        <v>1030</v>
      </c>
      <c r="C9" s="1438" t="s">
        <v>320</v>
      </c>
      <c r="F9" s="1439" t="s">
        <v>1031</v>
      </c>
      <c r="H9" s="1439"/>
      <c r="I9" s="1441" t="s">
        <v>3339</v>
      </c>
      <c r="X9" s="1441" t="s">
        <v>3413</v>
      </c>
      <c r="Z9" s="1441" t="s">
        <v>2462</v>
      </c>
      <c r="AB9" s="1441" t="s">
        <v>2488</v>
      </c>
    </row>
    <row r="10" spans="1:28">
      <c r="A10" s="1437" t="s">
        <v>1032</v>
      </c>
      <c r="B10" s="1437" t="s">
        <v>1033</v>
      </c>
      <c r="C10" s="1438" t="s">
        <v>321</v>
      </c>
      <c r="F10" s="1439" t="s">
        <v>2574</v>
      </c>
      <c r="I10" s="1441" t="s">
        <v>3340</v>
      </c>
      <c r="Z10" s="1441" t="s">
        <v>2464</v>
      </c>
      <c r="AB10" s="1441" t="s">
        <v>2490</v>
      </c>
    </row>
    <row r="11" spans="1:28">
      <c r="A11" s="1437" t="s">
        <v>1034</v>
      </c>
      <c r="B11" s="1437" t="s">
        <v>1035</v>
      </c>
      <c r="C11" s="1438" t="s">
        <v>322</v>
      </c>
      <c r="F11" s="1439" t="s">
        <v>13</v>
      </c>
      <c r="I11" s="1441" t="s">
        <v>3341</v>
      </c>
      <c r="Z11" s="1441" t="s">
        <v>2466</v>
      </c>
      <c r="AB11" s="1441" t="s">
        <v>2492</v>
      </c>
    </row>
    <row r="12" spans="1:28">
      <c r="A12" s="1437" t="s">
        <v>1036</v>
      </c>
      <c r="B12" s="1437" t="s">
        <v>1037</v>
      </c>
      <c r="C12" s="1438" t="s">
        <v>323</v>
      </c>
      <c r="I12" s="1441" t="s">
        <v>3342</v>
      </c>
      <c r="Z12" s="1441" t="s">
        <v>2468</v>
      </c>
      <c r="AB12" s="1441" t="s">
        <v>2494</v>
      </c>
    </row>
    <row r="13" spans="1:28">
      <c r="A13" s="1437" t="s">
        <v>1038</v>
      </c>
      <c r="B13" s="1437" t="s">
        <v>1039</v>
      </c>
      <c r="C13" s="1438" t="s">
        <v>324</v>
      </c>
      <c r="I13" s="1441" t="s">
        <v>3343</v>
      </c>
      <c r="Z13" s="1441" t="s">
        <v>2470</v>
      </c>
    </row>
    <row r="14" spans="1:28">
      <c r="A14" s="1437" t="s">
        <v>1040</v>
      </c>
      <c r="B14" s="1437" t="s">
        <v>1041</v>
      </c>
      <c r="C14" s="1439" t="s">
        <v>13</v>
      </c>
      <c r="I14" s="1441" t="s">
        <v>3344</v>
      </c>
      <c r="Z14" s="1441" t="s">
        <v>2472</v>
      </c>
    </row>
    <row r="15" spans="1:28">
      <c r="A15" s="1437" t="s">
        <v>1042</v>
      </c>
      <c r="B15" s="1437" t="s">
        <v>1043</v>
      </c>
      <c r="C15" s="1438"/>
      <c r="I15" s="1441" t="s">
        <v>3345</v>
      </c>
    </row>
    <row r="16" spans="1:28">
      <c r="A16" s="1437" t="s">
        <v>1044</v>
      </c>
      <c r="B16" s="1437" t="s">
        <v>312</v>
      </c>
      <c r="C16" s="1438"/>
    </row>
    <row r="17" spans="1:3">
      <c r="A17" s="1437" t="s">
        <v>1045</v>
      </c>
      <c r="B17" s="1437" t="s">
        <v>2289</v>
      </c>
      <c r="C17" s="1438"/>
    </row>
    <row r="18" spans="1:3">
      <c r="A18" s="1437" t="s">
        <v>1046</v>
      </c>
      <c r="B18" s="1437" t="s">
        <v>2429</v>
      </c>
      <c r="C18" s="1438"/>
    </row>
    <row r="19" spans="1:3">
      <c r="A19" s="1437" t="s">
        <v>1047</v>
      </c>
      <c r="B19" s="1437" t="s">
        <v>3440</v>
      </c>
      <c r="C19" s="1438"/>
    </row>
    <row r="20" spans="1:3">
      <c r="A20" s="1437" t="s">
        <v>1048</v>
      </c>
      <c r="B20" s="1437" t="s">
        <v>3441</v>
      </c>
      <c r="C20" s="1438"/>
    </row>
    <row r="21" spans="1:3">
      <c r="A21" s="1437" t="s">
        <v>1049</v>
      </c>
      <c r="B21" s="1437" t="s">
        <v>3442</v>
      </c>
      <c r="C21" s="1438"/>
    </row>
    <row r="22" spans="1:3">
      <c r="A22" s="1437" t="s">
        <v>1050</v>
      </c>
      <c r="B22" s="1437" t="s">
        <v>3443</v>
      </c>
      <c r="C22" s="1438"/>
    </row>
    <row r="23" spans="1:3">
      <c r="A23" s="1437" t="s">
        <v>1051</v>
      </c>
      <c r="B23" s="1437" t="s">
        <v>3444</v>
      </c>
      <c r="C23" s="1438"/>
    </row>
    <row r="24" spans="1:3">
      <c r="A24" s="1437" t="s">
        <v>1052</v>
      </c>
      <c r="B24" s="1437" t="s">
        <v>3445</v>
      </c>
      <c r="C24" s="1438"/>
    </row>
    <row r="25" spans="1:3">
      <c r="A25" s="1437" t="s">
        <v>1053</v>
      </c>
      <c r="B25" s="1437" t="s">
        <v>3451</v>
      </c>
      <c r="C25" s="1438"/>
    </row>
    <row r="26" spans="1:3">
      <c r="A26" s="1437" t="s">
        <v>1054</v>
      </c>
      <c r="B26" s="1437" t="s">
        <v>3452</v>
      </c>
      <c r="C26" s="1438"/>
    </row>
    <row r="27" spans="1:3">
      <c r="A27" s="1437" t="s">
        <v>313</v>
      </c>
      <c r="B27" s="1437" t="s">
        <v>3453</v>
      </c>
      <c r="C27" s="1438"/>
    </row>
    <row r="28" spans="1:3">
      <c r="A28" s="1437" t="s">
        <v>313</v>
      </c>
      <c r="B28" s="1437" t="s">
        <v>3454</v>
      </c>
      <c r="C28" s="1438"/>
    </row>
    <row r="29" spans="1:3">
      <c r="A29" s="1437" t="s">
        <v>313</v>
      </c>
      <c r="B29" s="1437" t="s">
        <v>3455</v>
      </c>
      <c r="C29" s="1438"/>
    </row>
    <row r="30" spans="1:3">
      <c r="A30" s="1437" t="s">
        <v>313</v>
      </c>
      <c r="B30" s="1437" t="s">
        <v>3456</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06"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3" t="s">
        <v>385</v>
      </c>
      <c r="C54" s="1441" t="s">
        <v>583</v>
      </c>
    </row>
    <row r="55" spans="1:4">
      <c r="A55" s="3206"/>
      <c r="B55" s="1443" t="s">
        <v>386</v>
      </c>
      <c r="C55" s="1441" t="s">
        <v>584</v>
      </c>
    </row>
    <row r="56" spans="1:4">
      <c r="A56" s="3206"/>
      <c r="B56" s="1443" t="s">
        <v>387</v>
      </c>
      <c r="C56" s="1441" t="s">
        <v>588</v>
      </c>
    </row>
    <row r="57" spans="1:4">
      <c r="A57" s="3206"/>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2496</v>
      </c>
      <c r="B1" s="2749"/>
      <c r="C1" s="2749"/>
      <c r="D1" s="2749"/>
      <c r="E1" s="2749"/>
      <c r="F1" s="2750"/>
      <c r="I1" s="3125" t="s">
        <v>2589</v>
      </c>
      <c r="J1" s="2775"/>
      <c r="K1" s="2775"/>
      <c r="L1" s="2775"/>
      <c r="M1" s="2775"/>
      <c r="N1" s="2960"/>
      <c r="O1" s="2960"/>
      <c r="P1" s="2960"/>
      <c r="Q1" s="2960"/>
      <c r="R1" s="2960"/>
    </row>
    <row r="2" spans="1:18">
      <c r="A2" s="2752"/>
      <c r="B2" s="2753"/>
      <c r="C2" s="2753"/>
      <c r="D2" s="2753"/>
      <c r="E2" s="2753"/>
      <c r="F2" s="2754"/>
      <c r="I2" s="3207" t="s">
        <v>2576</v>
      </c>
      <c r="J2" s="3207"/>
      <c r="K2" s="3207"/>
      <c r="L2" s="3207"/>
      <c r="M2" s="3207"/>
      <c r="N2" s="3207"/>
      <c r="O2" s="3207"/>
      <c r="P2" s="3207"/>
      <c r="Q2" s="3207"/>
      <c r="R2" s="3207"/>
    </row>
    <row r="3" spans="1:18">
      <c r="A3" s="2755" t="s">
        <v>2497</v>
      </c>
      <c r="B3" s="2756">
        <f>项目基本情况!D3</f>
        <v>45940</v>
      </c>
      <c r="C3" s="2758"/>
      <c r="D3" s="2758"/>
      <c r="E3" s="2758"/>
      <c r="F3" s="2754"/>
      <c r="I3" s="2770"/>
      <c r="J3" s="2770" t="s">
        <v>2580</v>
      </c>
      <c r="K3" s="2770" t="s">
        <v>2581</v>
      </c>
      <c r="L3" s="2770" t="s">
        <v>2582</v>
      </c>
      <c r="M3" s="2770" t="s">
        <v>2583</v>
      </c>
      <c r="N3" s="3126" t="s">
        <v>2584</v>
      </c>
      <c r="O3" s="3126" t="s">
        <v>2585</v>
      </c>
      <c r="P3" s="3126" t="s">
        <v>2586</v>
      </c>
      <c r="Q3" s="3126" t="s">
        <v>2587</v>
      </c>
      <c r="R3" s="3126" t="s">
        <v>2588</v>
      </c>
    </row>
    <row r="4" spans="1:18">
      <c r="A4" s="2755" t="s">
        <v>2498</v>
      </c>
      <c r="B4" s="2758" t="s">
        <v>2499</v>
      </c>
      <c r="C4" s="2758" t="s">
        <v>2500</v>
      </c>
      <c r="D4" s="2758" t="s">
        <v>2501</v>
      </c>
      <c r="E4" s="2758" t="s">
        <v>2502</v>
      </c>
      <c r="F4" s="2754"/>
      <c r="I4" s="2770" t="s">
        <v>2577</v>
      </c>
      <c r="J4" s="2770">
        <v>80</v>
      </c>
      <c r="K4" s="2770">
        <v>70</v>
      </c>
      <c r="L4" s="2770">
        <v>20</v>
      </c>
      <c r="M4" s="2770">
        <v>30</v>
      </c>
      <c r="N4" s="2758">
        <v>45</v>
      </c>
      <c r="O4" s="2758">
        <v>60</v>
      </c>
      <c r="P4" s="2758">
        <v>50</v>
      </c>
      <c r="Q4" s="2758">
        <v>20</v>
      </c>
      <c r="R4" s="2758">
        <v>375</v>
      </c>
    </row>
    <row r="5" spans="1:18">
      <c r="A5" s="2759">
        <v>40</v>
      </c>
      <c r="B5" s="2756">
        <v>46375</v>
      </c>
      <c r="C5" s="2758">
        <f>ROUNDDOWN(MIN((B5-B3)/365,A5),2)</f>
        <v>1.19</v>
      </c>
      <c r="D5" s="2760">
        <f>IF(ISERROR(ROUND(POWER(1+E5,A5-C5)*(POWER(1+E5,C5)-1)/(POWER(1+E5,A5)-1),3)),0,ROUND(POWER(1+E5,A5-C5)*(POWER(1+E5,C5)-1)/(POWER(1+E5,A5)-1),4))</f>
        <v>5.7599999999999998E-2</v>
      </c>
      <c r="E5" s="2761">
        <v>0.04</v>
      </c>
      <c r="F5" s="2754"/>
      <c r="I5" s="2770" t="s">
        <v>2578</v>
      </c>
      <c r="J5" s="2770">
        <v>70</v>
      </c>
      <c r="K5" s="2770">
        <v>60</v>
      </c>
      <c r="L5" s="2770">
        <v>15</v>
      </c>
      <c r="M5" s="2770">
        <v>25</v>
      </c>
      <c r="N5" s="2758">
        <v>40</v>
      </c>
      <c r="O5" s="2758">
        <v>50</v>
      </c>
      <c r="P5" s="2758">
        <v>40</v>
      </c>
      <c r="Q5" s="2758">
        <v>15</v>
      </c>
      <c r="R5" s="2758">
        <v>315</v>
      </c>
    </row>
    <row r="6" spans="1:18">
      <c r="A6" s="2759">
        <v>50</v>
      </c>
      <c r="B6" s="2756">
        <v>50028</v>
      </c>
      <c r="C6" s="2758">
        <f>ROUNDDOWN(MIN((B6-B3)/365,A6),2)</f>
        <v>11.2</v>
      </c>
      <c r="D6" s="2760">
        <f>IF(ISERROR(ROUND(POWER(1+E6,A6-C6)*(POWER(1+E6,C6)-1)/(POWER(1+E6,A6)-1),3)),0,ROUND(POWER(1+E6,A6-C6)*(POWER(1+E6,C6)-1)/(POWER(1+E6,A6)-1),4))</f>
        <v>0.41370000000000001</v>
      </c>
      <c r="E6" s="2761">
        <v>0.04</v>
      </c>
      <c r="F6" s="2754"/>
      <c r="I6" s="2770" t="s">
        <v>2579</v>
      </c>
      <c r="J6" s="2770">
        <v>60</v>
      </c>
      <c r="K6" s="2770">
        <v>50</v>
      </c>
      <c r="L6" s="2770">
        <v>10</v>
      </c>
      <c r="M6" s="2770">
        <v>20</v>
      </c>
      <c r="N6" s="2758">
        <v>35</v>
      </c>
      <c r="O6" s="2758">
        <v>40</v>
      </c>
      <c r="P6" s="2758">
        <v>30</v>
      </c>
      <c r="Q6" s="2758">
        <v>10</v>
      </c>
      <c r="R6" s="2758">
        <v>255</v>
      </c>
    </row>
    <row r="7" spans="1:18">
      <c r="A7" s="2759">
        <v>70</v>
      </c>
      <c r="B7" s="2756">
        <v>57333</v>
      </c>
      <c r="C7" s="2758">
        <f>ROUNDDOWN(MIN((B7-B3)/365,A7),2)</f>
        <v>31.21</v>
      </c>
      <c r="D7" s="2760">
        <f>IF(ISERROR(ROUND(POWER(1+E7,A7-C7)*(POWER(1+E7,C7)-1)/(POWER(1+E7,A7)-1),3)),0,ROUND(POWER(1+E7,A7-C7)*(POWER(1+E7,C7)-1)/(POWER(1+E7,A7)-1),4))</f>
        <v>0.75439999999999996</v>
      </c>
      <c r="E7" s="2761">
        <v>0.04</v>
      </c>
      <c r="F7" s="2754"/>
    </row>
    <row r="8" spans="1:18">
      <c r="A8" s="2752"/>
      <c r="B8" s="2753"/>
      <c r="C8" s="2753"/>
      <c r="D8" s="2753"/>
      <c r="E8" s="2753"/>
      <c r="F8" s="2754"/>
    </row>
    <row r="9" spans="1:18">
      <c r="A9" s="2755" t="s">
        <v>2503</v>
      </c>
      <c r="B9" s="2758"/>
      <c r="C9" s="2758"/>
      <c r="D9" s="2758"/>
      <c r="E9" s="2758"/>
      <c r="F9" s="2762"/>
    </row>
    <row r="10" spans="1:18">
      <c r="A10" s="2755" t="s">
        <v>2504</v>
      </c>
      <c r="B10" s="2758"/>
      <c r="C10" s="2758"/>
      <c r="D10" s="2758" t="s">
        <v>2502</v>
      </c>
      <c r="E10" s="2758"/>
      <c r="F10" s="2762" t="s">
        <v>2501</v>
      </c>
    </row>
    <row r="11" spans="1:18">
      <c r="A11" s="2755" t="s">
        <v>2505</v>
      </c>
      <c r="B11" s="2763">
        <v>70</v>
      </c>
      <c r="C11" s="2758" t="s">
        <v>2506</v>
      </c>
      <c r="D11" s="2763">
        <v>4.4999999999999998E-2</v>
      </c>
      <c r="E11" s="2758" t="s">
        <v>2507</v>
      </c>
      <c r="F11" s="2764">
        <f>ROUND(1-(1/(POWER(1+D11,B11))),4)</f>
        <v>0.95409999999999995</v>
      </c>
    </row>
    <row r="12" spans="1:18">
      <c r="A12" s="2755" t="s">
        <v>2508</v>
      </c>
      <c r="B12" s="2763">
        <v>40</v>
      </c>
      <c r="C12" s="2758" t="s">
        <v>2509</v>
      </c>
      <c r="D12" s="2763">
        <v>4.4999999999999998E-2</v>
      </c>
      <c r="E12" s="2758" t="s">
        <v>2510</v>
      </c>
      <c r="F12" s="2764">
        <f>ROUND(1-(1/(POWER(1+D12,B12))),4)</f>
        <v>0.82809999999999995</v>
      </c>
    </row>
    <row r="13" spans="1:18">
      <c r="A13" s="2755" t="s">
        <v>2511</v>
      </c>
      <c r="B13" s="2758"/>
      <c r="C13" s="2758"/>
      <c r="D13" s="2753"/>
      <c r="E13" s="2753"/>
      <c r="F13" s="2754"/>
    </row>
    <row r="14" spans="1:18">
      <c r="A14" s="2755" t="s">
        <v>2512</v>
      </c>
      <c r="B14" s="2763">
        <v>5000</v>
      </c>
      <c r="C14" s="2757"/>
      <c r="D14" s="2753"/>
      <c r="E14" s="2753"/>
      <c r="F14" s="2754"/>
    </row>
    <row r="15" spans="1:18">
      <c r="A15" s="2755" t="s">
        <v>2513</v>
      </c>
      <c r="B15" s="2758">
        <f>ROUND(B14*F12/F11,2)</f>
        <v>4339.6899999999996</v>
      </c>
      <c r="C15" s="2758">
        <f>ROUND(F12/F11,4)</f>
        <v>0.8679</v>
      </c>
      <c r="D15" s="2753"/>
      <c r="E15" s="2753"/>
      <c r="F15" s="2754"/>
    </row>
    <row r="16" spans="1:18">
      <c r="A16" s="2755" t="s">
        <v>2514</v>
      </c>
      <c r="B16" s="2758"/>
      <c r="C16" s="2758"/>
      <c r="D16" s="2753"/>
      <c r="E16" s="2753"/>
      <c r="F16" s="2754"/>
    </row>
    <row r="17" spans="1:14">
      <c r="A17" s="2755" t="s">
        <v>2513</v>
      </c>
      <c r="B17" s="2763">
        <v>4810</v>
      </c>
      <c r="C17" s="2757"/>
      <c r="D17" s="2753"/>
      <c r="E17" s="2753"/>
      <c r="F17" s="2754"/>
    </row>
    <row r="18" spans="1:14" ht="14.25" thickBot="1">
      <c r="A18" s="2765" t="s">
        <v>2512</v>
      </c>
      <c r="B18" s="2766">
        <f>ROUND(B17*F11/F12,2)</f>
        <v>5541.87</v>
      </c>
      <c r="C18" s="2766">
        <f>ROUND(F11/F12,4)</f>
        <v>1.1521999999999999</v>
      </c>
      <c r="D18" s="2767"/>
      <c r="E18" s="2767"/>
      <c r="F18" s="2768"/>
    </row>
    <row r="19" spans="1:14" ht="14.25" thickBot="1"/>
    <row r="20" spans="1:14" s="2801" customFormat="1" ht="14.25" thickTop="1">
      <c r="A20" s="2798" t="s">
        <v>2515</v>
      </c>
      <c r="B20" s="2799"/>
      <c r="C20" s="2799"/>
      <c r="D20" s="2799"/>
      <c r="E20" s="2799"/>
      <c r="F20" s="2799"/>
      <c r="G20" s="2800"/>
      <c r="I20" s="2802" t="s">
        <v>2560</v>
      </c>
      <c r="J20" s="2802" t="s">
        <v>2565</v>
      </c>
      <c r="K20" s="2802"/>
      <c r="L20" s="2802"/>
      <c r="M20" s="2802"/>
    </row>
    <row r="21" spans="1:14">
      <c r="A21" s="2769"/>
      <c r="B21" s="2770" t="s">
        <v>2516</v>
      </c>
      <c r="C21" s="2770" t="s">
        <v>2517</v>
      </c>
      <c r="D21" s="2770" t="s">
        <v>2518</v>
      </c>
      <c r="E21" s="2770" t="s">
        <v>2519</v>
      </c>
      <c r="F21" s="2770" t="s">
        <v>2520</v>
      </c>
      <c r="G21" s="2771" t="s">
        <v>2521</v>
      </c>
      <c r="I21" s="2792">
        <v>5</v>
      </c>
      <c r="J21" s="2792">
        <v>54.2</v>
      </c>
    </row>
    <row r="22" spans="1:14">
      <c r="A22" s="2769" t="s">
        <v>2522</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4">
      <c r="A23" s="2769" t="s">
        <v>2523</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2563</v>
      </c>
      <c r="N23" s="3143" t="s">
        <v>2564</v>
      </c>
    </row>
    <row r="24" spans="1:14">
      <c r="A24" s="2769" t="s">
        <v>2524</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2562</v>
      </c>
      <c r="N24" s="3143">
        <v>10</v>
      </c>
    </row>
    <row r="25" spans="1:14">
      <c r="A25" s="2769" t="s">
        <v>2525</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2566</v>
      </c>
      <c r="N25" s="3143">
        <v>8</v>
      </c>
    </row>
    <row r="26" spans="1:14">
      <c r="A26" s="2774"/>
      <c r="B26" s="2775"/>
      <c r="C26" s="2775"/>
      <c r="D26" s="2775"/>
      <c r="E26" s="2775"/>
      <c r="F26" s="2775"/>
      <c r="G26" s="2776"/>
      <c r="I26" s="2792">
        <v>30</v>
      </c>
      <c r="J26" s="2792">
        <v>90.5</v>
      </c>
      <c r="K26" s="2792">
        <f t="shared" si="2"/>
        <v>4.2000000000000028</v>
      </c>
      <c r="L26" s="2792" t="s">
        <v>2567</v>
      </c>
      <c r="N26" s="3143">
        <v>5</v>
      </c>
    </row>
    <row r="27" spans="1:14">
      <c r="A27" s="2774" t="s">
        <v>2526</v>
      </c>
      <c r="B27" s="2775"/>
      <c r="C27" s="2775"/>
      <c r="D27" s="2775"/>
      <c r="E27" s="2775"/>
      <c r="F27" s="2775"/>
      <c r="G27" s="2776"/>
      <c r="I27" s="2792">
        <v>35</v>
      </c>
      <c r="J27" s="2792">
        <v>93.8</v>
      </c>
      <c r="K27" s="2792">
        <f t="shared" si="2"/>
        <v>3.2999999999999972</v>
      </c>
      <c r="L27" s="2792" t="s">
        <v>2568</v>
      </c>
      <c r="N27" s="3143">
        <v>3</v>
      </c>
    </row>
    <row r="28" spans="1:14">
      <c r="A28" s="2774" t="s">
        <v>2527</v>
      </c>
      <c r="B28" s="2775"/>
      <c r="C28" s="2775"/>
      <c r="D28" s="2775"/>
      <c r="E28" s="2775"/>
      <c r="F28" s="2775"/>
      <c r="G28" s="2776"/>
      <c r="I28" s="2792">
        <v>40</v>
      </c>
      <c r="J28" s="2792">
        <v>96.4</v>
      </c>
      <c r="K28" s="2792">
        <f t="shared" si="2"/>
        <v>2.6000000000000085</v>
      </c>
      <c r="L28" s="2792" t="s">
        <v>2569</v>
      </c>
      <c r="N28" s="3143">
        <v>2</v>
      </c>
    </row>
    <row r="29" spans="1:14">
      <c r="A29" s="2774" t="s">
        <v>2528</v>
      </c>
      <c r="B29" s="2775"/>
      <c r="C29" s="2775"/>
      <c r="D29" s="2775"/>
      <c r="E29" s="2775"/>
      <c r="F29" s="2775"/>
      <c r="G29" s="2776"/>
      <c r="I29" s="2792">
        <v>45</v>
      </c>
      <c r="J29" s="2792">
        <v>98.4</v>
      </c>
      <c r="K29" s="2792">
        <f t="shared" si="2"/>
        <v>2</v>
      </c>
    </row>
    <row r="30" spans="1:14">
      <c r="A30" s="2774" t="s">
        <v>2529</v>
      </c>
      <c r="B30" s="2775"/>
      <c r="C30" s="2775"/>
      <c r="D30" s="2775"/>
      <c r="E30" s="2775"/>
      <c r="F30" s="2775"/>
      <c r="G30" s="2776"/>
      <c r="I30" s="2792">
        <v>50</v>
      </c>
      <c r="J30" s="2792">
        <v>100</v>
      </c>
      <c r="K30" s="2792">
        <f t="shared" si="2"/>
        <v>1.5999999999999943</v>
      </c>
    </row>
    <row r="31" spans="1:14">
      <c r="A31" s="2774" t="s">
        <v>2530</v>
      </c>
      <c r="B31" s="2775"/>
      <c r="C31" s="2775"/>
      <c r="D31" s="2775"/>
      <c r="E31" s="2775"/>
      <c r="F31" s="2775"/>
      <c r="G31" s="2776"/>
      <c r="I31" s="2792" t="s">
        <v>2561</v>
      </c>
    </row>
    <row r="32" spans="1:14">
      <c r="A32" s="2774" t="s">
        <v>2531</v>
      </c>
      <c r="B32" s="2775"/>
      <c r="C32" s="2775"/>
      <c r="D32" s="2775"/>
      <c r="E32" s="2775"/>
      <c r="F32" s="2775"/>
      <c r="G32" s="2776"/>
    </row>
    <row r="33" spans="1:14">
      <c r="A33" s="2774" t="s">
        <v>2532</v>
      </c>
      <c r="B33" s="2775"/>
      <c r="C33" s="2775"/>
      <c r="D33" s="2775"/>
      <c r="E33" s="2775"/>
      <c r="F33" s="2775"/>
      <c r="G33" s="2776"/>
      <c r="I33" s="2792" t="s">
        <v>2560</v>
      </c>
      <c r="J33" s="2792" t="s">
        <v>2570</v>
      </c>
    </row>
    <row r="34" spans="1:14">
      <c r="A34" s="2774" t="s">
        <v>2533</v>
      </c>
      <c r="B34" s="2775"/>
      <c r="C34" s="2775"/>
      <c r="D34" s="2775"/>
      <c r="E34" s="2775"/>
      <c r="F34" s="2775"/>
      <c r="G34" s="2776"/>
      <c r="I34" s="2792">
        <v>5</v>
      </c>
      <c r="J34" s="2792">
        <v>55.1</v>
      </c>
    </row>
    <row r="35" spans="1:14">
      <c r="A35" s="2774" t="s">
        <v>2534</v>
      </c>
      <c r="B35" s="2775"/>
      <c r="C35" s="2775"/>
      <c r="D35" s="2775"/>
      <c r="E35" s="2775"/>
      <c r="F35" s="2775"/>
      <c r="G35" s="2776"/>
      <c r="I35" s="2792">
        <v>10</v>
      </c>
      <c r="J35" s="2792">
        <v>67</v>
      </c>
      <c r="K35" s="2792">
        <f>J35-J34</f>
        <v>11.899999999999999</v>
      </c>
    </row>
    <row r="36" spans="1:14">
      <c r="A36" s="2774" t="s">
        <v>2535</v>
      </c>
      <c r="B36" s="2775"/>
      <c r="C36" s="2775"/>
      <c r="D36" s="2775"/>
      <c r="E36" s="2775"/>
      <c r="F36" s="2775"/>
      <c r="G36" s="2776"/>
      <c r="I36" s="2792">
        <v>15</v>
      </c>
      <c r="J36" s="2792">
        <v>76.3</v>
      </c>
      <c r="K36" s="2792">
        <f t="shared" ref="K36:K41" si="3">J36-J35</f>
        <v>9.2999999999999972</v>
      </c>
      <c r="L36" s="2792" t="s">
        <v>2563</v>
      </c>
      <c r="N36" s="3143" t="s">
        <v>2564</v>
      </c>
    </row>
    <row r="37" spans="1:14">
      <c r="A37" s="2774" t="s">
        <v>2536</v>
      </c>
      <c r="B37" s="2775"/>
      <c r="C37" s="2775"/>
      <c r="D37" s="2775"/>
      <c r="E37" s="2775"/>
      <c r="F37" s="2775"/>
      <c r="G37" s="2776"/>
      <c r="I37" s="2792">
        <v>20</v>
      </c>
      <c r="J37" s="2792">
        <v>83.6</v>
      </c>
      <c r="K37" s="2792">
        <f t="shared" si="3"/>
        <v>7.2999999999999972</v>
      </c>
      <c r="L37" s="2792" t="s">
        <v>2562</v>
      </c>
      <c r="N37" s="3143">
        <v>10</v>
      </c>
    </row>
    <row r="38" spans="1:14">
      <c r="A38" s="2774" t="s">
        <v>2537</v>
      </c>
      <c r="B38" s="2775"/>
      <c r="C38" s="2775"/>
      <c r="D38" s="2775"/>
      <c r="E38" s="2775"/>
      <c r="F38" s="2775"/>
      <c r="G38" s="2776"/>
      <c r="I38" s="2792">
        <v>25</v>
      </c>
      <c r="J38" s="2792">
        <v>89.3</v>
      </c>
      <c r="K38" s="2792">
        <f t="shared" si="3"/>
        <v>5.7000000000000028</v>
      </c>
      <c r="L38" s="2792" t="s">
        <v>2566</v>
      </c>
      <c r="N38" s="3143">
        <v>8</v>
      </c>
    </row>
    <row r="39" spans="1:14">
      <c r="A39" s="2774"/>
      <c r="B39" s="2775"/>
      <c r="C39" s="2775"/>
      <c r="D39" s="2775"/>
      <c r="E39" s="2775"/>
      <c r="F39" s="2775"/>
      <c r="G39" s="2776"/>
      <c r="I39" s="2792">
        <v>30</v>
      </c>
      <c r="J39" s="2792">
        <v>93.8</v>
      </c>
      <c r="K39" s="2792">
        <f t="shared" si="3"/>
        <v>4.5</v>
      </c>
      <c r="L39" s="2792" t="s">
        <v>2567</v>
      </c>
      <c r="N39" s="3143">
        <v>6</v>
      </c>
    </row>
    <row r="40" spans="1:14">
      <c r="A40" s="2777" t="s">
        <v>2538</v>
      </c>
      <c r="B40" s="2778"/>
      <c r="C40" s="2778"/>
      <c r="D40" s="2778"/>
      <c r="E40" s="2778"/>
      <c r="F40" s="2778"/>
      <c r="G40" s="2779"/>
      <c r="I40" s="2792">
        <v>35</v>
      </c>
      <c r="J40" s="2792">
        <v>97.2</v>
      </c>
      <c r="K40" s="2792">
        <f t="shared" si="3"/>
        <v>3.4000000000000057</v>
      </c>
      <c r="L40" s="2792" t="s">
        <v>2568</v>
      </c>
      <c r="N40" s="3143">
        <v>3</v>
      </c>
    </row>
    <row r="41" spans="1:14">
      <c r="A41" s="2780" t="s">
        <v>2539</v>
      </c>
      <c r="B41" s="2781" t="s">
        <v>2540</v>
      </c>
      <c r="C41" s="2782" t="s">
        <v>2541</v>
      </c>
      <c r="D41" s="2782" t="s">
        <v>2542</v>
      </c>
      <c r="E41" s="2783"/>
      <c r="F41" s="2784"/>
      <c r="G41" s="2785"/>
      <c r="I41" s="2792">
        <v>40</v>
      </c>
      <c r="J41" s="2792">
        <v>100</v>
      </c>
      <c r="K41" s="2792">
        <f t="shared" si="3"/>
        <v>2.7999999999999972</v>
      </c>
    </row>
    <row r="42" spans="1:14">
      <c r="A42" s="2780" t="s">
        <v>2543</v>
      </c>
      <c r="B42" s="2781" t="s">
        <v>2544</v>
      </c>
      <c r="C42" s="2782" t="s">
        <v>2545</v>
      </c>
      <c r="D42" s="2786" t="s">
        <v>2546</v>
      </c>
      <c r="E42" s="2778" t="s">
        <v>2547</v>
      </c>
      <c r="F42" s="2778"/>
      <c r="G42" s="2779"/>
    </row>
    <row r="43" spans="1:14">
      <c r="A43" s="2780" t="s">
        <v>2548</v>
      </c>
      <c r="B43" s="2781" t="s">
        <v>2549</v>
      </c>
      <c r="C43" s="2782" t="s">
        <v>2550</v>
      </c>
      <c r="D43" s="2782" t="s">
        <v>2551</v>
      </c>
      <c r="E43" s="2783" t="s">
        <v>2552</v>
      </c>
      <c r="F43" s="2784"/>
      <c r="G43" s="2785"/>
      <c r="I43" s="2792" t="s">
        <v>2560</v>
      </c>
      <c r="J43" s="2792" t="s">
        <v>2571</v>
      </c>
    </row>
    <row r="44" spans="1:14">
      <c r="A44" s="2780" t="s">
        <v>2553</v>
      </c>
      <c r="B44" s="2781" t="s">
        <v>2554</v>
      </c>
      <c r="C44" s="2782" t="s">
        <v>2555</v>
      </c>
      <c r="D44" s="2786">
        <v>0.5</v>
      </c>
      <c r="E44" s="2783" t="s">
        <v>2556</v>
      </c>
      <c r="F44" s="2784"/>
      <c r="G44" s="2785"/>
      <c r="I44" s="2792">
        <v>30</v>
      </c>
      <c r="J44" s="2792">
        <v>81.7</v>
      </c>
    </row>
    <row r="45" spans="1:14" ht="14.25" thickBot="1">
      <c r="A45" s="2787" t="s">
        <v>2557</v>
      </c>
      <c r="B45" s="2788" t="s">
        <v>2544</v>
      </c>
      <c r="C45" s="2789" t="s">
        <v>2544</v>
      </c>
      <c r="D45" s="2789" t="s">
        <v>2558</v>
      </c>
      <c r="E45" s="2790" t="s">
        <v>2559</v>
      </c>
      <c r="F45" s="2790"/>
      <c r="G45" s="2791"/>
      <c r="I45" s="2792">
        <v>40</v>
      </c>
      <c r="J45" s="2792">
        <v>89.2</v>
      </c>
      <c r="K45" s="2792">
        <f>J45-J44</f>
        <v>7.5</v>
      </c>
    </row>
    <row r="46" spans="1:14">
      <c r="I46" s="2792">
        <v>50</v>
      </c>
      <c r="J46" s="2792">
        <v>94.3</v>
      </c>
      <c r="K46" s="2792">
        <f t="shared" ref="K46:K47" si="4">J46-J45</f>
        <v>5.0999999999999943</v>
      </c>
    </row>
    <row r="47" spans="1:14">
      <c r="I47" s="2792">
        <v>60</v>
      </c>
      <c r="J47" s="2792">
        <v>97.7</v>
      </c>
      <c r="K47" s="2792">
        <f t="shared" si="4"/>
        <v>3.4000000000000057</v>
      </c>
    </row>
    <row r="48" spans="1:14" ht="14.25" thickBot="1"/>
    <row r="49" spans="1:4">
      <c r="A49" s="2748" t="s">
        <v>3382</v>
      </c>
    </row>
    <row r="50" spans="1:4">
      <c r="A50" s="3135" t="s">
        <v>3383</v>
      </c>
      <c r="B50" s="3135" t="s">
        <v>3384</v>
      </c>
      <c r="C50" s="3135" t="s">
        <v>3385</v>
      </c>
      <c r="D50" s="3135" t="s">
        <v>3386</v>
      </c>
    </row>
    <row r="51" spans="1:4">
      <c r="A51" s="3135" t="s">
        <v>3387</v>
      </c>
      <c r="B51" s="2757">
        <f>B52+B53</f>
        <v>15000</v>
      </c>
      <c r="C51" s="3136">
        <f>D51/B51</f>
        <v>2666.6666666666665</v>
      </c>
      <c r="D51" s="2757">
        <f>D52+D53</f>
        <v>40000000</v>
      </c>
    </row>
    <row r="52" spans="1:4">
      <c r="A52" s="3137" t="s">
        <v>3388</v>
      </c>
      <c r="B52" s="3138">
        <v>10000</v>
      </c>
      <c r="C52" s="3138">
        <v>1500</v>
      </c>
      <c r="D52" s="3139">
        <f>C52*B52</f>
        <v>15000000</v>
      </c>
    </row>
    <row r="53" spans="1:4">
      <c r="A53" s="3137" t="s">
        <v>3389</v>
      </c>
      <c r="B53" s="3138">
        <v>5000</v>
      </c>
      <c r="C53" s="3138">
        <v>5000</v>
      </c>
      <c r="D53" s="3139">
        <f>C53*B53</f>
        <v>25000000</v>
      </c>
    </row>
    <row r="54" spans="1:4">
      <c r="A54" s="3135" t="s">
        <v>3390</v>
      </c>
      <c r="B54" s="2757">
        <f>B51</f>
        <v>15000</v>
      </c>
      <c r="C54" s="2763">
        <v>700</v>
      </c>
      <c r="D54" s="2757">
        <f t="shared" ref="D54:D55" si="5">C54*B54</f>
        <v>10500000</v>
      </c>
    </row>
    <row r="55" spans="1:4">
      <c r="A55" s="3135" t="s">
        <v>3391</v>
      </c>
      <c r="B55" s="2757">
        <f>B51</f>
        <v>15000</v>
      </c>
      <c r="C55" s="2763">
        <v>1500</v>
      </c>
      <c r="D55" s="2757">
        <f t="shared" si="5"/>
        <v>22500000</v>
      </c>
    </row>
    <row r="56" spans="1:4">
      <c r="A56" s="3135" t="s">
        <v>3392</v>
      </c>
      <c r="B56" s="2757">
        <f>B51</f>
        <v>15000</v>
      </c>
      <c r="C56" s="3140">
        <f>C51+C54+C55</f>
        <v>4866.6666666666661</v>
      </c>
      <c r="D56" s="2757">
        <f>D51+D54+D55</f>
        <v>73000000</v>
      </c>
    </row>
    <row r="58" spans="1:4">
      <c r="A58" s="3135" t="s">
        <v>3393</v>
      </c>
      <c r="B58" s="3141">
        <v>0.05</v>
      </c>
      <c r="C58" s="2757">
        <f>C56*(1+B58)</f>
        <v>5110</v>
      </c>
      <c r="D58" s="2757">
        <f>D56*B58</f>
        <v>3650000</v>
      </c>
    </row>
    <row r="60" spans="1:4">
      <c r="A60" s="3135" t="s">
        <v>3394</v>
      </c>
      <c r="B60" s="2763">
        <v>3500</v>
      </c>
      <c r="C60" s="2763">
        <f>C53</f>
        <v>5000</v>
      </c>
      <c r="D60" s="2757">
        <f>C60*B60</f>
        <v>17500000</v>
      </c>
    </row>
    <row r="62" spans="1:4">
      <c r="A62" s="3135" t="s">
        <v>3395</v>
      </c>
      <c r="B62" s="2763">
        <f>B51</f>
        <v>15000</v>
      </c>
      <c r="C62" s="3142">
        <f>D62/B62</f>
        <v>6276.666666666667</v>
      </c>
      <c r="D62" s="2763">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7" sqref="C17"/>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5" customWidth="1"/>
    <col min="12" max="13" width="10" style="2406"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5" t="s">
        <v>2168</v>
      </c>
      <c r="B1" s="3215" t="str">
        <f>IF(B10="北京市","北京市",C10)&amp;F10&amp;IF(结果表!G1="在建","出让国有建设用地使用权及在建建筑物",IF(结果表!G1="土地","出让国有建设用地使用权",))&amp;B9&amp;"预评估"</f>
        <v>房地产市场价值预评估</v>
      </c>
      <c r="C1" s="3216"/>
      <c r="D1" s="3216"/>
      <c r="E1" s="3216"/>
      <c r="F1" s="3216"/>
      <c r="G1" s="3216"/>
      <c r="H1" s="3216"/>
      <c r="I1" s="3217"/>
      <c r="J1" s="2239"/>
      <c r="K1" s="2177"/>
      <c r="L1" s="2178"/>
      <c r="M1" s="2178"/>
      <c r="N1" s="2176"/>
      <c r="O1" s="1462"/>
      <c r="P1" s="2176"/>
      <c r="Q1" s="2176"/>
      <c r="R1" s="2176"/>
      <c r="S1" s="1557" t="str">
        <f>IF(B10="北京市","北京市",C10)&amp;F10&amp;IF(结果表!G1="在建","出让国有建设用地使用权及在建建筑物房地产抵押价值",IF(结果表!G1="土地","出让国有建设用地使用权抵押价值",B9))</f>
        <v>房地产市场价值</v>
      </c>
      <c r="T1" s="1614"/>
      <c r="U1" s="1614"/>
      <c r="V1" s="1614"/>
      <c r="W1" s="1614"/>
      <c r="X1" s="1614"/>
      <c r="Y1" s="1614"/>
      <c r="Z1" s="1614"/>
      <c r="AA1" s="1614"/>
      <c r="AB1" s="1614"/>
    </row>
    <row r="2" spans="1:30">
      <c r="A2" s="2176" t="s">
        <v>2169</v>
      </c>
      <c r="B2" s="122"/>
      <c r="D2" s="2440"/>
      <c r="E2" s="2433"/>
      <c r="F2" s="2433"/>
      <c r="G2" s="2434"/>
      <c r="H2" s="2434"/>
      <c r="I2" s="2434"/>
      <c r="J2" s="2239"/>
      <c r="K2" s="2177"/>
      <c r="L2" s="2178"/>
      <c r="M2" s="2178"/>
      <c r="N2" s="2176"/>
      <c r="O2" s="1462"/>
      <c r="P2" s="2176"/>
      <c r="Q2" s="2176"/>
      <c r="R2" s="2176"/>
      <c r="S2" s="1557" t="str">
        <f>IF(B10="北京市","北京市",C10)&amp;F10&amp;IF(结果表!G1="在建","出让国有建设用地使用权及在建建筑物房地产",IF(结果表!G1="土地","出让国有建设用地使用权","房地产"))</f>
        <v>房地产</v>
      </c>
      <c r="T2" s="1614"/>
      <c r="U2" s="1614"/>
      <c r="V2" s="1614"/>
      <c r="W2" s="1614"/>
      <c r="X2" s="1614"/>
      <c r="Y2" s="1614"/>
      <c r="Z2" s="1614"/>
      <c r="AA2" s="1614"/>
      <c r="AB2" s="1614"/>
    </row>
    <row r="3" spans="1:30">
      <c r="A3" s="294" t="s">
        <v>2170</v>
      </c>
      <c r="B3" s="2179">
        <v>45940</v>
      </c>
      <c r="C3" s="2180" t="s">
        <v>2171</v>
      </c>
      <c r="D3" s="2179">
        <f>B3</f>
        <v>45940</v>
      </c>
      <c r="E3" s="2434"/>
      <c r="F3" s="2434"/>
      <c r="G3" s="2434"/>
      <c r="H3" s="2434"/>
      <c r="I3" s="2434"/>
      <c r="J3" s="2239"/>
      <c r="K3" s="2177"/>
      <c r="L3" s="2178"/>
      <c r="M3" s="2178"/>
      <c r="N3" s="2176"/>
      <c r="O3" s="1462"/>
      <c r="P3" s="2176"/>
      <c r="Q3" s="2176"/>
      <c r="R3" s="2176"/>
      <c r="S3" s="1557"/>
      <c r="T3" s="1614"/>
      <c r="U3" s="1614"/>
      <c r="V3" s="1614"/>
      <c r="W3" s="1614"/>
      <c r="X3" s="1614"/>
      <c r="Y3" s="1614"/>
      <c r="Z3" s="1614"/>
      <c r="AA3" s="1614"/>
      <c r="AB3" s="1614"/>
    </row>
    <row r="4" spans="1:30" ht="13.5" thickBot="1">
      <c r="A4" s="1023" t="s">
        <v>2172</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2"/>
      <c r="P4" s="2176"/>
      <c r="Q4" s="2176"/>
      <c r="R4" s="2176"/>
      <c r="S4" s="1557"/>
      <c r="T4" s="1614"/>
      <c r="U4" s="1614"/>
      <c r="V4" s="1614"/>
      <c r="W4" s="1614"/>
      <c r="X4" s="1614"/>
      <c r="Y4" s="1614"/>
      <c r="Z4" s="1614"/>
      <c r="AA4" s="1614"/>
      <c r="AB4" s="1614"/>
    </row>
    <row r="5" spans="1:30" ht="13.5" thickTop="1">
      <c r="A5" s="2184" t="s">
        <v>2173</v>
      </c>
      <c r="B5" s="2185"/>
      <c r="C5" s="2186"/>
      <c r="D5" s="2187"/>
      <c r="E5" s="2434"/>
      <c r="F5" s="2434"/>
      <c r="G5" s="2434"/>
      <c r="H5" s="2434"/>
      <c r="I5" s="2434"/>
      <c r="J5" s="2239"/>
      <c r="K5" s="2183" t="str">
        <f>IF(F4="——","",IF(H4="——",F4&amp;"（注册号："&amp;G4&amp;")",CONCATENATE(F4,"（注册号：",G4,")、",H4,"（注册号：",I4,")")))</f>
        <v>（注册号：0)、（注册号：0)</v>
      </c>
      <c r="L5" s="2178"/>
      <c r="M5" s="2178"/>
      <c r="N5" s="2176"/>
      <c r="O5" s="1462"/>
      <c r="P5" s="2176"/>
      <c r="Q5" s="2176"/>
      <c r="R5" s="2176"/>
      <c r="S5" s="1614"/>
      <c r="T5" s="1614"/>
      <c r="U5" s="1614"/>
      <c r="V5" s="1614"/>
      <c r="W5" s="1614"/>
      <c r="X5" s="1614"/>
      <c r="Y5" s="1614"/>
      <c r="Z5" s="1614"/>
      <c r="AA5" s="1614"/>
      <c r="AB5" s="1614"/>
    </row>
    <row r="6" spans="1:30">
      <c r="A6" s="2188" t="s">
        <v>2174</v>
      </c>
      <c r="B6" s="2189"/>
      <c r="C6" s="2190"/>
      <c r="D6" s="2191"/>
      <c r="E6" s="2433"/>
      <c r="F6" s="2434"/>
      <c r="G6" s="2434"/>
      <c r="H6" s="2434"/>
      <c r="I6" s="2434"/>
      <c r="J6" s="2239"/>
      <c r="K6" s="2393" t="str">
        <f>IF(COUNTIF(B6,"*上海银行*"),"上海银行","")</f>
        <v/>
      </c>
      <c r="L6" s="2391"/>
      <c r="M6" s="2391"/>
      <c r="N6" s="2239"/>
      <c r="O6" s="1666"/>
      <c r="P6" s="2239"/>
      <c r="Q6" s="2239"/>
      <c r="R6" s="2239"/>
    </row>
    <row r="7" spans="1:30">
      <c r="A7" s="2188" t="s">
        <v>2175</v>
      </c>
      <c r="B7" s="2192"/>
      <c r="C7" s="2190"/>
      <c r="D7" s="2191"/>
      <c r="E7" s="2433"/>
      <c r="F7" s="2434"/>
      <c r="G7" s="2434"/>
      <c r="H7" s="2434"/>
      <c r="I7" s="2434"/>
      <c r="J7" s="2239"/>
      <c r="K7" s="2394"/>
      <c r="L7" s="2391"/>
      <c r="M7" s="2391"/>
      <c r="N7" s="2239"/>
      <c r="O7" s="1666"/>
      <c r="P7" s="2239"/>
      <c r="Q7" s="2239"/>
      <c r="R7" s="2239"/>
    </row>
    <row r="8" spans="1:30">
      <c r="A8" s="2193" t="s">
        <v>2176</v>
      </c>
      <c r="B8" s="2194" t="s">
        <v>3418</v>
      </c>
      <c r="C8" s="2195"/>
      <c r="D8" s="3218" t="s">
        <v>2177</v>
      </c>
      <c r="E8" s="2196"/>
      <c r="F8" s="2197"/>
      <c r="G8" s="2434"/>
      <c r="H8" s="2434"/>
      <c r="I8" s="2434"/>
      <c r="J8" s="2239"/>
      <c r="K8" s="2392"/>
      <c r="L8" s="2391"/>
      <c r="M8" s="2391"/>
      <c r="N8" s="2239"/>
      <c r="O8" s="1666"/>
      <c r="P8" s="2239"/>
      <c r="Q8" s="2239"/>
      <c r="R8" s="2239"/>
    </row>
    <row r="9" spans="1:30" ht="13.5" thickBot="1">
      <c r="A9" s="2198" t="s">
        <v>2178</v>
      </c>
      <c r="B9" s="2199" t="s">
        <v>3419</v>
      </c>
      <c r="C9" s="2200"/>
      <c r="D9" s="3219"/>
      <c r="E9" s="2199"/>
      <c r="F9" s="2201"/>
      <c r="G9" s="2435"/>
      <c r="H9" s="2435"/>
      <c r="I9" s="2435"/>
      <c r="J9" s="2239"/>
      <c r="K9" s="2394"/>
      <c r="L9" s="2391"/>
      <c r="M9" s="2391"/>
      <c r="N9" s="2239"/>
      <c r="O9" s="1666"/>
      <c r="P9" s="2239"/>
      <c r="Q9" s="2239"/>
      <c r="R9" s="2239"/>
    </row>
    <row r="10" spans="1:30" ht="13.5" thickTop="1">
      <c r="A10" s="2202" t="s">
        <v>2179</v>
      </c>
      <c r="B10" s="2203" t="s">
        <v>3459</v>
      </c>
      <c r="C10" s="2204"/>
      <c r="D10" s="2187"/>
      <c r="E10" s="2205" t="s">
        <v>2180</v>
      </c>
      <c r="F10" s="2436"/>
      <c r="G10" s="2437"/>
      <c r="H10" s="2438"/>
      <c r="I10" s="2439"/>
      <c r="J10" s="2239"/>
      <c r="K10" s="2394"/>
      <c r="L10" s="2391"/>
      <c r="M10" s="2391"/>
      <c r="N10" s="2239"/>
      <c r="O10" s="1666"/>
      <c r="P10" s="2239"/>
      <c r="Q10" s="2239"/>
      <c r="R10" s="2239"/>
    </row>
    <row r="11" spans="1:30">
      <c r="A11" s="2206" t="s">
        <v>2181</v>
      </c>
      <c r="B11" s="2207" t="s">
        <v>3420</v>
      </c>
      <c r="C11" s="2208"/>
      <c r="D11" s="2209"/>
      <c r="E11" s="2176"/>
      <c r="F11" s="2176"/>
      <c r="G11" s="2176"/>
      <c r="H11" s="2176"/>
      <c r="I11" s="2176"/>
      <c r="J11" s="2794"/>
      <c r="K11" s="2391"/>
      <c r="L11" s="2391"/>
      <c r="M11" s="2391"/>
      <c r="N11" s="2239"/>
      <c r="O11" s="1666"/>
      <c r="P11" s="2239"/>
      <c r="Q11" s="2239"/>
      <c r="R11" s="2239"/>
    </row>
    <row r="12" spans="1:30">
      <c r="A12" s="2210" t="s">
        <v>2182</v>
      </c>
      <c r="B12" s="315" t="s">
        <v>2183</v>
      </c>
      <c r="C12" s="2211" t="s">
        <v>2184</v>
      </c>
      <c r="D12" s="2211" t="s">
        <v>2185</v>
      </c>
      <c r="E12" s="2211" t="s">
        <v>2186</v>
      </c>
      <c r="F12" s="2211" t="s">
        <v>2187</v>
      </c>
      <c r="G12" s="2211" t="s">
        <v>2188</v>
      </c>
      <c r="H12" s="2211" t="s">
        <v>2189</v>
      </c>
      <c r="I12" s="2793" t="s">
        <v>2572</v>
      </c>
      <c r="J12" s="2795"/>
      <c r="K12" s="2391"/>
      <c r="L12" s="2391"/>
      <c r="M12" s="2239"/>
      <c r="N12" s="1666"/>
      <c r="O12" s="2239"/>
      <c r="P12" s="2239"/>
      <c r="Q12" s="2239"/>
      <c r="AD12" s="1614"/>
    </row>
    <row r="13" spans="1:30">
      <c r="A13" s="3113" t="s">
        <v>3327</v>
      </c>
      <c r="B13" s="2212" t="s">
        <v>2190</v>
      </c>
      <c r="C13" s="799">
        <v>71506</v>
      </c>
      <c r="D13" s="799"/>
      <c r="E13" s="799"/>
      <c r="F13" s="799"/>
      <c r="G13" s="799"/>
      <c r="H13" s="799"/>
      <c r="I13" s="799"/>
      <c r="J13" s="2795"/>
      <c r="K13" s="2391"/>
      <c r="L13" s="2391"/>
      <c r="M13" s="2239"/>
      <c r="N13" s="1666"/>
      <c r="O13" s="2239"/>
      <c r="P13" s="2239"/>
      <c r="Q13" s="2239"/>
      <c r="AD13" s="1614"/>
    </row>
    <row r="14" spans="1:30">
      <c r="A14" s="1014"/>
      <c r="B14" s="2212" t="s">
        <v>2191</v>
      </c>
      <c r="C14" s="2213">
        <v>70</v>
      </c>
      <c r="D14" s="2213">
        <v>40</v>
      </c>
      <c r="E14" s="2213">
        <v>50</v>
      </c>
      <c r="F14" s="2213">
        <v>50</v>
      </c>
      <c r="G14" s="2213">
        <v>50</v>
      </c>
      <c r="H14" s="2213"/>
      <c r="I14" s="2213"/>
      <c r="J14" s="2796"/>
      <c r="K14" s="2391"/>
      <c r="L14" s="2391"/>
      <c r="M14" s="2239"/>
      <c r="N14" s="1666"/>
      <c r="O14" s="2239"/>
      <c r="P14" s="2239"/>
      <c r="Q14" s="2239"/>
      <c r="AD14" s="1614"/>
    </row>
    <row r="15" spans="1:30">
      <c r="A15" s="312"/>
      <c r="B15" s="2214" t="s">
        <v>2192</v>
      </c>
      <c r="C15" s="2215">
        <f>IF(A13="出让",IF(C13="","",ROUNDDOWN(MIN((C13-$D$3)/365,C14),2)),C14)</f>
        <v>70</v>
      </c>
      <c r="D15" s="2215" t="str">
        <f>IF(A13="出让",IF(D13="","",ROUNDDOWN(MIN((D13-$D$3)/365,D14),2)),D14)</f>
        <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7"/>
      <c r="K15" s="1666"/>
      <c r="L15" s="1666"/>
      <c r="M15" s="2239"/>
      <c r="N15" s="1666"/>
      <c r="O15" s="2239"/>
      <c r="P15" s="2239"/>
      <c r="Q15" s="2239"/>
      <c r="AD15" s="1614"/>
    </row>
    <row r="16" spans="1:30">
      <c r="A16" s="2205" t="s">
        <v>2193</v>
      </c>
      <c r="B16" s="3225"/>
      <c r="C16" s="3226"/>
      <c r="D16" s="3227"/>
      <c r="E16" s="2216" t="s">
        <v>2194</v>
      </c>
      <c r="F16" s="3228"/>
      <c r="G16" s="3229"/>
      <c r="H16" s="3229"/>
      <c r="I16" s="3230"/>
      <c r="J16" s="2239"/>
      <c r="K16" s="2395"/>
      <c r="L16" s="1666"/>
      <c r="M16" s="1666"/>
      <c r="N16" s="2239"/>
      <c r="O16" s="1666"/>
      <c r="P16" s="2239"/>
      <c r="Q16" s="2239"/>
      <c r="R16" s="2239"/>
    </row>
    <row r="17" spans="1:28">
      <c r="A17" s="305" t="s">
        <v>2195</v>
      </c>
      <c r="B17" s="294" t="s">
        <v>2196</v>
      </c>
      <c r="C17" s="8">
        <f>'数据-汇总表'!E3</f>
        <v>154.79</v>
      </c>
      <c r="D17" s="1252" t="s">
        <v>2197</v>
      </c>
      <c r="E17" s="3231" t="s">
        <v>2198</v>
      </c>
      <c r="F17" s="3232"/>
      <c r="G17" s="3232"/>
      <c r="H17" s="3232"/>
      <c r="I17" s="3233"/>
      <c r="J17" s="2239"/>
      <c r="K17" s="2396"/>
      <c r="L17" s="1666"/>
      <c r="M17" s="1666"/>
      <c r="N17" s="2239"/>
      <c r="O17" s="1666"/>
      <c r="P17" s="2239"/>
      <c r="Q17" s="2239"/>
      <c r="R17" s="2239"/>
      <c r="S17" s="2239"/>
      <c r="T17" s="2239"/>
      <c r="U17" s="2239"/>
      <c r="V17" s="2239"/>
    </row>
    <row r="18" spans="1:28" ht="24.75" thickBot="1">
      <c r="A18" s="2217" t="s">
        <v>2199</v>
      </c>
      <c r="B18" s="1023" t="s">
        <v>2200</v>
      </c>
      <c r="C18" s="2218">
        <f>'数据-汇总表'!D3</f>
        <v>0</v>
      </c>
      <c r="D18" s="1025" t="s">
        <v>2201</v>
      </c>
      <c r="E18" s="3234" t="s">
        <v>2202</v>
      </c>
      <c r="F18" s="3235"/>
      <c r="G18" s="3235"/>
      <c r="H18" s="3235"/>
      <c r="I18" s="3236"/>
      <c r="J18" s="2239"/>
      <c r="K18" s="2396"/>
      <c r="L18" s="1666"/>
      <c r="M18" s="1666"/>
      <c r="N18" s="2239"/>
      <c r="O18" s="1666"/>
      <c r="P18" s="2239"/>
      <c r="Q18" s="2239"/>
      <c r="R18" s="2239"/>
      <c r="S18" s="2239"/>
      <c r="T18" s="2239"/>
      <c r="U18" s="2239"/>
      <c r="V18" s="2239"/>
    </row>
    <row r="19" spans="1:28" ht="37.5" thickTop="1" thickBot="1">
      <c r="A19" s="319" t="s">
        <v>1055</v>
      </c>
      <c r="B19" s="299" t="s">
        <v>2203</v>
      </c>
      <c r="C19" s="1451" t="s">
        <v>3414</v>
      </c>
      <c r="D19" s="1452" t="s">
        <v>2204</v>
      </c>
      <c r="E19" s="1453"/>
      <c r="F19" s="1454" t="str">
        <f>IF(AND(C19="是",E19="否"),"是否提供他项权证或相关说明","")</f>
        <v/>
      </c>
      <c r="G19" s="1455"/>
      <c r="H19" s="2434"/>
      <c r="I19" s="2434"/>
      <c r="J19" s="2239"/>
      <c r="K19" s="2394"/>
      <c r="L19" s="2391"/>
      <c r="M19" s="2391"/>
      <c r="N19" s="2239"/>
      <c r="O19" s="1666"/>
      <c r="P19" s="2239"/>
      <c r="Q19" s="2239"/>
      <c r="R19" s="2239"/>
      <c r="S19" s="2239"/>
      <c r="T19" s="2239"/>
      <c r="U19" s="2239"/>
      <c r="V19" s="2239"/>
    </row>
    <row r="20" spans="1:28">
      <c r="A20" s="2409" t="s">
        <v>2205</v>
      </c>
      <c r="B20" s="3221" t="s">
        <v>2206</v>
      </c>
      <c r="C20" s="3222"/>
      <c r="D20" s="3223" t="s">
        <v>2207</v>
      </c>
      <c r="E20" s="3224"/>
      <c r="F20" s="2422" t="s">
        <v>1056</v>
      </c>
      <c r="G20" s="2434"/>
      <c r="H20" s="2434"/>
      <c r="I20" s="2434"/>
      <c r="J20" s="2239"/>
      <c r="K20" s="32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2"/>
      <c r="P20" s="2176"/>
      <c r="Q20" s="2176"/>
      <c r="R20" s="2176"/>
      <c r="S20" s="2176"/>
      <c r="T20" s="2176"/>
      <c r="U20" s="2176"/>
      <c r="V20" s="2176"/>
      <c r="W20" s="1614"/>
      <c r="X20" s="1614"/>
      <c r="Y20" s="1614"/>
      <c r="Z20" s="1614"/>
      <c r="AA20" s="1614"/>
      <c r="AB20" s="1614"/>
    </row>
    <row r="21" spans="1:28" ht="24.75" thickBot="1">
      <c r="A21" s="2409"/>
      <c r="B21" s="2410" t="s">
        <v>2209</v>
      </c>
      <c r="C21" s="2288" t="s">
        <v>1057</v>
      </c>
      <c r="D21" s="1456" t="s">
        <v>2210</v>
      </c>
      <c r="E21" s="2411" t="s">
        <v>1057</v>
      </c>
      <c r="F21" s="2423"/>
      <c r="G21" s="2434"/>
      <c r="H21" s="2434"/>
      <c r="I21" s="2434"/>
      <c r="J21" s="2239"/>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2"/>
      <c r="P21" s="2176"/>
      <c r="Q21" s="2176"/>
      <c r="R21" s="2176"/>
      <c r="S21" s="2176"/>
      <c r="T21" s="2176"/>
      <c r="U21" s="2176"/>
      <c r="V21" s="2176"/>
      <c r="W21" s="1614"/>
      <c r="X21" s="1614"/>
      <c r="Y21" s="1614"/>
      <c r="Z21" s="1614"/>
      <c r="AA21" s="1614"/>
      <c r="AB21" s="1614"/>
    </row>
    <row r="22" spans="1:28" ht="24.75" thickBot="1">
      <c r="A22" s="2409"/>
      <c r="B22" s="2412" t="s">
        <v>2211</v>
      </c>
      <c r="C22" s="2288" t="s">
        <v>1058</v>
      </c>
      <c r="D22" s="2434"/>
      <c r="E22" s="2434"/>
      <c r="F22" s="2434"/>
      <c r="G22" s="2434"/>
      <c r="H22" s="2434"/>
      <c r="I22" s="2434"/>
      <c r="J22" s="2239"/>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2"/>
      <c r="P22" s="2176"/>
      <c r="Q22" s="2176"/>
      <c r="R22" s="2176"/>
      <c r="S22" s="2176"/>
      <c r="T22" s="2176"/>
      <c r="U22" s="2176"/>
      <c r="V22" s="2176"/>
      <c r="W22" s="1614"/>
      <c r="X22" s="1614"/>
      <c r="Y22" s="1614"/>
      <c r="Z22" s="1614"/>
      <c r="AA22" s="1614"/>
      <c r="AB22" s="1614"/>
    </row>
    <row r="23" spans="1:28">
      <c r="A23" s="2413" t="s">
        <v>2212</v>
      </c>
      <c r="B23" s="2285" t="s">
        <v>2213</v>
      </c>
      <c r="C23" s="2414"/>
      <c r="D23" s="2415" t="s">
        <v>2213</v>
      </c>
      <c r="E23" s="2416"/>
      <c r="F23" s="2434"/>
      <c r="G23" s="2434"/>
      <c r="H23" s="2434"/>
      <c r="I23" s="2434"/>
      <c r="J23" s="2239"/>
      <c r="K23" s="2393"/>
      <c r="L23" s="121"/>
      <c r="M23" s="2391"/>
      <c r="N23" s="2239"/>
      <c r="O23" s="1666"/>
      <c r="P23" s="2239"/>
      <c r="Q23" s="2239"/>
      <c r="R23" s="2239"/>
      <c r="S23" s="2239"/>
      <c r="T23" s="2239"/>
      <c r="U23" s="2239"/>
      <c r="V23" s="2239"/>
    </row>
    <row r="24" spans="1:28">
      <c r="A24" s="2413"/>
      <c r="B24" s="2285" t="s">
        <v>1059</v>
      </c>
      <c r="C24" s="2263"/>
      <c r="D24" s="2413" t="s">
        <v>1059</v>
      </c>
      <c r="E24" s="2417"/>
      <c r="F24" s="2434"/>
      <c r="G24" s="2434"/>
      <c r="H24" s="2434"/>
      <c r="I24" s="2434"/>
      <c r="J24" s="2239"/>
      <c r="K24" s="2393"/>
      <c r="L24" s="121"/>
      <c r="M24" s="2391"/>
      <c r="N24" s="2239"/>
      <c r="O24" s="1666"/>
      <c r="P24" s="2239"/>
      <c r="Q24" s="2239"/>
      <c r="R24" s="2239"/>
      <c r="S24" s="2239"/>
      <c r="T24" s="2239"/>
      <c r="U24" s="2239"/>
      <c r="V24" s="2239"/>
    </row>
    <row r="25" spans="1:28">
      <c r="A25" s="2413"/>
      <c r="B25" s="2285" t="s">
        <v>1060</v>
      </c>
      <c r="C25" s="2263"/>
      <c r="D25" s="2413" t="s">
        <v>1060</v>
      </c>
      <c r="E25" s="2417"/>
      <c r="F25" s="2434"/>
      <c r="G25" s="2434"/>
      <c r="H25" s="2434"/>
      <c r="I25" s="2434"/>
      <c r="J25" s="2239"/>
      <c r="K25" s="2394"/>
      <c r="L25" s="2391"/>
      <c r="M25" s="2391"/>
      <c r="N25" s="2239"/>
      <c r="O25" s="1666"/>
      <c r="P25" s="2239"/>
      <c r="Q25" s="2239"/>
      <c r="R25" s="2239"/>
      <c r="S25" s="2239"/>
      <c r="T25" s="2239"/>
      <c r="U25" s="2239"/>
      <c r="V25" s="2239"/>
    </row>
    <row r="26" spans="1:28" ht="13.5" thickBot="1">
      <c r="A26" s="2418"/>
      <c r="B26" s="2419" t="s">
        <v>1061</v>
      </c>
      <c r="C26" s="2420"/>
      <c r="D26" s="2418" t="s">
        <v>1061</v>
      </c>
      <c r="E26" s="2421"/>
      <c r="F26" s="2435"/>
      <c r="G26" s="2435"/>
      <c r="H26" s="2435"/>
      <c r="I26" s="2435"/>
      <c r="J26" s="2239"/>
      <c r="K26" s="2394"/>
      <c r="L26" s="2391"/>
      <c r="M26" s="2391"/>
      <c r="N26" s="2239"/>
      <c r="O26" s="1666"/>
      <c r="P26" s="2239"/>
      <c r="Q26" s="2239"/>
      <c r="R26" s="2239"/>
      <c r="S26" s="2239"/>
      <c r="T26" s="2239"/>
      <c r="U26" s="2239"/>
      <c r="V26" s="2239"/>
    </row>
    <row r="27" spans="1:28" ht="13.5" thickTop="1">
      <c r="A27" s="3209" t="s">
        <v>2214</v>
      </c>
      <c r="B27" s="312" t="s">
        <v>2215</v>
      </c>
      <c r="C27" s="2219"/>
      <c r="D27" s="2220"/>
      <c r="E27" s="2434"/>
      <c r="F27" s="2434"/>
      <c r="G27" s="2434"/>
      <c r="H27" s="2434"/>
      <c r="I27" s="2434"/>
      <c r="J27" s="2239"/>
      <c r="K27" s="2395"/>
      <c r="L27" s="1666"/>
      <c r="M27" s="1666"/>
      <c r="N27" s="2239"/>
      <c r="O27" s="1666"/>
      <c r="P27" s="2239"/>
      <c r="Q27" s="2239"/>
      <c r="R27" s="2239"/>
      <c r="S27" s="2239"/>
      <c r="T27" s="2239"/>
      <c r="U27" s="2239"/>
      <c r="V27" s="2239"/>
    </row>
    <row r="28" spans="1:28">
      <c r="A28" s="3209"/>
      <c r="B28" s="294" t="s">
        <v>2216</v>
      </c>
      <c r="C28" s="2221"/>
      <c r="D28" s="2222"/>
      <c r="E28" s="2434"/>
      <c r="F28" s="2434"/>
      <c r="G28" s="2434"/>
      <c r="H28" s="2434"/>
      <c r="I28" s="2434"/>
      <c r="J28" s="2239"/>
      <c r="K28" s="2394"/>
      <c r="L28" s="2391"/>
      <c r="M28" s="2391"/>
      <c r="N28" s="2239"/>
      <c r="O28" s="1666"/>
      <c r="P28" s="2239"/>
      <c r="Q28" s="2239"/>
      <c r="R28" s="2239"/>
      <c r="S28" s="2239"/>
      <c r="T28" s="2239"/>
      <c r="U28" s="2239"/>
      <c r="V28" s="2239"/>
    </row>
    <row r="29" spans="1:28">
      <c r="A29" s="3209"/>
      <c r="B29" s="294" t="s">
        <v>2217</v>
      </c>
      <c r="C29" s="2223"/>
      <c r="D29" s="2224"/>
      <c r="E29" s="2434"/>
      <c r="F29" s="2434"/>
      <c r="G29" s="2434"/>
      <c r="H29" s="2434"/>
      <c r="I29" s="2434"/>
      <c r="J29" s="2239"/>
      <c r="K29" s="2394"/>
      <c r="L29" s="2391"/>
      <c r="M29" s="2391"/>
      <c r="N29" s="2239"/>
      <c r="O29" s="1666"/>
      <c r="P29" s="2239"/>
      <c r="Q29" s="2239"/>
      <c r="R29" s="2239"/>
      <c r="S29" s="2239"/>
      <c r="T29" s="2239"/>
      <c r="U29" s="2239"/>
      <c r="V29" s="2239"/>
    </row>
    <row r="30" spans="1:28">
      <c r="A30" s="3210"/>
      <c r="B30" s="294" t="s">
        <v>2218</v>
      </c>
      <c r="C30" s="3211"/>
      <c r="D30" s="3212"/>
      <c r="E30" s="2434"/>
      <c r="F30" s="2434"/>
      <c r="G30" s="2434"/>
      <c r="H30" s="2434"/>
      <c r="I30" s="2434"/>
      <c r="J30" s="2239"/>
      <c r="K30" s="2394"/>
      <c r="L30" s="2391"/>
      <c r="M30" s="2391"/>
      <c r="N30" s="2239"/>
      <c r="O30" s="1666"/>
      <c r="P30" s="2239"/>
      <c r="Q30" s="2239"/>
      <c r="R30" s="2239"/>
      <c r="S30" s="2239"/>
      <c r="T30" s="2239"/>
      <c r="U30" s="2239"/>
      <c r="V30" s="2239"/>
    </row>
    <row r="31" spans="1:28">
      <c r="A31" s="3213" t="s">
        <v>2219</v>
      </c>
      <c r="B31" s="2225"/>
      <c r="C31" s="12" t="str">
        <f>IF(B31="现房","成新及维护状况正常否",IF(B31="在建","工程状态是否正常",IF(B31="土地","是否闲置","-")))</f>
        <v>-</v>
      </c>
      <c r="D31" s="1277"/>
      <c r="E31" s="2226"/>
      <c r="F31" s="2434"/>
      <c r="G31" s="2434"/>
      <c r="H31" s="2434"/>
      <c r="I31" s="2434"/>
      <c r="J31" s="2239"/>
      <c r="K31" s="2393"/>
      <c r="L31" s="2391"/>
      <c r="M31" s="2391"/>
      <c r="N31" s="2239"/>
      <c r="O31" s="1666"/>
      <c r="P31" s="2239"/>
      <c r="Q31" s="2239"/>
      <c r="R31" s="2239"/>
      <c r="S31" s="2239"/>
      <c r="T31" s="2239"/>
      <c r="U31" s="2239"/>
      <c r="V31" s="2239"/>
    </row>
    <row r="32" spans="1:28">
      <c r="A32" s="3214"/>
      <c r="B32" s="2225"/>
      <c r="C32" s="12" t="str">
        <f>IF(B32="现房","成新及维护状况是否正常",IF(B32="在建","工程状态是否正常",IF(B32="土地","是否闲置","-")))</f>
        <v>-</v>
      </c>
      <c r="D32" s="1277"/>
      <c r="E32" s="2226"/>
      <c r="F32" s="2434"/>
      <c r="G32" s="2434"/>
      <c r="H32" s="2434"/>
      <c r="I32" s="2434"/>
      <c r="J32" s="2239"/>
      <c r="K32" s="2394"/>
      <c r="L32" s="2391"/>
      <c r="M32" s="2391"/>
      <c r="N32" s="2239"/>
      <c r="O32" s="1666"/>
      <c r="P32" s="2239"/>
      <c r="Q32" s="2239"/>
      <c r="R32" s="2239"/>
      <c r="S32" s="2239"/>
      <c r="T32" s="2239"/>
      <c r="U32" s="2239"/>
      <c r="V32" s="2239"/>
    </row>
    <row r="33" spans="1:30">
      <c r="A33" s="3214"/>
      <c r="B33" s="2228"/>
      <c r="C33" s="1474" t="str">
        <f>IF(B33="现房","成新及维护状况是否正常",IF(B33="在建","工程状态是否正常",IF(B33="土地","是否闲置","-")))</f>
        <v>-</v>
      </c>
      <c r="D33" s="1270"/>
      <c r="E33" s="2229"/>
      <c r="F33" s="2434"/>
      <c r="G33" s="2434"/>
      <c r="H33" s="2434"/>
      <c r="I33" s="2434"/>
      <c r="J33" s="2239"/>
      <c r="K33" s="2394"/>
      <c r="L33" s="2391"/>
      <c r="M33" s="2391"/>
      <c r="N33" s="2239"/>
      <c r="O33" s="1666"/>
      <c r="P33" s="2239"/>
      <c r="Q33" s="2239"/>
      <c r="R33" s="2239"/>
      <c r="S33" s="2239"/>
      <c r="T33" s="2239"/>
      <c r="U33" s="2239"/>
      <c r="V33" s="2239"/>
    </row>
    <row r="34" spans="1:30">
      <c r="A34" s="294" t="s">
        <v>2220</v>
      </c>
      <c r="B34" s="1864"/>
      <c r="C34" s="1864"/>
      <c r="D34" s="1864"/>
      <c r="E34" s="1864"/>
      <c r="F34" s="1864"/>
      <c r="G34" s="1864"/>
      <c r="H34" s="1864"/>
      <c r="I34" s="2434"/>
      <c r="J34" s="2239"/>
      <c r="K34" s="8">
        <f>COUNTIF(B34:H34,"——")</f>
        <v>0</v>
      </c>
      <c r="L34" s="315" t="s">
        <v>2221</v>
      </c>
      <c r="M34" s="315" t="s">
        <v>2222</v>
      </c>
      <c r="N34" s="315" t="s">
        <v>2223</v>
      </c>
      <c r="O34" s="315" t="s">
        <v>2224</v>
      </c>
      <c r="P34" s="315" t="s">
        <v>2225</v>
      </c>
      <c r="Q34" s="315" t="s">
        <v>2226</v>
      </c>
      <c r="R34" s="315" t="s">
        <v>2227</v>
      </c>
      <c r="S34" s="3208" t="s">
        <v>2228</v>
      </c>
      <c r="T34" s="315" t="str">
        <f>NUMBERSTRING(7-K34,1)&amp;"通"</f>
        <v>七通</v>
      </c>
      <c r="U34" s="2239"/>
      <c r="V34" s="2239"/>
    </row>
    <row r="35" spans="1:30">
      <c r="A35" s="2230"/>
      <c r="B35" s="3208" t="s">
        <v>2229</v>
      </c>
      <c r="C35" s="3208"/>
      <c r="D35" s="3208"/>
      <c r="E35" s="3208"/>
      <c r="F35" s="8">
        <f>C10</f>
        <v>0</v>
      </c>
      <c r="G35" s="2434"/>
      <c r="H35" s="2434"/>
      <c r="I35" s="2434"/>
      <c r="J35" s="2239"/>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39"/>
      <c r="V35" s="2239"/>
    </row>
    <row r="36" spans="1:30">
      <c r="A36" s="2177"/>
      <c r="B36" s="8" t="s">
        <v>2185</v>
      </c>
      <c r="C36" s="8" t="s">
        <v>2186</v>
      </c>
      <c r="D36" s="8" t="s">
        <v>2184</v>
      </c>
      <c r="E36" s="8" t="s">
        <v>2189</v>
      </c>
      <c r="F36" s="2793" t="s">
        <v>2575</v>
      </c>
      <c r="G36" s="2434"/>
      <c r="H36" s="2434"/>
      <c r="I36" s="2434"/>
      <c r="J36" s="2239"/>
      <c r="K36" s="2394"/>
      <c r="L36" s="2391"/>
      <c r="M36" s="2391"/>
      <c r="N36" s="2239"/>
      <c r="O36" s="1666"/>
      <c r="P36" s="2239"/>
      <c r="Q36" s="2239"/>
      <c r="R36" s="2239"/>
      <c r="S36" s="2239"/>
      <c r="T36" s="2239"/>
      <c r="U36" s="2239"/>
      <c r="V36" s="2239"/>
    </row>
    <row r="37" spans="1:30">
      <c r="A37" s="2407" t="s">
        <v>2230</v>
      </c>
      <c r="B37" s="2231" t="s">
        <v>110</v>
      </c>
      <c r="C37" s="2231" t="s">
        <v>110</v>
      </c>
      <c r="D37" s="2231"/>
      <c r="E37" s="2231"/>
      <c r="F37" s="2231"/>
      <c r="G37" s="2434"/>
      <c r="H37" s="2434"/>
      <c r="I37" s="2434"/>
      <c r="J37" s="2239"/>
      <c r="K37" s="2394"/>
      <c r="L37" s="2391"/>
      <c r="M37" s="2391"/>
      <c r="N37" s="2239"/>
      <c r="O37" s="1666"/>
      <c r="P37" s="2239"/>
      <c r="Q37" s="2239"/>
      <c r="R37" s="2239"/>
      <c r="S37" s="2239"/>
      <c r="T37" s="2239"/>
      <c r="U37" s="2239"/>
      <c r="V37" s="2239"/>
    </row>
    <row r="38" spans="1:30" ht="13.5" thickBot="1">
      <c r="A38" s="2408" t="s">
        <v>2231</v>
      </c>
      <c r="B38" s="2232" t="s">
        <v>3415</v>
      </c>
      <c r="C38" s="2232" t="s">
        <v>3415</v>
      </c>
      <c r="D38" s="2232"/>
      <c r="E38" s="2232"/>
      <c r="F38" s="2232"/>
      <c r="G38" s="2435"/>
      <c r="H38" s="2435"/>
      <c r="I38" s="2435"/>
      <c r="J38" s="2239"/>
      <c r="K38" s="2394"/>
      <c r="L38" s="2391"/>
      <c r="M38" s="2391"/>
      <c r="N38" s="2239"/>
      <c r="O38" s="1666"/>
      <c r="P38" s="2239"/>
      <c r="Q38" s="2239"/>
      <c r="R38" s="2239"/>
      <c r="S38" s="2239"/>
      <c r="T38" s="2239"/>
      <c r="U38" s="2239"/>
      <c r="V38" s="2239"/>
    </row>
    <row r="39" spans="1:30" s="2235" customFormat="1" ht="14.25" thickTop="1" thickBot="1">
      <c r="A39" s="2233" t="s">
        <v>2232</v>
      </c>
      <c r="B39" s="2234"/>
      <c r="C39" s="2234"/>
      <c r="D39" s="2234"/>
      <c r="E39" s="2234"/>
      <c r="F39" s="2234"/>
      <c r="G39" s="2234"/>
      <c r="H39" s="2234"/>
      <c r="I39" s="2234"/>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6"/>
      <c r="B40" s="2176"/>
      <c r="C40" s="2176"/>
      <c r="D40" s="2176"/>
      <c r="E40" s="2176"/>
      <c r="F40" s="2176"/>
      <c r="G40" s="2176"/>
      <c r="H40" s="2176"/>
      <c r="I40" s="1462"/>
      <c r="J40" s="2239"/>
      <c r="K40" s="2393"/>
      <c r="L40" s="1666"/>
      <c r="M40" s="1666"/>
      <c r="N40" s="2239"/>
      <c r="O40" s="1666"/>
      <c r="P40" s="2239"/>
      <c r="Q40" s="2239"/>
      <c r="R40" s="2239"/>
      <c r="S40" s="2239"/>
      <c r="T40" s="2239"/>
      <c r="U40" s="2239"/>
      <c r="V40" s="2239"/>
    </row>
    <row r="41" spans="1:30">
      <c r="A41" s="2236" t="s">
        <v>2233</v>
      </c>
      <c r="B41" s="1623"/>
      <c r="C41" s="1277"/>
      <c r="D41" s="2176"/>
      <c r="E41" s="2176"/>
      <c r="F41" s="2176"/>
      <c r="G41" s="2176"/>
      <c r="H41" s="2176"/>
      <c r="I41" s="1462"/>
      <c r="J41" s="2239"/>
      <c r="K41" s="2394"/>
      <c r="L41" s="2391"/>
      <c r="M41" s="2391"/>
      <c r="N41" s="2239"/>
      <c r="O41" s="1666"/>
      <c r="P41" s="2239"/>
      <c r="Q41" s="2239"/>
      <c r="R41" s="2239"/>
      <c r="S41" s="2239"/>
      <c r="T41" s="2239"/>
      <c r="U41" s="2239"/>
      <c r="V41" s="2239"/>
    </row>
    <row r="42" spans="1:30" ht="25.5">
      <c r="A42" s="315" t="s">
        <v>2234</v>
      </c>
      <c r="B42" s="8" t="s">
        <v>2235</v>
      </c>
      <c r="C42" s="8" t="s">
        <v>2236</v>
      </c>
      <c r="D42" s="8" t="s">
        <v>2237</v>
      </c>
      <c r="E42" s="8" t="s">
        <v>2238</v>
      </c>
      <c r="F42" s="8" t="s">
        <v>2239</v>
      </c>
      <c r="G42" s="8" t="s">
        <v>2240</v>
      </c>
      <c r="H42" s="8" t="s">
        <v>2241</v>
      </c>
      <c r="I42" s="8" t="s">
        <v>2242</v>
      </c>
      <c r="J42" s="2403" t="s">
        <v>2243</v>
      </c>
      <c r="K42" s="2404" t="s">
        <v>2244</v>
      </c>
      <c r="L42" s="2404" t="s">
        <v>2245</v>
      </c>
      <c r="M42" s="2404" t="s">
        <v>2246</v>
      </c>
      <c r="N42" s="2397" t="s">
        <v>2247</v>
      </c>
      <c r="O42" s="2397" t="s">
        <v>2248</v>
      </c>
      <c r="P42" s="2397" t="s">
        <v>2249</v>
      </c>
      <c r="Q42" s="2398" t="s">
        <v>2250</v>
      </c>
      <c r="R42" s="2398" t="s">
        <v>2251</v>
      </c>
      <c r="S42" s="2239"/>
      <c r="T42" s="2239"/>
      <c r="U42" s="2239"/>
      <c r="V42" s="2239"/>
    </row>
    <row r="43" spans="1:30" s="1612" customFormat="1">
      <c r="A43" s="1458"/>
      <c r="B43" s="628"/>
      <c r="C43" s="628"/>
      <c r="D43" s="628"/>
      <c r="E43" s="628"/>
      <c r="F43" s="628"/>
      <c r="G43" s="628"/>
      <c r="H43" s="628"/>
      <c r="I43" s="628"/>
      <c r="J43" s="2237"/>
      <c r="K43" s="2238"/>
      <c r="L43" s="2238"/>
      <c r="M43" s="628"/>
      <c r="N43" s="628"/>
      <c r="O43" s="628"/>
      <c r="P43" s="628"/>
      <c r="Q43" s="628"/>
      <c r="R43" s="628"/>
      <c r="S43" s="2239"/>
      <c r="T43" s="2239"/>
      <c r="U43" s="2239"/>
      <c r="V43" s="2239"/>
    </row>
    <row r="44" spans="1:30" s="1612" customFormat="1">
      <c r="A44" s="1458"/>
      <c r="B44" s="1458"/>
      <c r="C44" s="628"/>
      <c r="D44" s="628"/>
      <c r="E44" s="628"/>
      <c r="F44" s="628"/>
      <c r="G44" s="628"/>
      <c r="H44" s="628"/>
      <c r="I44" s="628"/>
      <c r="J44" s="2237"/>
      <c r="K44" s="2238"/>
      <c r="L44" s="2238"/>
      <c r="M44" s="628"/>
      <c r="N44" s="628"/>
      <c r="O44" s="628"/>
      <c r="P44" s="628"/>
      <c r="Q44" s="628"/>
      <c r="R44" s="628"/>
      <c r="S44" s="2239"/>
      <c r="T44" s="2239"/>
      <c r="U44" s="2239"/>
      <c r="V44" s="2239"/>
    </row>
    <row r="45" spans="1:30" s="1612" customFormat="1">
      <c r="A45" s="1458"/>
      <c r="B45" s="1458"/>
      <c r="C45" s="628"/>
      <c r="D45" s="628"/>
      <c r="E45" s="628"/>
      <c r="F45" s="628"/>
      <c r="G45" s="628"/>
      <c r="H45" s="628"/>
      <c r="I45" s="628"/>
      <c r="J45" s="2237"/>
      <c r="K45" s="2238"/>
      <c r="L45" s="2238"/>
      <c r="M45" s="628"/>
      <c r="N45" s="628"/>
      <c r="O45" s="628"/>
      <c r="P45" s="628"/>
      <c r="Q45" s="628"/>
      <c r="R45" s="628"/>
      <c r="S45" s="2239"/>
      <c r="T45" s="2239"/>
      <c r="U45" s="2239"/>
      <c r="V45" s="2239"/>
    </row>
    <row r="46" spans="1:30" s="1612" customFormat="1">
      <c r="A46" s="1458"/>
      <c r="B46" s="1458"/>
      <c r="C46" s="628"/>
      <c r="D46" s="628"/>
      <c r="E46" s="628"/>
      <c r="F46" s="628"/>
      <c r="G46" s="628"/>
      <c r="H46" s="628"/>
      <c r="I46" s="628"/>
      <c r="J46" s="2237"/>
      <c r="K46" s="2238"/>
      <c r="L46" s="2238"/>
      <c r="M46" s="628"/>
      <c r="N46" s="628"/>
      <c r="O46" s="628"/>
      <c r="P46" s="628"/>
      <c r="Q46" s="628"/>
      <c r="R46" s="628"/>
      <c r="S46" s="2239"/>
      <c r="T46" s="2239"/>
      <c r="U46" s="2239"/>
      <c r="V46" s="2239"/>
    </row>
    <row r="47" spans="1:30" s="1612" customFormat="1">
      <c r="A47" s="1458"/>
      <c r="B47" s="1458"/>
      <c r="C47" s="628"/>
      <c r="D47" s="628"/>
      <c r="E47" s="628"/>
      <c r="F47" s="628"/>
      <c r="G47" s="628"/>
      <c r="H47" s="628"/>
      <c r="I47" s="628"/>
      <c r="J47" s="2237"/>
      <c r="K47" s="2238"/>
      <c r="L47" s="2238"/>
      <c r="M47" s="628"/>
      <c r="N47" s="628"/>
      <c r="O47" s="628"/>
      <c r="P47" s="628"/>
      <c r="Q47" s="628"/>
      <c r="R47" s="628"/>
      <c r="S47" s="2239"/>
      <c r="T47" s="2239"/>
      <c r="U47" s="2239"/>
      <c r="V47" s="2239"/>
    </row>
    <row r="48" spans="1:30" s="1612" customFormat="1">
      <c r="A48" s="1458"/>
      <c r="B48" s="1458"/>
      <c r="C48" s="628"/>
      <c r="D48" s="628"/>
      <c r="E48" s="628"/>
      <c r="F48" s="628"/>
      <c r="G48" s="628"/>
      <c r="H48" s="628"/>
      <c r="I48" s="628"/>
      <c r="J48" s="2237"/>
      <c r="K48" s="2238"/>
      <c r="L48" s="2238"/>
      <c r="M48" s="628"/>
      <c r="N48" s="628"/>
      <c r="O48" s="628"/>
      <c r="P48" s="628"/>
      <c r="Q48" s="628"/>
      <c r="R48" s="628"/>
      <c r="S48" s="2239"/>
      <c r="T48" s="2239"/>
      <c r="U48" s="2239"/>
      <c r="V48" s="2239"/>
    </row>
    <row r="49" spans="1:22" s="1612" customFormat="1">
      <c r="A49" s="1458"/>
      <c r="B49" s="1458"/>
      <c r="C49" s="628"/>
      <c r="D49" s="628"/>
      <c r="E49" s="628"/>
      <c r="F49" s="628"/>
      <c r="G49" s="628"/>
      <c r="H49" s="628"/>
      <c r="I49" s="628"/>
      <c r="J49" s="2237"/>
      <c r="K49" s="2238"/>
      <c r="L49" s="2238"/>
      <c r="M49" s="628"/>
      <c r="N49" s="628"/>
      <c r="O49" s="628"/>
      <c r="P49" s="628"/>
      <c r="Q49" s="628"/>
      <c r="R49" s="628"/>
      <c r="S49" s="2239"/>
      <c r="T49" s="2239"/>
      <c r="U49" s="2239"/>
      <c r="V49" s="2239"/>
    </row>
    <row r="50" spans="1:22" s="1612" customFormat="1">
      <c r="A50" s="1458"/>
      <c r="B50" s="1458"/>
      <c r="C50" s="628"/>
      <c r="D50" s="628"/>
      <c r="E50" s="628"/>
      <c r="F50" s="628"/>
      <c r="G50" s="628"/>
      <c r="H50" s="628"/>
      <c r="I50" s="628"/>
      <c r="J50" s="2237"/>
      <c r="K50" s="2238"/>
      <c r="L50" s="2238"/>
      <c r="M50" s="628"/>
      <c r="N50" s="628"/>
      <c r="O50" s="628"/>
      <c r="P50" s="628"/>
      <c r="Q50" s="628"/>
      <c r="R50" s="628"/>
      <c r="S50" s="2239"/>
      <c r="T50" s="2239"/>
      <c r="U50" s="2239"/>
      <c r="V50" s="2239"/>
    </row>
    <row r="51" spans="1:22" s="1612" customFormat="1">
      <c r="A51" s="1458"/>
      <c r="B51" s="1458"/>
      <c r="C51" s="628"/>
      <c r="D51" s="628"/>
      <c r="E51" s="628"/>
      <c r="F51" s="628"/>
      <c r="G51" s="628"/>
      <c r="H51" s="628"/>
      <c r="I51" s="628"/>
      <c r="J51" s="2237"/>
      <c r="K51" s="2238"/>
      <c r="L51" s="2238"/>
      <c r="M51" s="628"/>
      <c r="N51" s="628"/>
      <c r="O51" s="628"/>
      <c r="P51" s="628"/>
      <c r="Q51" s="628"/>
      <c r="R51" s="628"/>
    </row>
    <row r="52" spans="1:22" s="1612" customFormat="1">
      <c r="A52" s="1458"/>
      <c r="B52" s="1458"/>
      <c r="C52" s="1458"/>
      <c r="D52" s="1458"/>
      <c r="E52" s="1458"/>
      <c r="F52" s="628"/>
      <c r="G52" s="1458"/>
      <c r="H52" s="1458"/>
      <c r="I52" s="1458"/>
      <c r="J52" s="2240"/>
      <c r="K52" s="2238"/>
      <c r="L52" s="2238"/>
      <c r="M52" s="2238"/>
      <c r="N52" s="1458"/>
      <c r="O52" s="1458"/>
      <c r="P52" s="1458"/>
      <c r="Q52" s="1458"/>
      <c r="R52" s="1458"/>
    </row>
    <row r="53" spans="1:22" s="1612" customFormat="1">
      <c r="A53" s="1458"/>
      <c r="B53" s="1458"/>
      <c r="C53" s="1458"/>
      <c r="D53" s="1458"/>
      <c r="E53" s="1458"/>
      <c r="F53" s="628"/>
      <c r="G53" s="1458"/>
      <c r="H53" s="1458"/>
      <c r="I53" s="1458"/>
      <c r="J53" s="2240"/>
      <c r="K53" s="2238"/>
      <c r="L53" s="2238"/>
      <c r="M53" s="2238"/>
      <c r="N53" s="1458"/>
      <c r="O53" s="1458"/>
      <c r="P53" s="1458"/>
      <c r="Q53" s="1458"/>
      <c r="R53" s="1458"/>
    </row>
    <row r="54" spans="1:22" s="1612" customFormat="1">
      <c r="A54" s="1458"/>
      <c r="B54" s="1458"/>
      <c r="C54" s="1458"/>
      <c r="D54" s="1458"/>
      <c r="E54" s="1458"/>
      <c r="F54" s="628"/>
      <c r="G54" s="1458"/>
      <c r="H54" s="1458"/>
      <c r="I54" s="1458"/>
      <c r="J54" s="2240"/>
      <c r="K54" s="2238"/>
      <c r="L54" s="2238"/>
      <c r="M54" s="2238"/>
      <c r="N54" s="1458"/>
      <c r="O54" s="1458"/>
      <c r="P54" s="1458"/>
      <c r="Q54" s="1458"/>
      <c r="R54" s="1458"/>
    </row>
    <row r="55" spans="1:22" s="1612" customFormat="1">
      <c r="A55" s="1458"/>
      <c r="B55" s="1458"/>
      <c r="C55" s="1458"/>
      <c r="D55" s="1458"/>
      <c r="E55" s="1458"/>
      <c r="F55" s="628"/>
      <c r="G55" s="1458"/>
      <c r="H55" s="1458"/>
      <c r="I55" s="1458"/>
      <c r="J55" s="2240"/>
      <c r="K55" s="2238"/>
      <c r="L55" s="2238"/>
      <c r="M55" s="2238"/>
      <c r="N55" s="1458"/>
      <c r="O55" s="1458"/>
      <c r="P55" s="1458"/>
      <c r="Q55" s="1458"/>
      <c r="R55" s="1458"/>
    </row>
    <row r="56" spans="1:22" s="1612" customFormat="1">
      <c r="A56" s="1458"/>
      <c r="B56" s="1458"/>
      <c r="C56" s="1458"/>
      <c r="D56" s="1458"/>
      <c r="E56" s="1458"/>
      <c r="F56" s="628"/>
      <c r="G56" s="1458"/>
      <c r="H56" s="1458"/>
      <c r="I56" s="1458"/>
      <c r="J56" s="2240"/>
      <c r="K56" s="2238"/>
      <c r="L56" s="2238"/>
      <c r="M56" s="2238"/>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5" width="9.875" style="1459" customWidth="1"/>
    <col min="16" max="16" width="9.75" style="1459" customWidth="1"/>
    <col min="17" max="17" width="9.375" style="1459" customWidth="1"/>
    <col min="18" max="18" width="9.25" style="1459" customWidth="1"/>
    <col min="19" max="19" width="10.875" style="1459" customWidth="1"/>
    <col min="20" max="21" width="10.75" style="1459" customWidth="1"/>
    <col min="22" max="22" width="10.875" style="1459" customWidth="1"/>
    <col min="23" max="27" width="10.75" style="1459" customWidth="1"/>
    <col min="28" max="28" width="10.875" style="1459"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2" t="s">
        <v>1067</v>
      </c>
      <c r="AZ2" s="983"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c r="B3" s="11">
        <f>IF(C3="否",G5-AT5,G5)</f>
        <v>154.79</v>
      </c>
      <c r="C3" s="1465" t="s">
        <v>1070</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4"/>
      <c r="AZ3" s="628"/>
      <c r="BA3" s="985"/>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1071</v>
      </c>
      <c r="B5" s="1255"/>
      <c r="C5" s="1255"/>
      <c r="D5" s="1256"/>
      <c r="E5" s="13" t="s">
        <v>0</v>
      </c>
      <c r="F5" s="13">
        <f>SUM(F13:F587)</f>
        <v>0</v>
      </c>
      <c r="G5" s="13">
        <f>SUM(G13:G587)</f>
        <v>154.79</v>
      </c>
      <c r="H5" s="13">
        <f t="shared" ref="H5:AT5" si="0">SUM(H13:H656)</f>
        <v>154.79</v>
      </c>
      <c r="I5" s="13">
        <f t="shared" si="0"/>
        <v>154.79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1071</v>
      </c>
      <c r="AW5" s="1255"/>
      <c r="AX5" s="1255"/>
      <c r="AY5" s="14" t="s">
        <v>2</v>
      </c>
      <c r="AZ5" s="15">
        <f t="shared" ref="AZ5:BT5" si="1">SUM(AZ13:AZ656)</f>
        <v>154.79</v>
      </c>
      <c r="BA5" s="15">
        <f t="shared" si="1"/>
        <v>154.79</v>
      </c>
      <c r="BB5" s="15">
        <f t="shared" si="1"/>
        <v>154.79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1072</v>
      </c>
      <c r="B6" s="1470"/>
      <c r="C6" s="1470"/>
      <c r="D6" s="14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1072</v>
      </c>
      <c r="AW6" s="1470"/>
      <c r="AX6" s="14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7" t="s">
        <v>1073</v>
      </c>
      <c r="B7" s="1457" t="s">
        <v>1074</v>
      </c>
      <c r="C7" s="1457" t="s">
        <v>1075</v>
      </c>
      <c r="D7" s="1457" t="s">
        <v>1076</v>
      </c>
      <c r="E7" s="1457" t="s">
        <v>1077</v>
      </c>
      <c r="F7" s="1457" t="s">
        <v>1078</v>
      </c>
      <c r="G7" s="1474" t="s">
        <v>1079</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1080</v>
      </c>
      <c r="AV7" s="20" t="s">
        <v>1081</v>
      </c>
      <c r="AW7" s="1462" t="s">
        <v>1082</v>
      </c>
      <c r="AX7" s="20" t="s">
        <v>1075</v>
      </c>
      <c r="AY7" s="1255" t="s">
        <v>1083</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1084</v>
      </c>
      <c r="H8" s="1480" t="s">
        <v>1085</v>
      </c>
      <c r="I8" s="1481"/>
      <c r="J8" s="1265"/>
      <c r="K8" s="1265"/>
      <c r="L8" s="1265"/>
      <c r="M8" s="1265"/>
      <c r="N8" s="1265"/>
      <c r="O8" s="1265"/>
      <c r="P8" s="1265"/>
      <c r="Q8" s="1265"/>
      <c r="R8" s="1265"/>
      <c r="S8" s="1265"/>
      <c r="T8" s="1265"/>
      <c r="U8" s="1265"/>
      <c r="V8" s="1482"/>
      <c r="W8" s="1265"/>
      <c r="X8" s="1265"/>
      <c r="Y8" s="1265"/>
      <c r="Z8" s="1265"/>
      <c r="AA8" s="1482"/>
      <c r="AB8" s="1483"/>
      <c r="AC8" s="757" t="s">
        <v>1086</v>
      </c>
      <c r="AD8" s="1484"/>
      <c r="AE8" s="1476"/>
      <c r="AF8" s="1265"/>
      <c r="AG8" s="1265"/>
      <c r="AH8" s="1265"/>
      <c r="AI8" s="1265"/>
      <c r="AJ8" s="1265"/>
      <c r="AK8" s="1265"/>
      <c r="AL8" s="1265"/>
      <c r="AM8" s="1265"/>
      <c r="AN8" s="1265"/>
      <c r="AO8" s="1265"/>
      <c r="AP8" s="1265"/>
      <c r="AQ8" s="1265"/>
      <c r="AR8" s="1265"/>
      <c r="AS8" s="1265"/>
      <c r="AT8" s="1003" t="s">
        <v>1087</v>
      </c>
      <c r="AU8" s="1478" t="s">
        <v>1088</v>
      </c>
      <c r="AV8" s="1003"/>
      <c r="AW8" s="1463"/>
      <c r="AX8" s="1003"/>
      <c r="AY8" s="1462" t="s">
        <v>1089</v>
      </c>
      <c r="AZ8" s="1264" t="s">
        <v>1090</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3"/>
      <c r="H9" s="1486" t="s">
        <v>1091</v>
      </c>
      <c r="I9" s="1487" t="s">
        <v>3416</v>
      </c>
      <c r="J9" s="757"/>
      <c r="K9" s="1487"/>
      <c r="L9" s="757"/>
      <c r="M9" s="1487"/>
      <c r="N9" s="757"/>
      <c r="O9" s="1487"/>
      <c r="P9" s="757"/>
      <c r="Q9" s="1487"/>
      <c r="R9" s="757"/>
      <c r="S9" s="1487"/>
      <c r="T9" s="757"/>
      <c r="U9" s="1487"/>
      <c r="V9" s="757"/>
      <c r="W9" s="1487"/>
      <c r="X9" s="1488"/>
      <c r="Y9" s="1487"/>
      <c r="Z9" s="757"/>
      <c r="AA9" s="1487"/>
      <c r="AB9" s="757"/>
      <c r="AC9" s="1479" t="s">
        <v>1091</v>
      </c>
      <c r="AD9" s="12" t="s">
        <v>1092</v>
      </c>
      <c r="AE9" s="1009"/>
      <c r="AF9" s="12" t="s">
        <v>1093</v>
      </c>
      <c r="AG9" s="1009"/>
      <c r="AH9" s="12" t="s">
        <v>1092</v>
      </c>
      <c r="AI9" s="1009"/>
      <c r="AJ9" s="12" t="s">
        <v>1093</v>
      </c>
      <c r="AK9" s="1009"/>
      <c r="AL9" s="12" t="s">
        <v>1092</v>
      </c>
      <c r="AM9" s="1009"/>
      <c r="AN9" s="12" t="s">
        <v>1093</v>
      </c>
      <c r="AO9" s="1009"/>
      <c r="AP9" s="12" t="s">
        <v>1092</v>
      </c>
      <c r="AQ9" s="1009"/>
      <c r="AR9" s="12" t="s">
        <v>1093</v>
      </c>
      <c r="AS9" s="1489"/>
      <c r="AT9" s="1478"/>
      <c r="AU9" s="1478" t="s">
        <v>1094</v>
      </c>
      <c r="AV9" s="1003"/>
      <c r="AW9" s="1463"/>
      <c r="AX9" s="1003"/>
      <c r="AY9" s="25"/>
      <c r="AZ9" s="25" t="s">
        <v>1084</v>
      </c>
      <c r="BA9" s="1490" t="s">
        <v>1095</v>
      </c>
      <c r="BB9" s="1491"/>
      <c r="BC9" s="1021"/>
      <c r="BD9" s="1021"/>
      <c r="BE9" s="1021"/>
      <c r="BF9" s="1021"/>
      <c r="BG9" s="1021"/>
      <c r="BH9" s="1021"/>
      <c r="BI9" s="1021"/>
      <c r="BJ9" s="1021"/>
      <c r="BK9" s="1492"/>
      <c r="BL9" s="12" t="s">
        <v>1096</v>
      </c>
      <c r="BM9" s="1265"/>
      <c r="BN9" s="1481"/>
      <c r="BO9" s="1265"/>
      <c r="BP9" s="1265"/>
      <c r="BQ9" s="1265"/>
      <c r="BR9" s="1265"/>
      <c r="BS9" s="1265"/>
      <c r="BT9" s="23"/>
    </row>
    <row r="10" spans="1:72" s="1485" customFormat="1" ht="12.75">
      <c r="A10" s="1478"/>
      <c r="B10" s="1478"/>
      <c r="C10" s="1478"/>
      <c r="D10" s="1478"/>
      <c r="E10" s="1478"/>
      <c r="F10" s="1478"/>
      <c r="G10" s="1003"/>
      <c r="H10" s="25"/>
      <c r="I10" s="1487" t="s">
        <v>3401</v>
      </c>
      <c r="J10" s="757"/>
      <c r="K10" s="1493"/>
      <c r="L10" s="757"/>
      <c r="M10" s="1493"/>
      <c r="N10" s="757"/>
      <c r="O10" s="1493"/>
      <c r="P10" s="757"/>
      <c r="Q10" s="1493"/>
      <c r="R10" s="757"/>
      <c r="S10" s="1493"/>
      <c r="T10" s="757"/>
      <c r="U10" s="1493"/>
      <c r="V10" s="757"/>
      <c r="W10" s="1493"/>
      <c r="X10" s="757"/>
      <c r="Y10" s="1493"/>
      <c r="Z10" s="757"/>
      <c r="AA10" s="1493"/>
      <c r="AB10" s="757"/>
      <c r="AC10" s="1003"/>
      <c r="AD10" s="12" t="s">
        <v>1097</v>
      </c>
      <c r="AE10" s="1494"/>
      <c r="AF10" s="12" t="s">
        <v>1097</v>
      </c>
      <c r="AG10" s="1494"/>
      <c r="AH10" s="12" t="s">
        <v>1098</v>
      </c>
      <c r="AI10" s="1494"/>
      <c r="AJ10" s="12" t="s">
        <v>1098</v>
      </c>
      <c r="AK10" s="1494"/>
      <c r="AL10" s="12" t="s">
        <v>1099</v>
      </c>
      <c r="AM10" s="1009"/>
      <c r="AN10" s="12" t="s">
        <v>1099</v>
      </c>
      <c r="AO10" s="1009"/>
      <c r="AP10" s="12" t="s">
        <v>1100</v>
      </c>
      <c r="AQ10" s="1009"/>
      <c r="AR10" s="12" t="s">
        <v>1100</v>
      </c>
      <c r="AS10" s="1009"/>
      <c r="AT10" s="1478"/>
      <c r="AU10" s="1478"/>
      <c r="AV10" s="1003"/>
      <c r="AW10" s="1463"/>
      <c r="AX10" s="1003"/>
      <c r="AY10" s="25"/>
      <c r="AZ10" s="25"/>
      <c r="BA10" s="1495" t="s">
        <v>1091</v>
      </c>
      <c r="BB10" s="1496" t="str">
        <f>I9</f>
        <v>地上</v>
      </c>
      <c r="BC10" s="26">
        <f>K9</f>
        <v>0</v>
      </c>
      <c r="BD10" s="26">
        <f>M9</f>
        <v>0</v>
      </c>
      <c r="BE10" s="26">
        <f>O9</f>
        <v>0</v>
      </c>
      <c r="BF10" s="26">
        <f>Q9</f>
        <v>0</v>
      </c>
      <c r="BG10" s="26">
        <f>S9</f>
        <v>0</v>
      </c>
      <c r="BH10" s="26">
        <f>U9</f>
        <v>0</v>
      </c>
      <c r="BI10" s="26">
        <f>W9</f>
        <v>0</v>
      </c>
      <c r="BJ10" s="26">
        <f>Y9</f>
        <v>0</v>
      </c>
      <c r="BK10" s="26">
        <f>AA9</f>
        <v>0</v>
      </c>
      <c r="BL10" s="22" t="s">
        <v>1091</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3"/>
      <c r="H11" s="1495"/>
      <c r="I11" s="1498" t="s">
        <v>3417</v>
      </c>
      <c r="J11" s="1499"/>
      <c r="K11" s="1498"/>
      <c r="L11" s="1499"/>
      <c r="M11" s="1498"/>
      <c r="N11" s="1499"/>
      <c r="O11" s="1498"/>
      <c r="P11" s="1499"/>
      <c r="Q11" s="1498"/>
      <c r="R11" s="1499"/>
      <c r="S11" s="1498"/>
      <c r="T11" s="1499"/>
      <c r="U11" s="1498"/>
      <c r="V11" s="1499"/>
      <c r="W11" s="1498"/>
      <c r="X11" s="1499"/>
      <c r="Y11" s="1498"/>
      <c r="Z11" s="1499"/>
      <c r="AA11" s="1498"/>
      <c r="AB11" s="1499"/>
      <c r="AC11" s="1003"/>
      <c r="AD11" s="1500" t="s">
        <v>1101</v>
      </c>
      <c r="AE11" s="1266"/>
      <c r="AF11" s="1500" t="s">
        <v>1101</v>
      </c>
      <c r="AG11" s="1266"/>
      <c r="AH11" s="1500" t="s">
        <v>1102</v>
      </c>
      <c r="AI11" s="1501"/>
      <c r="AJ11" s="1500" t="s">
        <v>1102</v>
      </c>
      <c r="AK11" s="1266"/>
      <c r="AL11" s="1264"/>
      <c r="AM11" s="1266"/>
      <c r="AN11" s="1264"/>
      <c r="AO11" s="1266"/>
      <c r="AP11" s="1264"/>
      <c r="AQ11" s="1266"/>
      <c r="AR11" s="1264"/>
      <c r="AS11" s="1266"/>
      <c r="AT11" s="1463"/>
      <c r="AU11" s="1478"/>
      <c r="AV11" s="1003"/>
      <c r="AW11" s="1463"/>
      <c r="AX11" s="1003"/>
      <c r="AY11" s="25"/>
      <c r="AZ11" s="25"/>
      <c r="BA11" s="25"/>
      <c r="BB11" s="1483" t="str">
        <f>I10</f>
        <v>住宅</v>
      </c>
      <c r="BC11" s="1483">
        <f>K10</f>
        <v>0</v>
      </c>
      <c r="BD11" s="1483">
        <f>M10</f>
        <v>0</v>
      </c>
      <c r="BE11" s="1483">
        <f>O10</f>
        <v>0</v>
      </c>
      <c r="BF11" s="1483">
        <f>Q10</f>
        <v>0</v>
      </c>
      <c r="BG11" s="1483">
        <f>S10</f>
        <v>0</v>
      </c>
      <c r="BH11" s="1483">
        <f>U10</f>
        <v>0</v>
      </c>
      <c r="BI11" s="1483">
        <f>W10</f>
        <v>0</v>
      </c>
      <c r="BJ11" s="1483">
        <f>Y10</f>
        <v>0</v>
      </c>
      <c r="BK11" s="1483">
        <f>AA10</f>
        <v>0</v>
      </c>
      <c r="BL11" s="1003"/>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4" t="s">
        <v>1104</v>
      </c>
      <c r="W12" s="8" t="s">
        <v>1103</v>
      </c>
      <c r="X12" s="8" t="s">
        <v>1104</v>
      </c>
      <c r="Y12" s="8" t="s">
        <v>1103</v>
      </c>
      <c r="Z12" s="8" t="s">
        <v>1104</v>
      </c>
      <c r="AA12" s="8" t="s">
        <v>1103</v>
      </c>
      <c r="AB12" s="8" t="s">
        <v>1104</v>
      </c>
      <c r="AC12" s="1505"/>
      <c r="AD12" s="125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3" t="s">
        <v>1104</v>
      </c>
      <c r="AT12" s="1506"/>
      <c r="AU12" s="1503"/>
      <c r="AV12" s="28"/>
      <c r="AW12" s="1462"/>
      <c r="AX12" s="28"/>
      <c r="AY12" s="1507"/>
      <c r="AZ12" s="25"/>
      <c r="BA12" s="1495"/>
      <c r="BB12" s="21" t="str">
        <f>I11</f>
        <v>平层住宅</v>
      </c>
      <c r="BC12" s="1508">
        <f>K11</f>
        <v>0</v>
      </c>
      <c r="BD12" s="1508">
        <f>M11</f>
        <v>0</v>
      </c>
      <c r="BE12" s="1483">
        <f>O11</f>
        <v>0</v>
      </c>
      <c r="BF12" s="1483">
        <f>Q11</f>
        <v>0</v>
      </c>
      <c r="BG12" s="1483">
        <f>S11</f>
        <v>0</v>
      </c>
      <c r="BH12" s="1483">
        <f>U11</f>
        <v>0</v>
      </c>
      <c r="BI12" s="1483">
        <f>W11</f>
        <v>0</v>
      </c>
      <c r="BJ12" s="1483">
        <f>Y11</f>
        <v>0</v>
      </c>
      <c r="BK12" s="1483">
        <f>AA11</f>
        <v>0</v>
      </c>
      <c r="BL12" s="1003"/>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8"/>
      <c r="B13" s="628"/>
      <c r="C13" s="628"/>
      <c r="D13" s="1509" t="s">
        <v>3414</v>
      </c>
      <c r="E13" s="13">
        <f>IF($C$3="是",ROUND($A$3*G13/$B$3,2),ROUND($A$3*(G13-AT13)/$B$3,2))</f>
        <v>0</v>
      </c>
      <c r="F13" s="29"/>
      <c r="G13" s="30">
        <f>H13+AC13+AT13</f>
        <v>154.79</v>
      </c>
      <c r="H13" s="17">
        <f>SUMIF(I$12:AB$12,"总值",I13:AB13)</f>
        <v>154.79</v>
      </c>
      <c r="I13" s="1510">
        <v>154.79</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5"/>
      <c r="AE13" s="985"/>
      <c r="AF13" s="985"/>
      <c r="AG13" s="985"/>
      <c r="AH13" s="985"/>
      <c r="AI13" s="985"/>
      <c r="AJ13" s="985"/>
      <c r="AK13" s="985"/>
      <c r="AL13" s="985"/>
      <c r="AM13" s="985"/>
      <c r="AN13" s="985"/>
      <c r="AO13" s="985"/>
      <c r="AP13" s="985"/>
      <c r="AQ13" s="985"/>
      <c r="AR13" s="985"/>
      <c r="AS13" s="985"/>
      <c r="AT13" s="29"/>
      <c r="AU13" s="1511"/>
      <c r="AV13" s="8">
        <f t="shared" ref="AV13:AX17" si="6">A13</f>
        <v>0</v>
      </c>
      <c r="AW13" s="8">
        <f t="shared" si="6"/>
        <v>0</v>
      </c>
      <c r="AX13" s="8">
        <f t="shared" si="6"/>
        <v>0</v>
      </c>
      <c r="AY13" s="1256">
        <f>ROUND($AY$6*AZ13/$AZ$5,2)</f>
        <v>0</v>
      </c>
      <c r="AZ13" s="13">
        <f>BA13+BL13</f>
        <v>154.79</v>
      </c>
      <c r="BA13" s="13">
        <f>SUM(BB13:BK13)</f>
        <v>154.79</v>
      </c>
      <c r="BB13" s="13">
        <f>IF($D13="是",I13-J13,0)</f>
        <v>154.79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628"/>
      <c r="B14" s="628"/>
      <c r="C14" s="1458"/>
      <c r="D14" s="1509"/>
      <c r="E14" s="13">
        <f>IF($C$3="是",ROUND($A$3*G14/$B$3,2),ROUND($A$3*(G14-AT14)/$B$3,2))</f>
        <v>0</v>
      </c>
      <c r="F14" s="29"/>
      <c r="G14" s="30">
        <f>H14+AC14+AT14</f>
        <v>0</v>
      </c>
      <c r="H14" s="17">
        <f>SUMIF(I$12:AB$12,"总值",I14:AB14)</f>
        <v>0</v>
      </c>
      <c r="I14" s="1510"/>
      <c r="J14" s="1510"/>
      <c r="K14" s="1510"/>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1"/>
      <c r="AV14" s="8">
        <f t="shared" si="6"/>
        <v>0</v>
      </c>
      <c r="AW14" s="8">
        <f t="shared" si="6"/>
        <v>0</v>
      </c>
      <c r="AX14" s="8">
        <f t="shared" si="6"/>
        <v>0</v>
      </c>
      <c r="AY14" s="125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628"/>
      <c r="B15" s="628"/>
      <c r="C15" s="1458"/>
      <c r="D15" s="1509"/>
      <c r="E15" s="13">
        <f>IF($C$3="是",ROUND($A$3*G15/$B$3,2),ROUND($A$3*(G15-AT15)/$B$3,2))</f>
        <v>0</v>
      </c>
      <c r="F15" s="29"/>
      <c r="G15" s="30">
        <f>H15+AC15+AT15</f>
        <v>0</v>
      </c>
      <c r="H15" s="17">
        <f>SUMIF(I$12:AB$12,"总值",I15:AB15)</f>
        <v>0</v>
      </c>
      <c r="I15" s="1510"/>
      <c r="J15" s="1510"/>
      <c r="K15" s="1510"/>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1"/>
      <c r="AV15" s="8">
        <f t="shared" si="6"/>
        <v>0</v>
      </c>
      <c r="AW15" s="8">
        <f t="shared" si="6"/>
        <v>0</v>
      </c>
      <c r="AX15" s="8">
        <f t="shared" si="6"/>
        <v>0</v>
      </c>
      <c r="AY15" s="125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628"/>
      <c r="B16" s="628"/>
      <c r="C16" s="1458"/>
      <c r="D16" s="1509"/>
      <c r="E16" s="13">
        <f>IF($C$3="是",ROUND($A$3*G16/$B$3,2),ROUND($A$3*(G16-AT16)/$B$3,2))</f>
        <v>0</v>
      </c>
      <c r="F16" s="29"/>
      <c r="G16" s="30">
        <f>H16+AC16+AT16</f>
        <v>0</v>
      </c>
      <c r="H16" s="17">
        <f>SUMIF(I$12:AB$12,"总值",I16:AB16)</f>
        <v>0</v>
      </c>
      <c r="I16" s="1510"/>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1"/>
      <c r="AV16" s="8">
        <f t="shared" si="6"/>
        <v>0</v>
      </c>
      <c r="AW16" s="8">
        <f t="shared" si="6"/>
        <v>0</v>
      </c>
      <c r="AX16" s="8">
        <f t="shared" si="6"/>
        <v>0</v>
      </c>
      <c r="AY16" s="125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628"/>
      <c r="B17" s="628"/>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9" sqref="L9"/>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1130</v>
      </c>
      <c r="B1" s="1067"/>
      <c r="C1" s="1067"/>
      <c r="D1" s="1067"/>
      <c r="E1" s="1067"/>
      <c r="F1" s="1067"/>
      <c r="G1" s="1067"/>
      <c r="H1" s="1067"/>
      <c r="I1" s="1067"/>
      <c r="J1" s="1067"/>
      <c r="K1" s="1067"/>
      <c r="L1" s="1067"/>
      <c r="M1" s="1067"/>
      <c r="N1" s="1067"/>
      <c r="O1" s="1067"/>
      <c r="P1" s="1067"/>
    </row>
    <row r="2" spans="1:16" ht="15">
      <c r="A2" s="3246" t="s">
        <v>1131</v>
      </c>
      <c r="B2" s="3246"/>
      <c r="C2" s="3246"/>
      <c r="D2" s="744" t="s">
        <v>1107</v>
      </c>
      <c r="E2" s="1519" t="s">
        <v>1108</v>
      </c>
      <c r="F2" s="2431"/>
      <c r="G2" s="2424"/>
      <c r="H2" s="2425"/>
      <c r="I2" s="2140" t="s">
        <v>1132</v>
      </c>
      <c r="J2" s="2431"/>
      <c r="K2" s="2431"/>
      <c r="L2" s="2431"/>
      <c r="M2" s="2431"/>
      <c r="N2" s="2432"/>
      <c r="O2" s="2431"/>
      <c r="P2" s="2431"/>
    </row>
    <row r="3" spans="1:16" ht="15.75" thickBot="1">
      <c r="A3" s="3247" t="s">
        <v>1105</v>
      </c>
      <c r="B3" s="3247"/>
      <c r="C3" s="3247"/>
      <c r="D3" s="41">
        <f>'数据-基础表'!AY6</f>
        <v>0</v>
      </c>
      <c r="E3" s="41">
        <f>'数据-基础表'!AZ5</f>
        <v>154.79</v>
      </c>
      <c r="F3" s="2431"/>
      <c r="G3" s="42"/>
      <c r="H3" s="43" t="s">
        <v>1106</v>
      </c>
      <c r="I3" s="798" t="e">
        <f>ROUND('数据-基础表'!B3/'数据-基础表'!A3,2)</f>
        <v>#DIV/0!</v>
      </c>
      <c r="J3" s="2431"/>
      <c r="K3" s="2431"/>
      <c r="L3" s="2431"/>
      <c r="M3" s="2431"/>
      <c r="N3" s="2432"/>
      <c r="O3" s="2431"/>
      <c r="P3" s="2431"/>
    </row>
    <row r="4" spans="1:16" ht="15">
      <c r="A4" s="3248"/>
      <c r="B4" s="3249"/>
      <c r="C4" s="3250"/>
      <c r="D4" s="1520" t="s">
        <v>1107</v>
      </c>
      <c r="E4" s="1521" t="s">
        <v>1108</v>
      </c>
      <c r="F4" s="2431"/>
      <c r="G4" s="2426" t="s">
        <v>1133</v>
      </c>
      <c r="H4" s="43" t="s">
        <v>1113</v>
      </c>
      <c r="I4" s="798" t="e">
        <f>ROUND(SUMIF('数据-基础表'!I9:AS9,"地上",'数据-基础表'!I5:AS5)/'数据-基础表'!A3,2)</f>
        <v>#DIV/0!</v>
      </c>
      <c r="J4" s="2431"/>
      <c r="K4" s="2431"/>
      <c r="L4" s="2431"/>
      <c r="M4" s="2431"/>
      <c r="N4" s="2432"/>
      <c r="O4" s="2431"/>
      <c r="P4" s="2431"/>
    </row>
    <row r="5" spans="1:16">
      <c r="A5" s="42" t="s">
        <v>1109</v>
      </c>
      <c r="B5" s="3251" t="s">
        <v>1110</v>
      </c>
      <c r="C5" s="3251"/>
      <c r="D5" s="43">
        <f>ROUND($D$3*E5/$E$3,2)</f>
        <v>0</v>
      </c>
      <c r="E5" s="44">
        <f>SUMIF('数据-基础表'!$11:$11,"住宅",'数据-基础表'!$5:$5)</f>
        <v>154.79</v>
      </c>
      <c r="F5" s="2431"/>
      <c r="G5" s="42"/>
      <c r="H5" s="43" t="s">
        <v>1106</v>
      </c>
      <c r="I5" s="798" t="e">
        <f>ROUND(E31/D31,2)</f>
        <v>#DIV/0!</v>
      </c>
      <c r="J5" s="2431"/>
      <c r="K5" s="2431"/>
      <c r="L5" s="2431"/>
      <c r="M5" s="2431"/>
      <c r="N5" s="2431"/>
      <c r="O5" s="2431"/>
      <c r="P5" s="2431"/>
    </row>
    <row r="6" spans="1:16" ht="15" thickBot="1">
      <c r="A6" s="1523"/>
      <c r="B6" s="3251" t="s">
        <v>1111</v>
      </c>
      <c r="C6" s="3251"/>
      <c r="D6" s="43">
        <f>ROUND($D$3*E6/$E$3,2)</f>
        <v>0</v>
      </c>
      <c r="E6" s="44">
        <f>E3-E5</f>
        <v>0</v>
      </c>
      <c r="F6" s="2431"/>
      <c r="G6" s="1525" t="s">
        <v>1112</v>
      </c>
      <c r="H6" s="45" t="s">
        <v>1113</v>
      </c>
      <c r="I6" s="2427" t="e">
        <f>ROUND(F31/D31,2)</f>
        <v>#DIV/0!</v>
      </c>
      <c r="J6" s="2431"/>
      <c r="K6" s="2431"/>
      <c r="L6" s="2431"/>
      <c r="M6" s="2431"/>
      <c r="N6" s="2431"/>
      <c r="O6" s="2431"/>
      <c r="P6" s="2431"/>
    </row>
    <row r="7" spans="1:16" ht="15.75" thickBot="1">
      <c r="A7" s="3243"/>
      <c r="B7" s="3244"/>
      <c r="C7" s="3245"/>
      <c r="D7" s="1520" t="s">
        <v>1107</v>
      </c>
      <c r="E7" s="1524" t="s">
        <v>1114</v>
      </c>
      <c r="F7" s="2431"/>
      <c r="G7" s="2428" t="s">
        <v>1115</v>
      </c>
      <c r="H7" s="95"/>
      <c r="I7" s="2429"/>
      <c r="J7" s="2431"/>
      <c r="K7" s="2431"/>
      <c r="L7" s="2431"/>
      <c r="M7" s="2431"/>
      <c r="N7" s="2431"/>
      <c r="O7" s="2431"/>
      <c r="P7" s="2431"/>
    </row>
    <row r="8" spans="1:16">
      <c r="A8" s="42" t="s">
        <v>1116</v>
      </c>
      <c r="B8" s="45" t="s">
        <v>1117</v>
      </c>
      <c r="C8" s="43" t="s">
        <v>1118</v>
      </c>
      <c r="D8" s="43">
        <f t="shared" ref="D8:D15" si="0">ROUND($D$3*E8/$E$3,2)</f>
        <v>0</v>
      </c>
      <c r="E8" s="46">
        <f>SUMIF('数据-基础表'!BB10:BK10,"地上",'数据-基础表'!BB5:BK5)</f>
        <v>154.79</v>
      </c>
      <c r="F8" s="2431"/>
      <c r="G8" s="2431"/>
      <c r="H8" s="2431"/>
      <c r="I8" s="2431"/>
      <c r="J8" s="2431"/>
      <c r="K8" s="2431"/>
      <c r="L8" s="2431"/>
      <c r="M8" s="2431"/>
      <c r="N8" s="2431"/>
      <c r="O8" s="2431"/>
      <c r="P8" s="2431"/>
    </row>
    <row r="9" spans="1:16">
      <c r="A9" s="1525"/>
      <c r="B9" s="1526"/>
      <c r="C9" s="43" t="s">
        <v>1119</v>
      </c>
      <c r="D9" s="43">
        <f t="shared" si="0"/>
        <v>0</v>
      </c>
      <c r="E9" s="47">
        <v>0</v>
      </c>
      <c r="F9" s="2431"/>
      <c r="G9" s="2431"/>
      <c r="H9" s="2431"/>
      <c r="I9" s="2431"/>
      <c r="J9" s="2431"/>
      <c r="K9" s="2431"/>
      <c r="L9" s="2431"/>
      <c r="M9" s="2431"/>
      <c r="N9" s="2431"/>
      <c r="O9" s="2431"/>
      <c r="P9" s="2431"/>
    </row>
    <row r="10" spans="1:16">
      <c r="A10" s="1525"/>
      <c r="B10" s="1526"/>
      <c r="C10" s="43" t="s">
        <v>1128</v>
      </c>
      <c r="D10" s="43">
        <f t="shared" si="0"/>
        <v>0</v>
      </c>
      <c r="E10" s="46">
        <f>SUMPRODUCT(('数据-基础表'!BB10:BK10="地下")*('数据-基础表'!BB11:BK11="商业")*('数据-基础表'!BB5:BK5))</f>
        <v>0</v>
      </c>
      <c r="F10" s="2431"/>
      <c r="G10" s="2431"/>
      <c r="H10" s="2431"/>
      <c r="I10" s="2431"/>
      <c r="J10" s="2431"/>
      <c r="K10" s="2431"/>
      <c r="L10" s="2431"/>
      <c r="M10" s="2431"/>
      <c r="N10" s="2431"/>
      <c r="O10" s="2431"/>
      <c r="P10" s="2431"/>
    </row>
    <row r="11" spans="1:16">
      <c r="A11" s="1525"/>
      <c r="B11" s="1526"/>
      <c r="C11" s="43" t="s">
        <v>1120</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5"/>
      <c r="B12" s="1526"/>
      <c r="C12" s="43" t="s">
        <v>1121</v>
      </c>
      <c r="D12" s="43">
        <f t="shared" si="0"/>
        <v>0</v>
      </c>
      <c r="E12" s="46">
        <f>SUMPRODUCT(('数据-基础表'!BB10:BK10="地下")*('数据-基础表'!BB11:BK11="仓储")*('数据-基础表'!BB5:BK5))</f>
        <v>0</v>
      </c>
      <c r="F12" s="2431"/>
      <c r="G12" s="2431"/>
      <c r="H12" s="2431"/>
      <c r="I12" s="2431"/>
      <c r="J12" s="2431"/>
      <c r="K12" s="2431"/>
      <c r="L12" s="2431"/>
      <c r="M12" s="2431"/>
      <c r="N12" s="2431"/>
      <c r="O12" s="2431"/>
      <c r="P12" s="2431"/>
    </row>
    <row r="13" spans="1:16">
      <c r="A13" s="1525"/>
      <c r="B13" s="1526"/>
      <c r="C13" s="43" t="s">
        <v>1122</v>
      </c>
      <c r="D13" s="43">
        <f t="shared" si="0"/>
        <v>0</v>
      </c>
      <c r="E13" s="46">
        <f>SUMPRODUCT(('数据-基础表'!BB10:BK10="地下")*('数据-基础表'!BB11:BK11="车库")*('数据-基础表'!BB5:BK5))</f>
        <v>0</v>
      </c>
      <c r="F13" s="2431"/>
      <c r="G13" s="2431"/>
      <c r="H13" s="2431"/>
      <c r="I13" s="2431"/>
      <c r="J13" s="2431"/>
      <c r="K13" s="2431"/>
      <c r="L13" s="2431"/>
      <c r="M13" s="2431"/>
      <c r="N13" s="2431"/>
      <c r="O13" s="2431"/>
      <c r="P13" s="2431"/>
    </row>
    <row r="14" spans="1:16">
      <c r="A14" s="1525"/>
      <c r="B14" s="1526"/>
      <c r="C14" s="43" t="s">
        <v>1134</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5"/>
      <c r="B15" s="1526"/>
      <c r="C15" s="43" t="s">
        <v>1129</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3"/>
      <c r="B16" s="1526"/>
      <c r="C16" s="45" t="s">
        <v>1123</v>
      </c>
      <c r="D16" s="45">
        <f>SUM(D8:D15)</f>
        <v>0</v>
      </c>
      <c r="E16" s="48">
        <f>SUM(E8:E15)</f>
        <v>154.79</v>
      </c>
      <c r="F16" s="2431"/>
      <c r="G16" s="2431"/>
      <c r="H16" s="1527" t="s">
        <v>1135</v>
      </c>
      <c r="I16" s="1528"/>
      <c r="J16" s="1067"/>
      <c r="K16" s="3240" t="s">
        <v>1135</v>
      </c>
      <c r="L16" s="3241"/>
      <c r="M16" s="3241"/>
      <c r="N16" s="3241"/>
      <c r="O16" s="3241"/>
      <c r="P16" s="3242"/>
    </row>
    <row r="17" spans="1:19" ht="15">
      <c r="A17" s="1529" t="s">
        <v>1136</v>
      </c>
      <c r="B17" s="1530" t="s">
        <v>1137</v>
      </c>
      <c r="C17" s="1531" t="s">
        <v>1138</v>
      </c>
      <c r="D17" s="1532" t="s">
        <v>1126</v>
      </c>
      <c r="E17" s="1533" t="s">
        <v>1127</v>
      </c>
      <c r="F17" s="1534"/>
      <c r="G17" s="1535"/>
      <c r="H17" s="1536" t="s">
        <v>1139</v>
      </c>
      <c r="I17" s="1537" t="s">
        <v>1124</v>
      </c>
      <c r="J17" s="1067"/>
      <c r="K17" s="3237" t="s">
        <v>1140</v>
      </c>
      <c r="L17" s="3238"/>
      <c r="M17" s="3239"/>
      <c r="N17" s="3237" t="s">
        <v>1141</v>
      </c>
      <c r="O17" s="3238"/>
      <c r="P17" s="3239"/>
      <c r="R17" s="765" t="s">
        <v>1142</v>
      </c>
      <c r="S17" s="54"/>
    </row>
    <row r="18" spans="1:19" ht="15">
      <c r="A18" s="1525"/>
      <c r="B18" s="1522"/>
      <c r="C18" s="1538"/>
      <c r="D18" s="1539"/>
      <c r="E18" s="1540" t="s">
        <v>1143</v>
      </c>
      <c r="F18" s="1541" t="s">
        <v>1144</v>
      </c>
      <c r="G18" s="1542" t="s">
        <v>1145</v>
      </c>
      <c r="H18" s="976" t="s">
        <v>1146</v>
      </c>
      <c r="I18" s="1543" t="s">
        <v>1147</v>
      </c>
      <c r="J18" s="1067"/>
      <c r="K18" s="976" t="s">
        <v>1148</v>
      </c>
      <c r="L18" s="1544" t="s">
        <v>1149</v>
      </c>
      <c r="M18" s="798" t="s">
        <v>1150</v>
      </c>
      <c r="N18" s="976" t="s">
        <v>1148</v>
      </c>
      <c r="O18" s="1544" t="s">
        <v>1149</v>
      </c>
      <c r="P18" s="798" t="s">
        <v>1150</v>
      </c>
      <c r="R18" s="43" t="s">
        <v>1151</v>
      </c>
      <c r="S18" s="43" t="s">
        <v>1152</v>
      </c>
    </row>
    <row r="19" spans="1:19">
      <c r="A19" s="1545"/>
      <c r="B19" s="45" t="s">
        <v>1125</v>
      </c>
      <c r="C19" s="3108" t="s">
        <v>3460</v>
      </c>
      <c r="D19" s="43">
        <f>ROUND($D$3*E19/$E$3,2)</f>
        <v>0</v>
      </c>
      <c r="E19" s="51">
        <f t="shared" ref="E19:E26" si="1">SUM(F19:G19)</f>
        <v>154.79</v>
      </c>
      <c r="F19" s="2550">
        <f>'数据-基础表'!I13</f>
        <v>154.79</v>
      </c>
      <c r="G19" s="1239"/>
      <c r="H19" s="637">
        <f>ROUND($D$3*I19/$E$3,2)</f>
        <v>0</v>
      </c>
      <c r="I19" s="46">
        <f t="shared" ref="I19:I26" si="2">IF($I$17="自定义",P19,M19)</f>
        <v>0</v>
      </c>
      <c r="J19" s="1067"/>
      <c r="K19" s="637">
        <f t="shared" ref="K19:K26" si="3">ROUND(E$28*E19/E$27,2)</f>
        <v>0</v>
      </c>
      <c r="L19" s="43">
        <f t="shared" ref="L19:L26" si="4">ROUND(IF(COUNTIF(C19,"*住宅*")&gt;0,E$29*E19/E$32,0),2)</f>
        <v>0</v>
      </c>
      <c r="M19" s="46">
        <f>K19+L19</f>
        <v>0</v>
      </c>
      <c r="N19" s="1546"/>
      <c r="O19" s="1547"/>
      <c r="P19" s="46">
        <f>N19+O19</f>
        <v>0</v>
      </c>
      <c r="R19" s="43">
        <f t="shared" ref="R19:S26" si="5">D19+H19</f>
        <v>0</v>
      </c>
      <c r="S19" s="51">
        <f t="shared" si="5"/>
        <v>154.79</v>
      </c>
    </row>
    <row r="20" spans="1:19">
      <c r="A20" s="1545"/>
      <c r="B20" s="45" t="s">
        <v>1153</v>
      </c>
      <c r="C20" s="3108"/>
      <c r="D20" s="43">
        <f t="shared" ref="D20:D26" si="6">ROUND($D$3*E20/$E$3,2)</f>
        <v>0</v>
      </c>
      <c r="E20" s="51">
        <f t="shared" si="1"/>
        <v>0</v>
      </c>
      <c r="F20" s="2550"/>
      <c r="G20" s="1239">
        <f>'数据-基础表'!M13</f>
        <v>0</v>
      </c>
      <c r="H20" s="637">
        <f t="shared" ref="H20:H26" si="7">ROUND($D$3*I20/$E$3,2)</f>
        <v>0</v>
      </c>
      <c r="I20" s="46">
        <f t="shared" si="2"/>
        <v>0</v>
      </c>
      <c r="J20" s="1067"/>
      <c r="K20" s="637">
        <f t="shared" si="3"/>
        <v>0</v>
      </c>
      <c r="L20" s="43">
        <f t="shared" si="4"/>
        <v>0</v>
      </c>
      <c r="M20" s="46">
        <f t="shared" ref="M20:M26" si="8">K20+L20</f>
        <v>0</v>
      </c>
      <c r="N20" s="1546"/>
      <c r="O20" s="1547"/>
      <c r="P20" s="46">
        <f t="shared" ref="P20:P26" si="9">N20+O20</f>
        <v>0</v>
      </c>
      <c r="R20" s="43">
        <f t="shared" si="5"/>
        <v>0</v>
      </c>
      <c r="S20" s="51">
        <f t="shared" si="5"/>
        <v>0</v>
      </c>
    </row>
    <row r="21" spans="1:19">
      <c r="A21" s="1545"/>
      <c r="B21" s="45" t="s">
        <v>1153</v>
      </c>
      <c r="C21" s="3108"/>
      <c r="D21" s="43">
        <f t="shared" si="6"/>
        <v>0</v>
      </c>
      <c r="E21" s="51">
        <f t="shared" si="1"/>
        <v>0</v>
      </c>
      <c r="F21" s="2550"/>
      <c r="G21" s="1239">
        <f>'数据-基础表'!O13</f>
        <v>0</v>
      </c>
      <c r="H21" s="637">
        <f t="shared" si="7"/>
        <v>0</v>
      </c>
      <c r="I21" s="46">
        <f t="shared" si="2"/>
        <v>0</v>
      </c>
      <c r="J21" s="1067"/>
      <c r="K21" s="637">
        <f t="shared" si="3"/>
        <v>0</v>
      </c>
      <c r="L21" s="43">
        <f t="shared" si="4"/>
        <v>0</v>
      </c>
      <c r="M21" s="46">
        <f t="shared" si="8"/>
        <v>0</v>
      </c>
      <c r="N21" s="1546"/>
      <c r="O21" s="1547"/>
      <c r="P21" s="46">
        <f t="shared" si="9"/>
        <v>0</v>
      </c>
      <c r="R21" s="43">
        <f t="shared" si="5"/>
        <v>0</v>
      </c>
      <c r="S21" s="51">
        <f t="shared" si="5"/>
        <v>0</v>
      </c>
    </row>
    <row r="22" spans="1:19">
      <c r="A22" s="1545"/>
      <c r="B22" s="45" t="s">
        <v>1153</v>
      </c>
      <c r="C22" s="3108"/>
      <c r="D22" s="43">
        <f t="shared" si="6"/>
        <v>0</v>
      </c>
      <c r="E22" s="51">
        <f t="shared" si="1"/>
        <v>0</v>
      </c>
      <c r="F22" s="2551"/>
      <c r="G22" s="2552">
        <f>'数据-基础表'!Q13</f>
        <v>0</v>
      </c>
      <c r="H22" s="637">
        <f t="shared" si="7"/>
        <v>0</v>
      </c>
      <c r="I22" s="46">
        <f t="shared" si="2"/>
        <v>0</v>
      </c>
      <c r="J22" s="1067"/>
      <c r="K22" s="637">
        <f t="shared" si="3"/>
        <v>0</v>
      </c>
      <c r="L22" s="43">
        <f t="shared" si="4"/>
        <v>0</v>
      </c>
      <c r="M22" s="46">
        <f t="shared" si="8"/>
        <v>0</v>
      </c>
      <c r="N22" s="1546"/>
      <c r="O22" s="1547"/>
      <c r="P22" s="46">
        <f t="shared" si="9"/>
        <v>0</v>
      </c>
      <c r="R22" s="43">
        <f t="shared" si="5"/>
        <v>0</v>
      </c>
      <c r="S22" s="51">
        <f t="shared" si="5"/>
        <v>0</v>
      </c>
    </row>
    <row r="23" spans="1:19">
      <c r="A23" s="1545"/>
      <c r="B23" s="45" t="s">
        <v>1153</v>
      </c>
      <c r="C23" s="3108"/>
      <c r="D23" s="43">
        <f>ROUND($D$3*E23/$E$3,2)</f>
        <v>0</v>
      </c>
      <c r="E23" s="51">
        <f>SUM(F23:G23)</f>
        <v>0</v>
      </c>
      <c r="F23" s="2551"/>
      <c r="G23" s="2552">
        <f>'数据-基础表'!S13</f>
        <v>0</v>
      </c>
      <c r="H23" s="637">
        <f>ROUND($D$3*I23/$E$3,2)</f>
        <v>0</v>
      </c>
      <c r="I23" s="46">
        <f t="shared" si="2"/>
        <v>0</v>
      </c>
      <c r="J23" s="1067"/>
      <c r="K23" s="637">
        <f t="shared" si="3"/>
        <v>0</v>
      </c>
      <c r="L23" s="43">
        <f t="shared" si="4"/>
        <v>0</v>
      </c>
      <c r="M23" s="46">
        <f t="shared" si="8"/>
        <v>0</v>
      </c>
      <c r="N23" s="1546"/>
      <c r="O23" s="1547"/>
      <c r="P23" s="46">
        <f t="shared" si="9"/>
        <v>0</v>
      </c>
      <c r="R23" s="43">
        <f t="shared" si="5"/>
        <v>0</v>
      </c>
      <c r="S23" s="51">
        <f t="shared" si="5"/>
        <v>0</v>
      </c>
    </row>
    <row r="24" spans="1:19">
      <c r="A24" s="1545"/>
      <c r="B24" s="45" t="s">
        <v>1153</v>
      </c>
      <c r="C24" s="3108"/>
      <c r="D24" s="43">
        <f>ROUND($D$3*E24/$E$3,2)</f>
        <v>0</v>
      </c>
      <c r="E24" s="51">
        <f>SUM(F24:G24)</f>
        <v>0</v>
      </c>
      <c r="F24" s="2551"/>
      <c r="G24" s="2552">
        <f>'数据-基础表'!K13</f>
        <v>0</v>
      </c>
      <c r="H24" s="637">
        <f>ROUND($D$3*I24/$E$3,2)</f>
        <v>0</v>
      </c>
      <c r="I24" s="46">
        <f t="shared" si="2"/>
        <v>0</v>
      </c>
      <c r="J24" s="1067"/>
      <c r="K24" s="637">
        <f t="shared" si="3"/>
        <v>0</v>
      </c>
      <c r="L24" s="43">
        <f t="shared" si="4"/>
        <v>0</v>
      </c>
      <c r="M24" s="46">
        <f t="shared" si="8"/>
        <v>0</v>
      </c>
      <c r="N24" s="1546"/>
      <c r="O24" s="1547"/>
      <c r="P24" s="46">
        <f t="shared" si="9"/>
        <v>0</v>
      </c>
      <c r="R24" s="43">
        <f t="shared" si="5"/>
        <v>0</v>
      </c>
      <c r="S24" s="51">
        <f t="shared" si="5"/>
        <v>0</v>
      </c>
    </row>
    <row r="25" spans="1:19">
      <c r="A25" s="1545"/>
      <c r="B25" s="45" t="s">
        <v>1153</v>
      </c>
      <c r="C25" s="3108"/>
      <c r="D25" s="43">
        <f t="shared" si="6"/>
        <v>0</v>
      </c>
      <c r="E25" s="51">
        <f t="shared" si="1"/>
        <v>0</v>
      </c>
      <c r="F25" s="2551"/>
      <c r="G25" s="2552"/>
      <c r="H25" s="42">
        <f t="shared" si="7"/>
        <v>0</v>
      </c>
      <c r="I25" s="46">
        <f t="shared" si="2"/>
        <v>0</v>
      </c>
      <c r="J25" s="1067"/>
      <c r="K25" s="637">
        <f t="shared" si="3"/>
        <v>0</v>
      </c>
      <c r="L25" s="43">
        <f t="shared" si="4"/>
        <v>0</v>
      </c>
      <c r="M25" s="46">
        <f t="shared" si="8"/>
        <v>0</v>
      </c>
      <c r="N25" s="1546"/>
      <c r="O25" s="1547"/>
      <c r="P25" s="46">
        <f t="shared" si="9"/>
        <v>0</v>
      </c>
      <c r="R25" s="43">
        <f t="shared" si="5"/>
        <v>0</v>
      </c>
      <c r="S25" s="51">
        <f t="shared" si="5"/>
        <v>0</v>
      </c>
    </row>
    <row r="26" spans="1:19">
      <c r="A26" s="1545"/>
      <c r="B26" s="45" t="s">
        <v>1153</v>
      </c>
      <c r="C26" s="53"/>
      <c r="D26" s="43">
        <f t="shared" si="6"/>
        <v>0</v>
      </c>
      <c r="E26" s="51">
        <f t="shared" si="1"/>
        <v>0</v>
      </c>
      <c r="F26" s="2551"/>
      <c r="G26" s="2552"/>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15.75" thickBot="1">
      <c r="A27" s="1545"/>
      <c r="B27" s="43"/>
      <c r="C27" s="1550" t="s">
        <v>1154</v>
      </c>
      <c r="D27" s="1068">
        <f>SUM(D19:D26)</f>
        <v>0</v>
      </c>
      <c r="E27" s="1069">
        <f>IF(SUM(E19:E26)='数据-基础表'!BA5,SUM(E19:E26),IF(F27="地上面积有误","面积有误","地下面积有误"))</f>
        <v>154.79</v>
      </c>
      <c r="F27" s="1068">
        <f>IF(SUM(F19:F26)=E8,SUM(F19:F26),"地上面积有误")</f>
        <v>154.79</v>
      </c>
      <c r="G27" s="1070">
        <f>SUM(G19:G26)</f>
        <v>0</v>
      </c>
      <c r="H27" s="1071">
        <f>SUM(H19:H26)</f>
        <v>0</v>
      </c>
      <c r="I27" s="1072">
        <f>SUM(I19:I26)</f>
        <v>0</v>
      </c>
      <c r="J27" s="1067"/>
      <c r="K27" s="1073">
        <f>SUM(K19:K26)</f>
        <v>0</v>
      </c>
      <c r="L27" s="781">
        <f>SUM(L19:L26)</f>
        <v>0</v>
      </c>
      <c r="M27" s="1074">
        <f>SUM(M19:M26)</f>
        <v>0</v>
      </c>
      <c r="N27" s="1073">
        <f t="shared" ref="N27:O27" si="10">SUM(N19:N26)</f>
        <v>0</v>
      </c>
      <c r="O27" s="781">
        <f t="shared" si="10"/>
        <v>0</v>
      </c>
      <c r="P27" s="94">
        <f>SUM(P19:P26)</f>
        <v>0</v>
      </c>
      <c r="R27" s="964">
        <f>IF(SUM(R19:R26)=$D$3,SUM(R19:R26),SUM(R19:R26)&amp;"误差"&amp;ROUND(SUM(R19:R26)-$D$3,2))</f>
        <v>0</v>
      </c>
      <c r="S27" s="43">
        <f>IF(SUM(S19:S26)=$E$3,SUM(S19:S26),SUM(S19:S26)&amp;"误差"&amp;ROUND(SUM(S19:S26)-E3,2))</f>
        <v>154.79</v>
      </c>
    </row>
    <row r="28" spans="1:19">
      <c r="A28" s="1545"/>
      <c r="B28" s="45" t="s">
        <v>1155</v>
      </c>
      <c r="C28" s="54" t="s">
        <v>1156</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c r="A29" s="1545"/>
      <c r="B29" s="45" t="s">
        <v>1155</v>
      </c>
      <c r="C29" s="1551" t="s">
        <v>1157</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5">
      <c r="A30" s="1545"/>
      <c r="B30" s="45"/>
      <c r="C30" s="1552" t="s">
        <v>1154</v>
      </c>
      <c r="D30" s="1068">
        <f>SUM(D28:D29)</f>
        <v>0</v>
      </c>
      <c r="E30" s="1068">
        <f>SUM(E28:E29)</f>
        <v>0</v>
      </c>
      <c r="F30" s="1068">
        <f>SUM(F28:F29)</f>
        <v>0</v>
      </c>
      <c r="G30" s="1070">
        <f>SUM(G28:G29)</f>
        <v>0</v>
      </c>
      <c r="H30" s="2431"/>
      <c r="I30" s="2431"/>
      <c r="J30" s="2431"/>
      <c r="K30" s="2431"/>
      <c r="L30" s="2431"/>
      <c r="M30" s="2431"/>
      <c r="N30" s="2431"/>
      <c r="O30" s="2431"/>
      <c r="P30" s="2431"/>
    </row>
    <row r="31" spans="1:19" ht="15.75" thickBot="1">
      <c r="A31" s="1553"/>
      <c r="B31" s="96"/>
      <c r="C31" s="781" t="s">
        <v>1158</v>
      </c>
      <c r="D31" s="643">
        <f>D27+D30</f>
        <v>0</v>
      </c>
      <c r="E31" s="643">
        <f>E27+E30</f>
        <v>154.79</v>
      </c>
      <c r="F31" s="644">
        <f>F27+F30</f>
        <v>154.79</v>
      </c>
      <c r="G31" s="645">
        <f>G27+G30</f>
        <v>0</v>
      </c>
      <c r="H31" s="2431"/>
      <c r="I31" s="2431"/>
      <c r="J31" s="2431"/>
      <c r="K31" s="2431"/>
      <c r="L31" s="2431"/>
      <c r="M31" s="2431"/>
      <c r="N31" s="2431"/>
      <c r="O31" s="2431"/>
      <c r="P31" s="2431"/>
    </row>
    <row r="32" spans="1:19">
      <c r="A32" s="1522"/>
      <c r="B32" s="1522" t="s">
        <v>1159</v>
      </c>
      <c r="C32" s="1522"/>
      <c r="D32" s="1522"/>
      <c r="E32" s="986">
        <f>SUMIF(C19:C26,"*住宅*",E19:E26)</f>
        <v>154.79</v>
      </c>
      <c r="F32" s="1522"/>
      <c r="G32" s="1522"/>
      <c r="H32" s="2431"/>
      <c r="I32" s="2431"/>
      <c r="J32" s="2431"/>
      <c r="K32" s="2431"/>
      <c r="L32" s="2431"/>
      <c r="M32" s="2431"/>
      <c r="N32" s="2431"/>
      <c r="O32" s="2431"/>
      <c r="P32" s="2431"/>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7.5" style="1557" customWidth="1"/>
    <col min="22" max="22" width="6.375" style="1557" customWidth="1"/>
    <col min="23" max="30" width="6.75" style="1557" customWidth="1"/>
    <col min="31" max="31" width="8" style="1557" customWidth="1"/>
    <col min="32" max="33" width="7.25" style="1557" customWidth="1"/>
    <col min="34" max="34" width="11.25" style="1557" customWidth="1"/>
    <col min="35" max="39" width="8" style="1557" customWidth="1"/>
    <col min="40" max="40" width="13.75" style="122"/>
    <col min="41" max="41" width="11.625" style="122" customWidth="1"/>
    <col min="42" max="42" width="9.75" style="122" customWidth="1"/>
    <col min="43" max="67" width="13.75" style="122"/>
    <col min="68" max="16384" width="13.75" style="1557"/>
  </cols>
  <sheetData>
    <row r="1" spans="1:67" ht="19.5" thickBot="1">
      <c r="A1" s="1555" t="s">
        <v>1160</v>
      </c>
      <c r="B1" s="646"/>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7" customFormat="1" ht="15.75" thickBot="1">
      <c r="A2" s="1558" t="s">
        <v>1161</v>
      </c>
      <c r="B2" s="980">
        <f>项目基本情况!D3</f>
        <v>45940</v>
      </c>
      <c r="C2" s="1067"/>
      <c r="D2" s="1559"/>
      <c r="E2" s="1067"/>
      <c r="F2" s="1067"/>
      <c r="G2" s="1067"/>
      <c r="H2" s="1067"/>
      <c r="I2" s="1067"/>
      <c r="J2" s="1067"/>
      <c r="K2" s="859"/>
      <c r="L2" s="859"/>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1"/>
      <c r="AO2" s="2431"/>
      <c r="AP2" s="2431"/>
      <c r="AQ2" s="2431"/>
      <c r="AR2" s="2431"/>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7"/>
      <c r="D3" s="1559"/>
      <c r="E3" s="1067"/>
      <c r="F3" s="1067"/>
      <c r="G3" s="1067"/>
      <c r="H3" s="1067"/>
      <c r="I3" s="1067"/>
      <c r="J3" s="1067"/>
      <c r="K3" s="859"/>
      <c r="L3" s="859"/>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1"/>
      <c r="AO3" s="2431"/>
      <c r="AP3" s="2431"/>
      <c r="AQ3" s="2431"/>
      <c r="AR3" s="2431"/>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1162</v>
      </c>
      <c r="B4" s="1560"/>
      <c r="C4" s="1561"/>
      <c r="D4" s="1562"/>
      <c r="E4" s="1561" t="s">
        <v>1163</v>
      </c>
      <c r="F4" s="1561"/>
      <c r="G4" s="1561"/>
      <c r="H4" s="1561"/>
      <c r="I4" s="1561"/>
      <c r="J4" s="1563"/>
      <c r="K4" s="1564"/>
      <c r="L4" s="1565"/>
      <c r="M4" s="1561"/>
      <c r="N4" s="1561" t="s">
        <v>1164</v>
      </c>
      <c r="O4" s="1561"/>
      <c r="P4" s="1561"/>
      <c r="Q4" s="1561"/>
      <c r="R4" s="1561"/>
      <c r="S4" s="1563"/>
      <c r="T4" s="2430" t="str">
        <f>'数据-汇总表'!I17</f>
        <v>按面积比例</v>
      </c>
      <c r="U4" s="1560" t="s">
        <v>1165</v>
      </c>
      <c r="V4" s="1561"/>
      <c r="W4" s="1561"/>
      <c r="X4" s="1561"/>
      <c r="Y4" s="1563"/>
      <c r="Z4" s="1531" t="s">
        <v>1166</v>
      </c>
      <c r="AA4" s="1531"/>
      <c r="AB4" s="1531"/>
      <c r="AC4" s="1531"/>
      <c r="AD4" s="1531"/>
      <c r="AE4" s="1529" t="s">
        <v>1167</v>
      </c>
      <c r="AF4" s="1531"/>
      <c r="AG4" s="1566"/>
      <c r="AH4" s="1560"/>
      <c r="AI4" s="1561"/>
      <c r="AJ4" s="1561"/>
      <c r="AK4" s="1561"/>
      <c r="AL4" s="1561"/>
      <c r="AM4" s="1563"/>
      <c r="AN4" s="2431"/>
      <c r="AO4" s="2431"/>
      <c r="AP4" s="2431"/>
      <c r="AQ4" s="2431"/>
      <c r="AR4" s="2431"/>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0.5">
      <c r="A5" s="1567" t="s">
        <v>1168</v>
      </c>
      <c r="B5" s="1568" t="s">
        <v>1169</v>
      </c>
      <c r="C5" s="1569" t="s">
        <v>1170</v>
      </c>
      <c r="D5" s="1570" t="s">
        <v>1171</v>
      </c>
      <c r="E5" s="504" t="s">
        <v>1172</v>
      </c>
      <c r="F5" s="1571" t="s">
        <v>1173</v>
      </c>
      <c r="G5" s="504" t="s">
        <v>1174</v>
      </c>
      <c r="H5" s="504" t="s">
        <v>1175</v>
      </c>
      <c r="I5" s="504" t="s">
        <v>1176</v>
      </c>
      <c r="J5" s="1243" t="s">
        <v>1177</v>
      </c>
      <c r="K5" s="1572" t="s">
        <v>1178</v>
      </c>
      <c r="L5" s="1573" t="s">
        <v>1179</v>
      </c>
      <c r="M5" s="1574" t="s">
        <v>1180</v>
      </c>
      <c r="N5" s="1575" t="s">
        <v>3432</v>
      </c>
      <c r="O5" s="1573" t="s">
        <v>1181</v>
      </c>
      <c r="P5" s="1576" t="s">
        <v>1182</v>
      </c>
      <c r="Q5" s="58" t="s">
        <v>1183</v>
      </c>
      <c r="R5" s="1577" t="s">
        <v>1184</v>
      </c>
      <c r="S5" s="1578" t="s">
        <v>1185</v>
      </c>
      <c r="T5" s="1579" t="s">
        <v>1186</v>
      </c>
      <c r="U5" s="981" t="s">
        <v>1187</v>
      </c>
      <c r="V5" s="504" t="s">
        <v>1188</v>
      </c>
      <c r="W5" s="504" t="s">
        <v>1189</v>
      </c>
      <c r="X5" s="60"/>
      <c r="Y5" s="59" t="s">
        <v>1190</v>
      </c>
      <c r="Z5" s="1097" t="s">
        <v>1187</v>
      </c>
      <c r="AA5" s="504" t="s">
        <v>1188</v>
      </c>
      <c r="AB5" s="504" t="s">
        <v>1189</v>
      </c>
      <c r="AC5" s="60"/>
      <c r="AD5" s="60" t="s">
        <v>1190</v>
      </c>
      <c r="AE5" s="981" t="s">
        <v>1191</v>
      </c>
      <c r="AF5" s="504" t="s">
        <v>1192</v>
      </c>
      <c r="AG5" s="59" t="s">
        <v>1193</v>
      </c>
      <c r="AH5" s="981" t="s">
        <v>1194</v>
      </c>
      <c r="AI5" s="1097" t="s">
        <v>1195</v>
      </c>
      <c r="AJ5" s="1097" t="s">
        <v>1196</v>
      </c>
      <c r="AK5" s="504" t="s">
        <v>1197</v>
      </c>
      <c r="AL5" s="504" t="s">
        <v>1198</v>
      </c>
      <c r="AM5" s="59" t="s">
        <v>1199</v>
      </c>
      <c r="AN5" s="1580" t="s">
        <v>1200</v>
      </c>
      <c r="AO5" s="1450" t="s">
        <v>1201</v>
      </c>
      <c r="AP5" s="964" t="s">
        <v>1202</v>
      </c>
      <c r="AQ5" s="1581" t="s">
        <v>1203</v>
      </c>
      <c r="AR5" s="1581"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4.25">
      <c r="A6" s="1582" t="str">
        <f>'数据-汇总表'!C19</f>
        <v>住宅</v>
      </c>
      <c r="B6" s="1583" t="str">
        <f>IF(A6=0,"","经营性")</f>
        <v>经营性</v>
      </c>
      <c r="C6" s="1584" t="s">
        <v>3401</v>
      </c>
      <c r="D6" s="801">
        <f>SUMIF(项目基本情况!C$12:I$12,C6,项目基本情况!C$14:I$14)</f>
        <v>70</v>
      </c>
      <c r="E6" s="800">
        <f>IF(B6="","",SUMIF(项目基本情况!C$12:I$12,C6,项目基本情况!C$13:I$13))</f>
        <v>71506</v>
      </c>
      <c r="F6" s="61">
        <f>SUMIF(项目基本情况!C$12:I$12,C6,项目基本情况!C$15:I$15)</f>
        <v>70</v>
      </c>
      <c r="G6" s="62">
        <f>IF(ISERROR(ROUND(POWER(1+H6,D6-F6)*(POWER(1+H6,F6)-1)/(POWER(1+H6,D6)-1),3)),0,ROUND(POWER(1+H6,D6-F6)*(POWER(1+H6,F6)-1)/(POWER(1+H6,D6)-1),3))</f>
        <v>1</v>
      </c>
      <c r="H6" s="691">
        <v>0.01</v>
      </c>
      <c r="I6" s="691">
        <v>0.02</v>
      </c>
      <c r="J6" s="63">
        <v>0.05</v>
      </c>
      <c r="K6" s="966">
        <f>SUMIF('数据-汇总表'!C$19:C$33,A6,'数据-汇总表'!E$19:E$33)</f>
        <v>154.79</v>
      </c>
      <c r="L6" s="692">
        <v>1500</v>
      </c>
      <c r="M6" s="64">
        <f t="shared" ref="M6:M14" si="0">ROUND(K6*L6/10000,0)</f>
        <v>23</v>
      </c>
      <c r="N6" s="690">
        <f>N22</f>
        <v>0.75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88">
        <f>ROUND($L$14*S6/10000,0)</f>
        <v>0</v>
      </c>
      <c r="U6" s="3505">
        <v>1700</v>
      </c>
      <c r="V6" s="67">
        <v>0.01</v>
      </c>
      <c r="W6" s="67">
        <v>0.1</v>
      </c>
      <c r="X6" s="975"/>
      <c r="Y6" s="68">
        <f>N6</f>
        <v>0.75</v>
      </c>
      <c r="Z6" s="69"/>
      <c r="AA6" s="63"/>
      <c r="AB6" s="63"/>
      <c r="AC6" s="975"/>
      <c r="AD6" s="70"/>
      <c r="AE6" s="976">
        <f ca="1">IF(AN6="",0,SUMIF(INDIRECT("'"&amp;AN6&amp;"'"&amp;"!E:E"),$AE$5,INDIRECT("'"&amp;AN6&amp;"'"&amp;"!F:F")))</f>
        <v>70</v>
      </c>
      <c r="AF6" s="74"/>
      <c r="AG6" s="130">
        <f>IF(AF6="",0,AE6-AF6)</f>
        <v>0</v>
      </c>
      <c r="AH6" s="71">
        <v>1</v>
      </c>
      <c r="AI6" s="73">
        <v>12</v>
      </c>
      <c r="AJ6" s="74"/>
      <c r="AK6" s="75">
        <v>2E-3</v>
      </c>
      <c r="AL6" s="76">
        <v>1E-3</v>
      </c>
      <c r="AM6" s="77">
        <v>0.01</v>
      </c>
      <c r="AN6" s="1585" t="s">
        <v>3461</v>
      </c>
      <c r="AO6" s="50">
        <f ca="1">SUMIF(INDIRECT("'"&amp;AN6&amp;"'"&amp;"!A:A"),"总价",INDIRECT("'"&amp;AN6&amp;"'"&amp;"!B:B"))</f>
        <v>70.682299999999998</v>
      </c>
      <c r="AP6" s="1586">
        <f>IF(C6="住宅",K6*L6,0)</f>
        <v>232185</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f>'数据-汇总表'!C20</f>
        <v>0</v>
      </c>
      <c r="B7" s="1583" t="str">
        <f t="shared" ref="B7:B13" si="1">IF(A7=0,"","经营性")</f>
        <v/>
      </c>
      <c r="C7" s="1584"/>
      <c r="D7" s="801">
        <f>SUMIF(项目基本情况!C$12:I$12,C7,项目基本情况!C$14:I$14)</f>
        <v>0</v>
      </c>
      <c r="E7" s="800"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3"/>
      <c r="I7" s="63"/>
      <c r="J7" s="63"/>
      <c r="K7" s="966">
        <f>SUMIF('数据-汇总表'!C$19:C$33,A7,'数据-汇总表'!E$19:E$33)</f>
        <v>0</v>
      </c>
      <c r="L7" s="690"/>
      <c r="M7" s="64">
        <f t="shared" si="0"/>
        <v>0</v>
      </c>
      <c r="N7" s="690"/>
      <c r="O7" s="64" t="str">
        <f t="shared" ref="O7:O14" si="3">IF($N$5="成新度","——",ROUND(M7*N7,0))</f>
        <v>——</v>
      </c>
      <c r="P7" s="65" t="str">
        <f t="shared" ref="P7:P14" si="4">IF($N$5="成新度","——",M7-O7)</f>
        <v>——</v>
      </c>
      <c r="Q7" s="78"/>
      <c r="R7" s="66">
        <f ca="1">SUMIF('数据-汇总表'!C$19:C$33,A7,'数据-汇总表'!R$19:R$27)</f>
        <v>0</v>
      </c>
      <c r="S7" s="49">
        <f>IF('数据-汇总表'!$I$17="按面积比例",SUMIF('数据-汇总表'!C$19:C$33,A7,'数据-汇总表'!K$19:K$33),SUMIF('数据-汇总表'!C$19:C$33,A7,'数据-汇总表'!N$19:N$33))</f>
        <v>0</v>
      </c>
      <c r="T7" s="1088">
        <f t="shared" ref="T7:T13" si="5">ROUND($L$14*S7/10000,0)</f>
        <v>0</v>
      </c>
      <c r="U7" s="3118"/>
      <c r="V7" s="63"/>
      <c r="W7" s="63"/>
      <c r="X7" s="975"/>
      <c r="Y7" s="3118"/>
      <c r="Z7" s="63"/>
      <c r="AA7" s="63"/>
      <c r="AB7" s="63"/>
      <c r="AC7" s="975"/>
      <c r="AD7" s="70"/>
      <c r="AE7" s="976">
        <f t="shared" ref="AE7:AE13" ca="1" si="6">IF(AN7="",0,SUMIF(INDIRECT("'"&amp;AN7&amp;"'"&amp;"!E:E"),$AE$5,INDIRECT("'"&amp;AN7&amp;"'"&amp;"!F:F")))</f>
        <v>0</v>
      </c>
      <c r="AF7" s="74"/>
      <c r="AG7" s="130">
        <f t="shared" ref="AG7:AG13" si="7">IF(AF7="",0,AE7-AF7)</f>
        <v>0</v>
      </c>
      <c r="AH7" s="71"/>
      <c r="AI7" s="73"/>
      <c r="AJ7" s="74"/>
      <c r="AK7" s="75"/>
      <c r="AL7" s="76"/>
      <c r="AM7" s="77"/>
      <c r="AN7" s="1585"/>
      <c r="AO7" s="50" t="e">
        <f t="shared" ref="AO7:AO13" ca="1" si="8">SUMIF(INDIRECT("'"&amp;AN7&amp;"'"&amp;"!A:A"),"总价",INDIRECT("'"&amp;AN7&amp;"'"&amp;"!B:B"))</f>
        <v>#REF!</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f>'数据-汇总表'!C21</f>
        <v>0</v>
      </c>
      <c r="B8" s="1583" t="str">
        <f t="shared" si="1"/>
        <v/>
      </c>
      <c r="C8" s="1584"/>
      <c r="D8" s="801">
        <f>SUMIF(项目基本情况!C$12:I$12,C8,项目基本情况!C$14:I$14)</f>
        <v>0</v>
      </c>
      <c r="E8" s="800" t="str">
        <f>IF(B8="","",SUMIF(项目基本情况!C$12:I$12,C8,项目基本情况!C$13:I$13))</f>
        <v/>
      </c>
      <c r="F8" s="61">
        <f>SUMIF(项目基本情况!C$12:I$12,C8,项目基本情况!C$15:I$15)</f>
        <v>0</v>
      </c>
      <c r="G8" s="62">
        <f t="shared" si="2"/>
        <v>0</v>
      </c>
      <c r="H8" s="63"/>
      <c r="I8" s="63"/>
      <c r="J8" s="63"/>
      <c r="K8" s="966">
        <f>SUMIF('数据-汇总表'!C$19:C$33,A8,'数据-汇总表'!E$19:E$33)</f>
        <v>0</v>
      </c>
      <c r="L8" s="690"/>
      <c r="M8" s="64">
        <f>ROUND(K8*L8/10000,0)</f>
        <v>0</v>
      </c>
      <c r="N8" s="690"/>
      <c r="O8" s="64" t="str">
        <f t="shared" si="3"/>
        <v>——</v>
      </c>
      <c r="P8" s="65" t="str">
        <f t="shared" si="4"/>
        <v>——</v>
      </c>
      <c r="Q8" s="78"/>
      <c r="R8" s="66">
        <f ca="1">SUMIF('数据-汇总表'!C$19:C$33,A8,'数据-汇总表'!R$19:R$27)</f>
        <v>0</v>
      </c>
      <c r="S8" s="49">
        <f>IF('数据-汇总表'!$I$17="按面积比例",SUMIF('数据-汇总表'!C$19:C$33,A8,'数据-汇总表'!K$19:K$33),SUMIF('数据-汇总表'!C$19:C$33,A8,'数据-汇总表'!N$19:N$33))</f>
        <v>0</v>
      </c>
      <c r="T8" s="1088">
        <f t="shared" si="5"/>
        <v>0</v>
      </c>
      <c r="U8" s="3118"/>
      <c r="V8" s="63"/>
      <c r="W8" s="63"/>
      <c r="X8" s="975"/>
      <c r="Y8" s="3118"/>
      <c r="Z8" s="63"/>
      <c r="AA8" s="63"/>
      <c r="AB8" s="63"/>
      <c r="AC8" s="975"/>
      <c r="AD8" s="70"/>
      <c r="AE8" s="976">
        <f t="shared" ca="1" si="6"/>
        <v>0</v>
      </c>
      <c r="AF8" s="74"/>
      <c r="AG8" s="130">
        <f t="shared" si="7"/>
        <v>0</v>
      </c>
      <c r="AH8" s="71"/>
      <c r="AI8" s="73"/>
      <c r="AJ8" s="74"/>
      <c r="AK8" s="75"/>
      <c r="AL8" s="76"/>
      <c r="AM8" s="77"/>
      <c r="AN8" s="1585"/>
      <c r="AO8" s="50" t="e">
        <f t="shared" ca="1" si="8"/>
        <v>#REF!</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f>'数据-汇总表'!C22</f>
        <v>0</v>
      </c>
      <c r="B9" s="1583" t="str">
        <f t="shared" si="1"/>
        <v/>
      </c>
      <c r="C9" s="1584"/>
      <c r="D9" s="801">
        <f>SUMIF(项目基本情况!C$12:I$12,C9,项目基本情况!C$14:I$14)</f>
        <v>0</v>
      </c>
      <c r="E9" s="800" t="str">
        <f>IF(B9="","",SUMIF(项目基本情况!C$12:I$12,C9,项目基本情况!C$13:I$13))</f>
        <v/>
      </c>
      <c r="F9" s="61">
        <f>SUMIF(项目基本情况!C$12:I$12,C9,项目基本情况!C$15:I$15)</f>
        <v>0</v>
      </c>
      <c r="G9" s="62">
        <f t="shared" si="2"/>
        <v>0</v>
      </c>
      <c r="H9" s="63"/>
      <c r="I9" s="63"/>
      <c r="J9" s="63"/>
      <c r="K9" s="966">
        <f>SUMIF('数据-汇总表'!C$19:C$33,A9,'数据-汇总表'!E$19:E$33)</f>
        <v>0</v>
      </c>
      <c r="L9" s="79"/>
      <c r="M9" s="64">
        <f>ROUND(K9*L9/10000,0)</f>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8">
        <f t="shared" si="5"/>
        <v>0</v>
      </c>
      <c r="U9" s="3118"/>
      <c r="V9" s="63"/>
      <c r="W9" s="63"/>
      <c r="X9" s="975"/>
      <c r="Y9" s="3118"/>
      <c r="Z9" s="63"/>
      <c r="AA9" s="63"/>
      <c r="AB9" s="63"/>
      <c r="AC9" s="975"/>
      <c r="AD9" s="70"/>
      <c r="AE9" s="976">
        <f t="shared" ca="1" si="6"/>
        <v>0</v>
      </c>
      <c r="AF9" s="74"/>
      <c r="AG9" s="130">
        <f t="shared" si="7"/>
        <v>0</v>
      </c>
      <c r="AH9" s="71"/>
      <c r="AI9" s="73"/>
      <c r="AJ9" s="74"/>
      <c r="AK9" s="75"/>
      <c r="AL9" s="76"/>
      <c r="AM9" s="77"/>
      <c r="AN9" s="1585"/>
      <c r="AO9" s="50" t="e">
        <f t="shared" ca="1" si="8"/>
        <v>#REF!</v>
      </c>
      <c r="AP9" s="1586">
        <f>IF(C9="住宅",K9*#REF!,0)</f>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c r="A10" s="1582">
        <f>'数据-汇总表'!C23</f>
        <v>0</v>
      </c>
      <c r="B10" s="1583" t="str">
        <f t="shared" si="1"/>
        <v/>
      </c>
      <c r="C10" s="1584"/>
      <c r="D10" s="801">
        <f>SUMIF(项目基本情况!C$12:I$12,C10,项目基本情况!C$14:I$14)</f>
        <v>0</v>
      </c>
      <c r="E10" s="800"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90"/>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18"/>
      <c r="V10" s="63"/>
      <c r="W10" s="63"/>
      <c r="X10" s="975"/>
      <c r="Y10" s="3118"/>
      <c r="Z10" s="63"/>
      <c r="AA10" s="63"/>
      <c r="AB10" s="63"/>
      <c r="AC10" s="975"/>
      <c r="AD10" s="70"/>
      <c r="AE10" s="976">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c r="A11" s="1582">
        <f>'数据-汇总表'!C24</f>
        <v>0</v>
      </c>
      <c r="B11" s="1583" t="str">
        <f t="shared" si="1"/>
        <v/>
      </c>
      <c r="C11" s="1584"/>
      <c r="D11" s="801">
        <f>SUMIF(项目基本情况!C$12:I$12,C11,项目基本情况!C$14:I$14)</f>
        <v>0</v>
      </c>
      <c r="E11" s="800"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690"/>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18"/>
      <c r="V11" s="63"/>
      <c r="W11" s="63"/>
      <c r="X11" s="975"/>
      <c r="Y11" s="3118"/>
      <c r="Z11" s="63"/>
      <c r="AA11" s="63"/>
      <c r="AB11" s="63"/>
      <c r="AC11" s="975"/>
      <c r="AD11" s="70"/>
      <c r="AE11" s="976">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c r="A12" s="1582">
        <f>'数据-汇总表'!C25</f>
        <v>0</v>
      </c>
      <c r="B12" s="1583" t="str">
        <f t="shared" si="1"/>
        <v/>
      </c>
      <c r="C12" s="1584"/>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18"/>
      <c r="V12" s="63"/>
      <c r="W12" s="63"/>
      <c r="X12" s="975"/>
      <c r="Y12" s="68"/>
      <c r="Z12" s="81"/>
      <c r="AA12" s="63"/>
      <c r="AB12" s="63"/>
      <c r="AC12" s="975"/>
      <c r="AD12" s="70"/>
      <c r="AE12" s="976">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c r="A13" s="1582">
        <f>'数据-汇总表'!C26</f>
        <v>0</v>
      </c>
      <c r="B13" s="1583" t="str">
        <f t="shared" si="1"/>
        <v/>
      </c>
      <c r="C13" s="1584"/>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M13" s="64">
        <f>ROUND(K13*L9/10000,0)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19"/>
      <c r="V13" s="67"/>
      <c r="W13" s="67"/>
      <c r="X13" s="975"/>
      <c r="Y13" s="68"/>
      <c r="Z13" s="69"/>
      <c r="AA13" s="63"/>
      <c r="AB13" s="63"/>
      <c r="AC13" s="975"/>
      <c r="AD13" s="70"/>
      <c r="AE13" s="976">
        <f t="shared" ca="1" si="6"/>
        <v>0</v>
      </c>
      <c r="AF13" s="74"/>
      <c r="AG13" s="130">
        <f t="shared" si="7"/>
        <v>0</v>
      </c>
      <c r="AH13" s="71"/>
      <c r="AI13" s="73"/>
      <c r="AJ13" s="74"/>
      <c r="AK13" s="75"/>
      <c r="AL13" s="76"/>
      <c r="AM13" s="77"/>
      <c r="AN13" s="1585"/>
      <c r="AO13" s="50" t="e">
        <f t="shared" ca="1" si="8"/>
        <v>#REF!</v>
      </c>
      <c r="AP13" s="1586">
        <f>IF(C13="住宅",K13*L9,0)</f>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1205</v>
      </c>
      <c r="B14" s="1583" t="s">
        <v>1206</v>
      </c>
      <c r="C14" s="1588" t="s">
        <v>1205</v>
      </c>
      <c r="D14" s="801"/>
      <c r="E14" s="800"/>
      <c r="F14" s="61"/>
      <c r="G14" s="62"/>
      <c r="H14" s="965"/>
      <c r="I14" s="965"/>
      <c r="J14" s="965"/>
      <c r="K14" s="966">
        <f>SUMIF('数据-汇总表'!C$19:C$33,A14,'数据-汇总表'!E$19:E$33)</f>
        <v>0</v>
      </c>
      <c r="L14" s="79"/>
      <c r="M14" s="64">
        <f t="shared" si="0"/>
        <v>0</v>
      </c>
      <c r="N14" s="80"/>
      <c r="O14" s="64" t="str">
        <f t="shared" si="3"/>
        <v>——</v>
      </c>
      <c r="P14" s="65" t="str">
        <f t="shared" si="4"/>
        <v>——</v>
      </c>
      <c r="Q14" s="969"/>
      <c r="R14" s="66"/>
      <c r="S14" s="49"/>
      <c r="T14" s="1088"/>
      <c r="U14" s="637"/>
      <c r="V14" s="971"/>
      <c r="W14" s="971"/>
      <c r="X14" s="972"/>
      <c r="Y14" s="973"/>
      <c r="Z14" s="54"/>
      <c r="AA14" s="974"/>
      <c r="AB14" s="974"/>
      <c r="AC14" s="975"/>
      <c r="AD14" s="972"/>
      <c r="AE14" s="976"/>
      <c r="AF14" s="50"/>
      <c r="AG14" s="130"/>
      <c r="AH14" s="976"/>
      <c r="AI14" s="1262"/>
      <c r="AJ14" s="50"/>
      <c r="AK14" s="977"/>
      <c r="AL14" s="978"/>
      <c r="AM14" s="979"/>
      <c r="AN14" s="2441"/>
      <c r="AO14" s="2431"/>
      <c r="AP14" s="2431"/>
      <c r="AQ14" s="2431"/>
      <c r="AR14" s="2431"/>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1207</v>
      </c>
      <c r="B15" s="1583" t="s">
        <v>1206</v>
      </c>
      <c r="C15" s="1588" t="s">
        <v>1208</v>
      </c>
      <c r="D15" s="801"/>
      <c r="E15" s="800"/>
      <c r="F15" s="61"/>
      <c r="G15" s="62"/>
      <c r="H15" s="965"/>
      <c r="I15" s="965"/>
      <c r="J15" s="965"/>
      <c r="K15" s="966">
        <f>SUMIF('数据-汇总表'!C$19:C$33,A15,'数据-汇总表'!E$19:E$33)</f>
        <v>0</v>
      </c>
      <c r="L15" s="967"/>
      <c r="M15" s="64"/>
      <c r="N15" s="968"/>
      <c r="O15" s="64"/>
      <c r="P15" s="65"/>
      <c r="Q15" s="969"/>
      <c r="R15" s="66"/>
      <c r="S15" s="49"/>
      <c r="T15" s="1088"/>
      <c r="U15" s="637"/>
      <c r="V15" s="971"/>
      <c r="W15" s="971"/>
      <c r="X15" s="972"/>
      <c r="Y15" s="973"/>
      <c r="Z15" s="54"/>
      <c r="AA15" s="974"/>
      <c r="AB15" s="974"/>
      <c r="AC15" s="975"/>
      <c r="AD15" s="972"/>
      <c r="AE15" s="976"/>
      <c r="AF15" s="50"/>
      <c r="AG15" s="130"/>
      <c r="AH15" s="976"/>
      <c r="AI15" s="1262"/>
      <c r="AJ15" s="50"/>
      <c r="AK15" s="977"/>
      <c r="AL15" s="978"/>
      <c r="AM15" s="979"/>
      <c r="AN15" s="2441"/>
      <c r="AO15" s="2431"/>
      <c r="AP15" s="2431"/>
      <c r="AQ15" s="2431"/>
      <c r="AR15" s="2431"/>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1209</v>
      </c>
      <c r="B16" s="82"/>
      <c r="C16" s="779"/>
      <c r="D16" s="1590"/>
      <c r="E16" s="82"/>
      <c r="F16" s="82"/>
      <c r="G16" s="83">
        <f>ROUND(SUMPRODUCT(G6:G13,K6:K13)/SUMPRODUCT((G6:G13&gt;0)*(K6:K13)),3)</f>
        <v>1</v>
      </c>
      <c r="H16" s="84">
        <f>ROUND(SUMPRODUCT(H6:H13,K6:K13)/SUMPRODUCT((H6:H13&gt;0)*(K6:K13)),3)</f>
        <v>0.01</v>
      </c>
      <c r="I16" s="85"/>
      <c r="J16" s="85"/>
      <c r="K16" s="86">
        <f>SUM(K6:K15)</f>
        <v>154.79</v>
      </c>
      <c r="L16" s="87">
        <f>ROUND(M16*10000/SUM(K6:K14),0)</f>
        <v>1486</v>
      </c>
      <c r="M16" s="87">
        <f>SUM(M6:M14)</f>
        <v>23</v>
      </c>
      <c r="N16" s="88">
        <f>ROUND(SUMPRODUCT(M6:M14,N6:N14)/M16,3)</f>
        <v>0.75</v>
      </c>
      <c r="O16" s="87">
        <f>SUM(O6:O14)</f>
        <v>0</v>
      </c>
      <c r="P16" s="87">
        <f>SUM(P6:P14)</f>
        <v>0</v>
      </c>
      <c r="Q16" s="89">
        <f>ROUND(SUMPRODUCT(Q6:Q13,K6:K13)/SUMPRODUCT((Q6:Q13&gt;0)*(K6:K13)),2)</f>
        <v>0.1</v>
      </c>
      <c r="R16" s="970">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1"/>
      <c r="AP16" s="2431"/>
      <c r="AQ16" s="2431"/>
      <c r="AR16" s="2431"/>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1210</v>
      </c>
      <c r="B18" s="2453"/>
      <c r="C18" s="2431"/>
      <c r="D18" s="2444"/>
      <c r="E18" s="2431"/>
      <c r="F18" s="2431"/>
      <c r="G18" s="2431"/>
      <c r="H18" s="2431"/>
      <c r="I18" s="3164" t="s">
        <v>3439</v>
      </c>
      <c r="J18" s="2431"/>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2" t="s">
        <v>1211</v>
      </c>
      <c r="B19" s="97">
        <v>0</v>
      </c>
      <c r="C19" s="2553" t="s">
        <v>2298</v>
      </c>
      <c r="D19" s="2444"/>
      <c r="E19" s="2431"/>
      <c r="F19" s="2431"/>
      <c r="G19" s="2431"/>
      <c r="H19" s="2431"/>
      <c r="I19" s="2431"/>
      <c r="J19" s="2431"/>
      <c r="K19" s="2442"/>
      <c r="L19" s="2442"/>
      <c r="M19" s="2441"/>
      <c r="N19" s="2441">
        <v>2007</v>
      </c>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3" t="s">
        <v>1212</v>
      </c>
      <c r="B20" s="98">
        <v>2</v>
      </c>
      <c r="C20" s="2554" t="s">
        <v>2296</v>
      </c>
      <c r="D20" s="2444"/>
      <c r="E20" s="2431"/>
      <c r="F20" s="2431"/>
      <c r="G20" s="2431"/>
      <c r="H20" s="2431"/>
      <c r="I20" s="2431"/>
      <c r="J20" s="2431"/>
      <c r="K20" s="2442"/>
      <c r="L20" s="2442"/>
      <c r="M20" s="2441"/>
      <c r="N20" s="3504">
        <f>ROUND(1-((2025-N19)*0.98/50),2)</f>
        <v>0.65</v>
      </c>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4" t="s">
        <v>1213</v>
      </c>
      <c r="B21" s="98">
        <f>B20</f>
        <v>2</v>
      </c>
      <c r="C21" s="2431"/>
      <c r="D21" s="2444"/>
      <c r="E21" s="2431"/>
      <c r="F21" s="2431"/>
      <c r="G21" s="2431"/>
      <c r="H21" s="2431"/>
      <c r="I21" s="2431"/>
      <c r="J21" s="2431"/>
      <c r="K21" s="2442"/>
      <c r="L21" s="2442"/>
      <c r="M21" s="2441"/>
      <c r="N21" s="3503">
        <v>0.85</v>
      </c>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8">
      <c r="A22" s="1593" t="s">
        <v>1214</v>
      </c>
      <c r="B22" s="99">
        <f>B19+B20</f>
        <v>2</v>
      </c>
      <c r="C22" s="2431"/>
      <c r="D22" s="2444"/>
      <c r="E22" s="2431"/>
      <c r="F22" s="2431"/>
      <c r="G22" s="2431"/>
      <c r="H22" s="2431"/>
      <c r="I22" s="2431"/>
      <c r="J22" s="2431"/>
      <c r="K22" s="2442"/>
      <c r="L22" s="2442"/>
      <c r="M22" s="2441"/>
      <c r="N22" s="3503">
        <f>ROUND(AVERAGE(N20:N21),2)</f>
        <v>0.75</v>
      </c>
      <c r="O22" s="2441"/>
      <c r="P22" s="2441"/>
      <c r="Q22" s="2441"/>
      <c r="R22" s="3507" t="s">
        <v>3463</v>
      </c>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4" t="s">
        <v>1215</v>
      </c>
      <c r="B23" s="99">
        <f>B19+B21</f>
        <v>2</v>
      </c>
      <c r="C23" s="2431"/>
      <c r="D23" s="2444"/>
      <c r="E23" s="2431"/>
      <c r="F23" s="2431"/>
      <c r="G23" s="2431"/>
      <c r="H23" s="2431"/>
      <c r="I23" s="2431"/>
      <c r="J23" s="2431"/>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5" t="s">
        <v>1216</v>
      </c>
      <c r="B24" s="100">
        <f>B20-B21</f>
        <v>0</v>
      </c>
      <c r="C24" s="2431"/>
      <c r="D24" s="2444"/>
      <c r="E24" s="2431"/>
      <c r="F24" s="2431"/>
      <c r="G24" s="2431"/>
      <c r="H24" s="2431"/>
      <c r="I24" s="2431"/>
      <c r="J24" s="2431"/>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5"/>
      <c r="B25" s="1538"/>
      <c r="C25" s="2431"/>
      <c r="D25" s="2444"/>
      <c r="E25" s="2431"/>
      <c r="F25" s="2431"/>
      <c r="G25" s="2431"/>
      <c r="H25" s="2431"/>
      <c r="I25" s="2431"/>
      <c r="J25" s="243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8" t="s">
        <v>1217</v>
      </c>
      <c r="B26" s="1596" t="s">
        <v>1218</v>
      </c>
      <c r="C26" s="2445" t="s">
        <v>1219</v>
      </c>
      <c r="D26" s="2444"/>
      <c r="E26" s="2431"/>
      <c r="F26" s="2431"/>
      <c r="G26" s="2431"/>
      <c r="H26" s="2431"/>
      <c r="I26" s="2431"/>
      <c r="J26" s="2431"/>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3506" t="s">
        <v>1220</v>
      </c>
      <c r="B27" s="101">
        <v>170</v>
      </c>
      <c r="C27" s="2555" t="s">
        <v>2300</v>
      </c>
      <c r="D27" s="2447"/>
      <c r="E27" s="2432"/>
      <c r="F27" s="2432"/>
      <c r="G27" s="2431"/>
      <c r="H27" s="2431"/>
      <c r="I27" s="2431"/>
      <c r="J27" s="2431"/>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8" t="s">
        <v>1221</v>
      </c>
      <c r="B28" s="103"/>
      <c r="C28" s="2448"/>
      <c r="D28" s="2447"/>
      <c r="E28" s="2432"/>
      <c r="F28" s="2432"/>
      <c r="G28" s="2431"/>
      <c r="H28" s="2431"/>
      <c r="I28" s="2431"/>
      <c r="J28" s="2431"/>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599" t="s">
        <v>1222</v>
      </c>
      <c r="B29" s="105"/>
      <c r="C29" s="2556" t="s">
        <v>2290</v>
      </c>
      <c r="D29" s="2447"/>
      <c r="E29" s="2432"/>
      <c r="F29" s="2432"/>
      <c r="G29" s="2431"/>
      <c r="H29" s="2431"/>
      <c r="I29" s="2431"/>
      <c r="J29" s="2431"/>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600" t="s">
        <v>1223</v>
      </c>
      <c r="B30" s="638">
        <v>120</v>
      </c>
      <c r="C30" s="2448">
        <f>180/2.5</f>
        <v>72</v>
      </c>
      <c r="D30" s="2447"/>
      <c r="E30" s="2432"/>
      <c r="F30" s="2432"/>
      <c r="G30" s="2431"/>
      <c r="H30" s="2431"/>
      <c r="I30" s="2431"/>
      <c r="J30" s="2431"/>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8" t="s">
        <v>1224</v>
      </c>
      <c r="B31" s="104">
        <f>B30-B32</f>
        <v>120</v>
      </c>
      <c r="C31" s="2446"/>
      <c r="D31" s="2447"/>
      <c r="E31" s="2432"/>
      <c r="F31" s="2432"/>
      <c r="G31" s="2431"/>
      <c r="H31" s="2431"/>
      <c r="I31" s="2431"/>
      <c r="J31" s="2431"/>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1" t="s">
        <v>1225</v>
      </c>
      <c r="B32" s="639">
        <v>0</v>
      </c>
      <c r="C32" s="2448"/>
      <c r="D32" s="2444"/>
      <c r="E32" s="2431"/>
      <c r="F32" s="2431"/>
      <c r="G32" s="2431"/>
      <c r="H32" s="2431"/>
      <c r="I32" s="2431"/>
      <c r="J32" s="2431"/>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7" t="s">
        <v>1226</v>
      </c>
      <c r="B33" s="640">
        <v>0.03</v>
      </c>
      <c r="C33" s="2557" t="s">
        <v>3378</v>
      </c>
      <c r="D33" s="2444"/>
      <c r="E33" s="2431"/>
      <c r="F33" s="2431"/>
      <c r="G33" s="2431"/>
      <c r="H33" s="2431"/>
      <c r="I33" s="2431"/>
      <c r="J33" s="2431"/>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8" t="s">
        <v>1227</v>
      </c>
      <c r="B34" s="106">
        <v>0.05</v>
      </c>
      <c r="C34" s="2557" t="s">
        <v>2291</v>
      </c>
      <c r="D34" s="2452" t="s">
        <v>2297</v>
      </c>
      <c r="E34" s="2450"/>
      <c r="F34" s="2431"/>
      <c r="G34" s="2431"/>
      <c r="H34" s="2431"/>
      <c r="I34" s="2431"/>
      <c r="J34" s="2431"/>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8" t="s">
        <v>1228</v>
      </c>
      <c r="B35" s="103">
        <f>B30</f>
        <v>120</v>
      </c>
      <c r="C35" s="2557" t="s">
        <v>2292</v>
      </c>
      <c r="D35" s="2447"/>
      <c r="E35" s="2432"/>
      <c r="F35" s="2432"/>
      <c r="G35" s="2431"/>
      <c r="H35" s="2431"/>
      <c r="I35" s="2431"/>
      <c r="J35" s="2431"/>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9" t="s">
        <v>1229</v>
      </c>
      <c r="B36" s="107">
        <v>1.4999999999999999E-2</v>
      </c>
      <c r="C36" s="2557" t="s">
        <v>3396</v>
      </c>
      <c r="D36" s="2444"/>
      <c r="E36" s="2431"/>
      <c r="F36" s="2431"/>
      <c r="G36" s="2431"/>
      <c r="H36" s="2431"/>
      <c r="I36" s="2431"/>
      <c r="J36" s="2431"/>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600" t="s">
        <v>1230</v>
      </c>
      <c r="B37" s="108">
        <v>0.02</v>
      </c>
      <c r="C37" s="2557" t="s">
        <v>3379</v>
      </c>
      <c r="D37" s="2444"/>
      <c r="E37" s="2431"/>
      <c r="F37" s="2431"/>
      <c r="G37" s="2431"/>
      <c r="H37" s="2431"/>
      <c r="I37" s="2431"/>
      <c r="J37" s="2431"/>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8" t="s">
        <v>1231</v>
      </c>
      <c r="B38" s="106">
        <v>0.02</v>
      </c>
      <c r="C38" s="2557" t="s">
        <v>3380</v>
      </c>
      <c r="D38" s="2444"/>
      <c r="E38" s="2431"/>
      <c r="F38" s="2431"/>
      <c r="G38" s="2431"/>
      <c r="H38" s="2431"/>
      <c r="I38" s="2431"/>
      <c r="J38" s="2431"/>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1" t="s">
        <v>1232</v>
      </c>
      <c r="B39" s="309">
        <f ca="1">存贷款利率!I1</f>
        <v>1.4999999999999999E-2</v>
      </c>
      <c r="C39" s="2449"/>
      <c r="D39" s="2444"/>
      <c r="E39" s="2431"/>
      <c r="F39" s="2431"/>
      <c r="G39" s="2431"/>
      <c r="H39" s="2431"/>
      <c r="I39" s="2431"/>
      <c r="J39" s="2431"/>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5" thickBot="1">
      <c r="A40" s="2566" t="s">
        <v>2306</v>
      </c>
      <c r="B40" s="1011">
        <f ca="1">IF(A40="利息：取LPR",存贷款利率!G1,存贷款利率!G1+C40)</f>
        <v>0.03</v>
      </c>
      <c r="C40" s="2565">
        <v>5.0000000000000001E-3</v>
      </c>
      <c r="D40" s="2441"/>
      <c r="E40" s="2444"/>
      <c r="F40" s="2431"/>
      <c r="G40" s="2431"/>
      <c r="H40" s="2431"/>
      <c r="I40" s="2431"/>
      <c r="J40" s="2431"/>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7" t="s">
        <v>1233</v>
      </c>
      <c r="B41" s="109">
        <f>B42+B43</f>
        <v>5.6000000000000001E-2</v>
      </c>
      <c r="C41" s="2446"/>
      <c r="D41" s="2441"/>
      <c r="E41" s="2444"/>
      <c r="F41" s="2431"/>
      <c r="G41" s="2431"/>
      <c r="H41" s="2431"/>
      <c r="I41" s="2431"/>
      <c r="J41" s="2431"/>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2" t="s">
        <v>1234</v>
      </c>
      <c r="B42" s="110">
        <v>0.05</v>
      </c>
      <c r="C42" s="2451">
        <f>IF(B2&lt;DATE(2016,5,1),0,B42)</f>
        <v>0.05</v>
      </c>
      <c r="D42" s="2444"/>
      <c r="E42" s="2431"/>
      <c r="F42" s="2431"/>
      <c r="G42" s="2431"/>
      <c r="H42" s="2431"/>
      <c r="I42" s="2431"/>
      <c r="J42" s="2431"/>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2" t="s">
        <v>1235</v>
      </c>
      <c r="B43" s="111">
        <f>B42*(B44+B45+B46)+B47</f>
        <v>6.000000000000001E-3</v>
      </c>
      <c r="C43" s="2446"/>
      <c r="D43" s="2444"/>
      <c r="E43" s="2431"/>
      <c r="F43" s="2431"/>
      <c r="G43" s="2431"/>
      <c r="H43" s="2431"/>
      <c r="I43" s="2431"/>
      <c r="J43" s="2431"/>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3" t="s">
        <v>1236</v>
      </c>
      <c r="B44" s="112">
        <v>7.0000000000000007E-2</v>
      </c>
      <c r="C44" s="2557" t="s">
        <v>3381</v>
      </c>
      <c r="D44" s="2444"/>
      <c r="E44" s="2431"/>
      <c r="F44" s="2431"/>
      <c r="G44" s="2431"/>
      <c r="H44" s="2431"/>
      <c r="I44" s="2431"/>
      <c r="J44" s="2431"/>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3" t="s">
        <v>1237</v>
      </c>
      <c r="B45" s="110">
        <v>0.03</v>
      </c>
      <c r="C45" s="2556" t="s">
        <v>2293</v>
      </c>
      <c r="D45" s="2444"/>
      <c r="E45" s="2431"/>
      <c r="F45" s="2431"/>
      <c r="G45" s="2431"/>
      <c r="H45" s="2431"/>
      <c r="I45" s="2431"/>
      <c r="J45" s="2431"/>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3" t="s">
        <v>1238</v>
      </c>
      <c r="B46" s="110">
        <v>0.02</v>
      </c>
      <c r="C46" s="2556" t="s">
        <v>2294</v>
      </c>
      <c r="D46" s="2444"/>
      <c r="E46" s="2431"/>
      <c r="F46" s="2431"/>
      <c r="G46" s="2431"/>
      <c r="H46" s="2431"/>
      <c r="I46" s="2431"/>
      <c r="J46" s="2431"/>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4" t="s">
        <v>1239</v>
      </c>
      <c r="B47" s="113"/>
      <c r="C47" s="2559" t="s">
        <v>2301</v>
      </c>
      <c r="D47" s="2444"/>
      <c r="E47" s="2431"/>
      <c r="F47" s="2431"/>
      <c r="G47" s="2431"/>
      <c r="H47" s="2431"/>
      <c r="I47" s="2431"/>
      <c r="J47" s="2431"/>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5" t="s">
        <v>1240</v>
      </c>
      <c r="B48" s="114">
        <v>0.03</v>
      </c>
      <c r="C48" s="2556" t="s">
        <v>2293</v>
      </c>
      <c r="D48" s="2444"/>
      <c r="E48" s="2431"/>
      <c r="F48" s="2431"/>
      <c r="G48" s="2431"/>
      <c r="H48" s="2431"/>
      <c r="I48" s="2431"/>
      <c r="J48" s="2431"/>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1" t="s">
        <v>1241</v>
      </c>
      <c r="B49" s="110">
        <v>5.0000000000000001E-4</v>
      </c>
      <c r="C49" s="2556" t="s">
        <v>2295</v>
      </c>
      <c r="D49" s="2444"/>
      <c r="E49" s="2431"/>
      <c r="F49" s="2431"/>
      <c r="G49" s="2431"/>
      <c r="H49" s="2431"/>
      <c r="I49" s="2431"/>
      <c r="J49" s="2431"/>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6" t="s">
        <v>1242</v>
      </c>
      <c r="B50" s="115">
        <v>1.2E-2</v>
      </c>
      <c r="C50" s="2432"/>
      <c r="D50" s="2444"/>
      <c r="E50" s="2431"/>
      <c r="F50" s="2431"/>
      <c r="G50" s="2431"/>
      <c r="H50" s="2431"/>
      <c r="I50" s="2431"/>
      <c r="J50" s="2431"/>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9" t="s">
        <v>1243</v>
      </c>
      <c r="B51" s="116">
        <v>0.12</v>
      </c>
      <c r="C51" s="2432"/>
      <c r="D51" s="2444"/>
      <c r="E51" s="2431"/>
      <c r="F51" s="2431"/>
      <c r="G51" s="2431"/>
      <c r="H51" s="2431"/>
      <c r="I51" s="2431"/>
      <c r="J51" s="2431"/>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6" t="s">
        <v>1244</v>
      </c>
      <c r="B52" s="117">
        <f>SUMIF(A54:A63,B53,B54:B63)</f>
        <v>0</v>
      </c>
      <c r="C52" s="2432"/>
      <c r="D52" s="2444"/>
      <c r="E52" s="2431"/>
      <c r="F52" s="2431"/>
      <c r="G52" s="2431"/>
      <c r="H52" s="2431"/>
      <c r="I52" s="2431"/>
      <c r="J52" s="2431"/>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8" t="s">
        <v>1245</v>
      </c>
      <c r="B53" s="1607"/>
      <c r="C53" s="2432" t="s">
        <v>1246</v>
      </c>
      <c r="D53" s="2558" t="s">
        <v>2299</v>
      </c>
      <c r="E53" s="2431"/>
      <c r="F53" s="2431"/>
      <c r="G53" s="2431"/>
      <c r="H53" s="2431"/>
      <c r="I53" s="2431"/>
      <c r="J53" s="2431"/>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8" t="s">
        <v>1247</v>
      </c>
      <c r="B54" s="72"/>
      <c r="C54" s="2432">
        <v>30</v>
      </c>
      <c r="D54" s="2444"/>
      <c r="E54" s="2431"/>
      <c r="F54" s="2431"/>
      <c r="G54" s="2431"/>
      <c r="H54" s="2431"/>
      <c r="I54" s="2431"/>
      <c r="J54" s="2431"/>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8" t="s">
        <v>1248</v>
      </c>
      <c r="B55" s="72"/>
      <c r="C55" s="2432">
        <v>24</v>
      </c>
      <c r="D55" s="2444"/>
      <c r="E55" s="2431"/>
      <c r="F55" s="2431"/>
      <c r="G55" s="2431"/>
      <c r="H55" s="2431"/>
      <c r="I55" s="2431"/>
      <c r="J55" s="2431"/>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8" t="s">
        <v>1249</v>
      </c>
      <c r="B56" s="72"/>
      <c r="C56" s="2432">
        <v>18</v>
      </c>
      <c r="D56" s="2444"/>
      <c r="E56" s="2431"/>
      <c r="F56" s="2431"/>
      <c r="G56" s="2431"/>
      <c r="H56" s="2431"/>
      <c r="I56" s="2431"/>
      <c r="J56" s="2431"/>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8" t="s">
        <v>1250</v>
      </c>
      <c r="B57" s="72"/>
      <c r="C57" s="2432">
        <v>12</v>
      </c>
      <c r="D57" s="2444"/>
      <c r="E57" s="2431"/>
      <c r="F57" s="2431"/>
      <c r="G57" s="2431"/>
      <c r="H57" s="2431"/>
      <c r="I57" s="2431"/>
      <c r="J57" s="2431"/>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8" t="s">
        <v>1251</v>
      </c>
      <c r="B58" s="72"/>
      <c r="C58" s="2432">
        <v>3</v>
      </c>
      <c r="D58" s="2444"/>
      <c r="E58" s="2431"/>
      <c r="F58" s="2431"/>
      <c r="G58" s="2431"/>
      <c r="H58" s="2431"/>
      <c r="I58" s="2431"/>
      <c r="J58" s="2431"/>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8" t="s">
        <v>1252</v>
      </c>
      <c r="B59" s="72"/>
      <c r="C59" s="2432">
        <v>1.5</v>
      </c>
      <c r="D59" s="2444"/>
      <c r="E59" s="2431"/>
      <c r="F59" s="2431"/>
      <c r="G59" s="2431"/>
      <c r="H59" s="2431"/>
      <c r="I59" s="2431"/>
      <c r="J59" s="2431"/>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8" t="s">
        <v>1253</v>
      </c>
      <c r="B60" s="72"/>
      <c r="C60" s="2431"/>
      <c r="D60" s="2444"/>
      <c r="E60" s="2431"/>
      <c r="F60" s="2431"/>
      <c r="G60" s="2431"/>
      <c r="H60" s="2431"/>
      <c r="I60" s="2431"/>
      <c r="J60" s="2431"/>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8" t="s">
        <v>1254</v>
      </c>
      <c r="B61" s="72"/>
      <c r="C61" s="2431"/>
      <c r="D61" s="2444"/>
      <c r="E61" s="2431"/>
      <c r="F61" s="2431"/>
      <c r="G61" s="2431"/>
      <c r="H61" s="2431"/>
      <c r="I61" s="2431"/>
      <c r="J61" s="2431"/>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8" t="s">
        <v>1255</v>
      </c>
      <c r="B62" s="72"/>
      <c r="C62" s="2431"/>
      <c r="D62" s="2444"/>
      <c r="E62" s="2431"/>
      <c r="F62" s="2431"/>
      <c r="G62" s="2431"/>
      <c r="H62" s="2431"/>
      <c r="I62" s="2431"/>
      <c r="J62" s="2431"/>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9" t="s">
        <v>1256</v>
      </c>
      <c r="B63" s="118"/>
      <c r="C63" s="2431"/>
      <c r="D63" s="2444"/>
      <c r="E63" s="2431"/>
      <c r="F63" s="2431"/>
      <c r="G63" s="2431"/>
      <c r="H63" s="2431"/>
      <c r="I63" s="2431"/>
      <c r="J63" s="2431"/>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4" customFormat="1">
      <c r="A64" s="2434"/>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4" customFormat="1">
      <c r="A65" s="2434"/>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4" customFormat="1">
      <c r="A66" s="2434"/>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4" customFormat="1">
      <c r="A67" s="2434"/>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4" customFormat="1">
      <c r="A68" s="2434"/>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4" customFormat="1">
      <c r="A69" s="1610"/>
      <c r="D69" s="1611"/>
      <c r="K69" s="687"/>
      <c r="L69" s="687"/>
    </row>
    <row r="70" spans="1:44" s="684" customFormat="1">
      <c r="A70" s="1610"/>
      <c r="D70" s="1611"/>
      <c r="K70" s="687"/>
      <c r="L70" s="687"/>
    </row>
    <row r="71" spans="1:44" s="684" customFormat="1">
      <c r="A71" s="1610"/>
      <c r="D71" s="1611"/>
      <c r="K71" s="687"/>
      <c r="L71" s="687"/>
    </row>
    <row r="72" spans="1:44" s="684" customFormat="1">
      <c r="A72" s="1610"/>
      <c r="D72" s="1611"/>
      <c r="K72" s="687"/>
      <c r="L72" s="687"/>
    </row>
    <row r="73" spans="1:44" s="684" customFormat="1">
      <c r="A73" s="1610"/>
      <c r="D73" s="1611"/>
      <c r="K73" s="687"/>
      <c r="L73" s="687"/>
    </row>
    <row r="74" spans="1:44" s="684" customFormat="1">
      <c r="A74" s="1610"/>
      <c r="D74" s="1611"/>
      <c r="K74" s="687"/>
      <c r="L74" s="687"/>
    </row>
    <row r="75" spans="1:44" s="684" customFormat="1">
      <c r="A75" s="1610"/>
      <c r="D75" s="1611"/>
      <c r="K75" s="687"/>
      <c r="L75" s="687"/>
    </row>
    <row r="76" spans="1:44" s="684" customFormat="1">
      <c r="A76" s="1610"/>
      <c r="D76" s="1611"/>
      <c r="K76" s="687"/>
      <c r="L76" s="687"/>
    </row>
    <row r="77" spans="1:44" s="684" customFormat="1">
      <c r="A77" s="1610"/>
      <c r="D77" s="1611"/>
      <c r="K77" s="687"/>
      <c r="L77" s="687"/>
    </row>
    <row r="78" spans="1:44" s="684" customFormat="1">
      <c r="A78" s="1610"/>
      <c r="D78" s="1611"/>
      <c r="K78" s="687"/>
      <c r="L78" s="687"/>
    </row>
    <row r="79" spans="1:44" s="684" customFormat="1">
      <c r="A79" s="1610"/>
      <c r="D79" s="1611"/>
      <c r="K79" s="687"/>
      <c r="L79" s="687"/>
    </row>
    <row r="80" spans="1:44" s="684" customFormat="1">
      <c r="A80" s="1610"/>
      <c r="D80" s="1611"/>
      <c r="K80" s="687"/>
      <c r="L80" s="687"/>
    </row>
    <row r="81" spans="1:12" s="684" customFormat="1">
      <c r="A81" s="1610"/>
      <c r="D81" s="1611"/>
      <c r="K81" s="687"/>
      <c r="L81" s="687"/>
    </row>
    <row r="82" spans="1:12" s="684" customFormat="1">
      <c r="A82" s="1610"/>
      <c r="D82" s="1611"/>
      <c r="K82" s="687"/>
      <c r="L82" s="687"/>
    </row>
    <row r="83" spans="1:12" s="684" customFormat="1">
      <c r="A83" s="1610"/>
      <c r="D83" s="1611"/>
      <c r="K83" s="687"/>
      <c r="L83" s="687"/>
    </row>
    <row r="84" spans="1:12" s="684" customFormat="1">
      <c r="A84" s="1610"/>
      <c r="D84" s="1611"/>
      <c r="K84" s="687"/>
      <c r="L84" s="687"/>
    </row>
    <row r="85" spans="1:12" s="684" customFormat="1">
      <c r="A85" s="1610"/>
      <c r="D85" s="1611"/>
      <c r="K85" s="687"/>
      <c r="L85" s="687"/>
    </row>
    <row r="86" spans="1:12" s="684" customFormat="1">
      <c r="A86" s="1610"/>
      <c r="D86" s="1611"/>
      <c r="K86" s="687"/>
      <c r="L86" s="687"/>
    </row>
    <row r="87" spans="1:12" s="684" customFormat="1">
      <c r="A87" s="1610"/>
      <c r="D87" s="1611"/>
      <c r="K87" s="687"/>
      <c r="L87" s="687"/>
    </row>
    <row r="88" spans="1:12" s="684" customFormat="1">
      <c r="A88" s="1610"/>
      <c r="D88" s="1611"/>
      <c r="K88" s="687"/>
      <c r="L88" s="687"/>
    </row>
    <row r="89" spans="1:12" s="684" customFormat="1">
      <c r="A89" s="1610"/>
      <c r="D89" s="1611"/>
      <c r="K89" s="687"/>
      <c r="L89" s="687"/>
    </row>
    <row r="90" spans="1:12" s="684" customFormat="1">
      <c r="A90" s="1610"/>
      <c r="D90" s="1611"/>
      <c r="K90" s="687"/>
      <c r="L90" s="687"/>
    </row>
    <row r="91" spans="1:12" s="684" customFormat="1">
      <c r="A91" s="1610"/>
      <c r="D91" s="1611"/>
      <c r="K91" s="687"/>
      <c r="L91" s="687"/>
    </row>
    <row r="92" spans="1:12" s="684" customFormat="1">
      <c r="A92" s="1610"/>
      <c r="D92" s="1611"/>
      <c r="K92" s="687"/>
      <c r="L92" s="687"/>
    </row>
    <row r="93" spans="1:12" s="684" customFormat="1">
      <c r="A93" s="1610"/>
      <c r="D93" s="1611"/>
      <c r="K93" s="687"/>
      <c r="L93" s="687"/>
    </row>
    <row r="94" spans="1:12" s="684" customFormat="1">
      <c r="A94" s="1610"/>
      <c r="D94" s="1611"/>
      <c r="K94" s="687"/>
      <c r="L94" s="687"/>
    </row>
    <row r="95" spans="1:12" s="684" customFormat="1">
      <c r="A95" s="1610"/>
      <c r="D95" s="1611"/>
      <c r="K95" s="687"/>
      <c r="L95" s="687"/>
    </row>
    <row r="96" spans="1:12" s="684" customFormat="1">
      <c r="A96" s="1610"/>
      <c r="D96" s="1611"/>
      <c r="K96" s="687"/>
      <c r="L96" s="687"/>
    </row>
    <row r="97" spans="1:12" s="684" customFormat="1">
      <c r="A97" s="1610"/>
      <c r="D97" s="1611"/>
      <c r="K97" s="687"/>
      <c r="L97" s="687"/>
    </row>
    <row r="98" spans="1:12" s="684" customFormat="1">
      <c r="A98" s="1610"/>
      <c r="D98" s="1611"/>
      <c r="K98" s="687"/>
      <c r="L98" s="687"/>
    </row>
    <row r="99" spans="1:12" s="684" customFormat="1">
      <c r="A99" s="1610"/>
      <c r="D99" s="1611"/>
      <c r="K99" s="687"/>
      <c r="L99" s="687"/>
    </row>
    <row r="100" spans="1:12" s="684" customFormat="1">
      <c r="A100" s="1610"/>
      <c r="D100" s="1611"/>
      <c r="K100" s="687"/>
      <c r="L100" s="687"/>
    </row>
    <row r="101" spans="1:12" s="684" customFormat="1">
      <c r="A101" s="1610"/>
      <c r="D101" s="1611"/>
      <c r="K101" s="687"/>
      <c r="L101" s="687"/>
    </row>
    <row r="102" spans="1:12" s="684" customFormat="1">
      <c r="A102" s="1610"/>
      <c r="D102" s="1611"/>
      <c r="K102" s="687"/>
      <c r="L102" s="687"/>
    </row>
    <row r="103" spans="1:12" s="684" customFormat="1">
      <c r="A103" s="1610"/>
      <c r="D103" s="1611"/>
      <c r="K103" s="687"/>
      <c r="L103" s="687"/>
    </row>
    <row r="104" spans="1:12" s="684" customFormat="1">
      <c r="A104" s="1610"/>
      <c r="D104" s="1611"/>
      <c r="K104" s="687"/>
      <c r="L104" s="687"/>
    </row>
    <row r="105" spans="1:12" s="684" customFormat="1">
      <c r="A105" s="1610"/>
      <c r="D105" s="1611"/>
      <c r="K105" s="687"/>
      <c r="L105" s="687"/>
    </row>
    <row r="106" spans="1:12" s="684" customFormat="1">
      <c r="A106" s="1610"/>
      <c r="D106" s="1611"/>
      <c r="K106" s="687"/>
      <c r="L106" s="687"/>
    </row>
    <row r="107" spans="1:12" s="684" customFormat="1">
      <c r="A107" s="1610"/>
      <c r="D107" s="1611"/>
      <c r="K107" s="687"/>
      <c r="L107" s="687"/>
    </row>
    <row r="108" spans="1:12" s="684" customFormat="1">
      <c r="A108" s="1610"/>
      <c r="D108" s="1611"/>
      <c r="K108" s="687"/>
      <c r="L108" s="687"/>
    </row>
    <row r="109" spans="1:12" s="684" customFormat="1">
      <c r="A109" s="1610"/>
      <c r="D109" s="1611"/>
      <c r="K109" s="687"/>
      <c r="L109" s="687"/>
    </row>
    <row r="110" spans="1:12" s="684" customFormat="1">
      <c r="A110" s="1610"/>
      <c r="D110" s="1611"/>
      <c r="K110" s="687"/>
      <c r="L110" s="687"/>
    </row>
    <row r="111" spans="1:12" s="684" customFormat="1">
      <c r="A111" s="1610"/>
      <c r="D111" s="1611"/>
      <c r="K111" s="687"/>
      <c r="L111" s="687"/>
    </row>
    <row r="112" spans="1:12" s="684" customFormat="1">
      <c r="A112" s="1610"/>
      <c r="D112" s="1611"/>
      <c r="K112" s="687"/>
      <c r="L112" s="687"/>
    </row>
    <row r="113" spans="1:12" s="684" customFormat="1">
      <c r="A113" s="1610"/>
      <c r="D113" s="1611"/>
      <c r="K113" s="687"/>
      <c r="L113" s="687"/>
    </row>
    <row r="114" spans="1:12" s="684" customFormat="1">
      <c r="A114" s="1610"/>
      <c r="D114" s="1611"/>
      <c r="K114" s="687"/>
      <c r="L114" s="687"/>
    </row>
    <row r="115" spans="1:12" s="684" customFormat="1">
      <c r="A115" s="1610"/>
      <c r="D115" s="1611"/>
      <c r="K115" s="687"/>
      <c r="L115" s="687"/>
    </row>
    <row r="116" spans="1:12" s="684" customFormat="1">
      <c r="A116" s="1610"/>
      <c r="D116" s="1611"/>
      <c r="K116" s="687"/>
      <c r="L116" s="687"/>
    </row>
    <row r="117" spans="1:12" s="684" customFormat="1">
      <c r="A117" s="1610"/>
      <c r="D117" s="1611"/>
      <c r="K117" s="687"/>
      <c r="L117" s="687"/>
    </row>
    <row r="118" spans="1:12" s="684" customFormat="1">
      <c r="A118" s="1610"/>
      <c r="D118" s="1611"/>
      <c r="K118" s="687"/>
      <c r="L118" s="687"/>
    </row>
    <row r="119" spans="1:12" s="684" customFormat="1">
      <c r="A119" s="1610"/>
      <c r="D119" s="1611"/>
      <c r="K119" s="687"/>
      <c r="L119" s="687"/>
    </row>
    <row r="120" spans="1:12" s="684" customFormat="1">
      <c r="A120" s="1610"/>
      <c r="D120" s="1611"/>
      <c r="K120" s="687"/>
      <c r="L120" s="687"/>
    </row>
    <row r="121" spans="1:12" s="684" customFormat="1">
      <c r="A121" s="1610"/>
      <c r="D121" s="1611"/>
      <c r="K121" s="687"/>
      <c r="L121" s="687"/>
    </row>
    <row r="122" spans="1:12" s="684" customFormat="1">
      <c r="A122" s="1610"/>
      <c r="D122" s="1611"/>
      <c r="K122" s="687"/>
      <c r="L122" s="687"/>
    </row>
    <row r="123" spans="1:12" s="684" customFormat="1">
      <c r="A123" s="1610"/>
      <c r="D123" s="1611"/>
      <c r="K123" s="687"/>
      <c r="L123" s="687"/>
    </row>
    <row r="124" spans="1:12" s="684" customFormat="1">
      <c r="A124" s="1610"/>
      <c r="D124" s="1611"/>
      <c r="K124" s="687"/>
      <c r="L124" s="687"/>
    </row>
    <row r="125" spans="1:12" s="684" customFormat="1">
      <c r="A125" s="1610"/>
      <c r="D125" s="1611"/>
      <c r="K125" s="687"/>
      <c r="L125" s="687"/>
    </row>
    <row r="126" spans="1:12" s="684" customFormat="1">
      <c r="A126" s="1610"/>
      <c r="D126" s="1611"/>
      <c r="K126" s="687"/>
      <c r="L126" s="687"/>
    </row>
    <row r="127" spans="1:12" s="684" customFormat="1">
      <c r="A127" s="1610"/>
      <c r="D127" s="1611"/>
      <c r="K127" s="687"/>
      <c r="L127" s="687"/>
    </row>
    <row r="128" spans="1:12" s="684" customFormat="1">
      <c r="A128" s="1610"/>
      <c r="D128" s="1611"/>
      <c r="K128" s="687"/>
      <c r="L128" s="687"/>
    </row>
    <row r="129" spans="1:12" s="684" customFormat="1">
      <c r="A129" s="1610"/>
      <c r="D129" s="1611"/>
      <c r="K129" s="687"/>
      <c r="L129" s="687"/>
    </row>
    <row r="130" spans="1:12" s="684" customFormat="1">
      <c r="A130" s="1610"/>
      <c r="D130" s="1611"/>
      <c r="K130" s="687"/>
      <c r="L130" s="687"/>
    </row>
    <row r="131" spans="1:12" s="684" customFormat="1">
      <c r="A131" s="1610"/>
      <c r="D131" s="1611"/>
      <c r="K131" s="687"/>
      <c r="L131" s="687"/>
    </row>
    <row r="132" spans="1:12" s="684" customFormat="1">
      <c r="A132" s="1610"/>
      <c r="D132" s="1611"/>
      <c r="K132" s="687"/>
      <c r="L132" s="687"/>
    </row>
    <row r="133" spans="1:12" s="684" customFormat="1">
      <c r="A133" s="1610"/>
      <c r="D133" s="1611"/>
      <c r="K133" s="687"/>
      <c r="L133" s="687"/>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0" sqref="I20"/>
    </sheetView>
  </sheetViews>
  <sheetFormatPr defaultColWidth="9" defaultRowHeight="14.25"/>
  <cols>
    <col min="1" max="1" width="9.5" style="1518" customWidth="1"/>
    <col min="2" max="3" width="24.5" style="508" customWidth="1"/>
    <col min="4" max="4" width="2.625" style="508" customWidth="1"/>
    <col min="5" max="5" width="5.875" style="508" customWidth="1"/>
    <col min="6" max="7" width="27" style="508" customWidth="1"/>
    <col min="8" max="8" width="11.875" style="2269" customWidth="1"/>
    <col min="9" max="9" width="16.75" style="2269" customWidth="1"/>
    <col min="10" max="10" width="2.625" style="2269" customWidth="1"/>
    <col min="11" max="11" width="11.875" style="2269" customWidth="1"/>
    <col min="12" max="12" width="16.75" style="2269" customWidth="1"/>
    <col min="13" max="13" width="2.625" style="2269" customWidth="1"/>
    <col min="14" max="14" width="11.875" style="2269" customWidth="1"/>
    <col min="15" max="15" width="16.75" style="2269" customWidth="1"/>
    <col min="16" max="16" width="2.625" style="2269" customWidth="1"/>
    <col min="17" max="17" width="11.875" style="2269" customWidth="1"/>
    <col min="18" max="18" width="16.75" style="747" customWidth="1"/>
    <col min="19" max="29" width="9" style="747"/>
    <col min="30" max="16384" width="9" style="1518"/>
  </cols>
  <sheetData>
    <row r="1" spans="1:29" s="2253" customFormat="1" ht="18.75" thickBot="1">
      <c r="A1" s="3252" t="s">
        <v>2282</v>
      </c>
      <c r="B1" s="3253"/>
      <c r="C1" s="3253"/>
      <c r="D1" s="3253"/>
      <c r="E1" s="3253"/>
      <c r="F1" s="3253"/>
      <c r="G1" s="3253"/>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2278</v>
      </c>
      <c r="D2" s="1591"/>
      <c r="E2" s="2254"/>
      <c r="F2" s="2257"/>
      <c r="G2" s="2256" t="s">
        <v>2279</v>
      </c>
      <c r="H2" s="747"/>
      <c r="I2" s="747"/>
      <c r="J2" s="747"/>
      <c r="K2" s="747"/>
      <c r="L2" s="747"/>
      <c r="M2" s="747"/>
      <c r="N2" s="747"/>
      <c r="O2" s="747"/>
      <c r="P2" s="747"/>
      <c r="Q2" s="747"/>
    </row>
    <row r="3" spans="1:29" ht="36">
      <c r="A3" s="2241" t="s">
        <v>2280</v>
      </c>
      <c r="B3" s="2258" t="s">
        <v>2252</v>
      </c>
      <c r="C3" s="3508" t="s">
        <v>3468</v>
      </c>
      <c r="D3" s="2259"/>
      <c r="E3" s="2242" t="s">
        <v>2280</v>
      </c>
      <c r="F3" s="2260" t="s">
        <v>2253</v>
      </c>
      <c r="G3" s="2261" t="s">
        <v>2281</v>
      </c>
      <c r="H3" s="747"/>
      <c r="I3" s="747"/>
      <c r="J3" s="747"/>
      <c r="K3" s="747"/>
      <c r="L3" s="747"/>
      <c r="M3" s="747"/>
      <c r="N3" s="747"/>
      <c r="O3" s="747"/>
      <c r="P3" s="747"/>
      <c r="Q3" s="747"/>
    </row>
    <row r="4" spans="1:29" ht="48">
      <c r="A4" s="2242"/>
      <c r="B4" s="315" t="s">
        <v>2254</v>
      </c>
      <c r="C4" s="3160" t="s">
        <v>3421</v>
      </c>
      <c r="D4" s="2259"/>
      <c r="E4" s="2262"/>
      <c r="F4" s="1277" t="s">
        <v>2255</v>
      </c>
      <c r="G4" s="2263" t="s">
        <v>2256</v>
      </c>
      <c r="H4" s="747"/>
      <c r="I4" s="747"/>
      <c r="J4" s="747"/>
      <c r="K4" s="747"/>
      <c r="L4" s="747"/>
      <c r="M4" s="747"/>
      <c r="N4" s="747"/>
      <c r="O4" s="747"/>
      <c r="P4" s="747"/>
      <c r="Q4" s="747"/>
    </row>
    <row r="5" spans="1:29" ht="48">
      <c r="A5" s="2242"/>
      <c r="B5" s="315" t="s">
        <v>2257</v>
      </c>
      <c r="C5" s="3160" t="s">
        <v>3422</v>
      </c>
      <c r="D5" s="2259"/>
      <c r="E5" s="2262"/>
      <c r="F5" s="315" t="s">
        <v>2258</v>
      </c>
      <c r="G5" s="2263" t="s">
        <v>2259</v>
      </c>
      <c r="H5" s="747"/>
      <c r="I5" s="747"/>
      <c r="J5" s="747"/>
      <c r="K5" s="747"/>
      <c r="L5" s="747"/>
      <c r="M5" s="747"/>
      <c r="N5" s="747"/>
      <c r="O5" s="747"/>
      <c r="P5" s="747"/>
      <c r="Q5" s="747"/>
    </row>
    <row r="6" spans="1:29" ht="36">
      <c r="A6" s="2242"/>
      <c r="B6" s="315" t="s">
        <v>2260</v>
      </c>
      <c r="C6" s="3161" t="s">
        <v>3465</v>
      </c>
      <c r="D6" s="2259"/>
      <c r="E6" s="2262"/>
      <c r="F6" s="315" t="s">
        <v>2261</v>
      </c>
      <c r="G6" s="2263" t="s">
        <v>2262</v>
      </c>
      <c r="H6" s="747"/>
      <c r="I6" s="747"/>
      <c r="J6" s="747"/>
      <c r="K6" s="747"/>
      <c r="L6" s="747"/>
      <c r="M6" s="747"/>
      <c r="N6" s="747"/>
      <c r="O6" s="747"/>
      <c r="P6" s="747"/>
      <c r="Q6" s="747"/>
    </row>
    <row r="7" spans="1:29" ht="156.75" thickBot="1">
      <c r="A7" s="2242"/>
      <c r="B7" s="315" t="s">
        <v>2258</v>
      </c>
      <c r="C7" s="3161" t="s">
        <v>3467</v>
      </c>
      <c r="D7" s="2239"/>
      <c r="E7" s="2264"/>
      <c r="F7" s="2265" t="s">
        <v>2263</v>
      </c>
      <c r="G7" s="2266" t="s">
        <v>2264</v>
      </c>
      <c r="H7" s="747"/>
      <c r="I7" s="747"/>
      <c r="J7" s="747"/>
      <c r="K7" s="747"/>
      <c r="L7" s="747"/>
      <c r="M7" s="747"/>
      <c r="N7" s="747"/>
      <c r="O7" s="747"/>
      <c r="P7" s="747"/>
      <c r="Q7" s="747"/>
    </row>
    <row r="8" spans="1:29">
      <c r="A8" s="2242"/>
      <c r="B8" s="315" t="s">
        <v>2261</v>
      </c>
      <c r="C8" s="2263" t="s">
        <v>2262</v>
      </c>
      <c r="D8" s="2239"/>
      <c r="E8" s="2239"/>
      <c r="F8" s="121"/>
      <c r="G8" s="121"/>
      <c r="H8" s="747"/>
      <c r="I8" s="747"/>
      <c r="J8" s="747"/>
      <c r="K8" s="747"/>
      <c r="L8" s="747"/>
      <c r="M8" s="747"/>
      <c r="N8" s="747"/>
      <c r="O8" s="747"/>
      <c r="P8" s="747"/>
      <c r="Q8" s="747"/>
    </row>
    <row r="9" spans="1:29" ht="48">
      <c r="A9" s="2242"/>
      <c r="B9" s="315" t="s">
        <v>2265</v>
      </c>
      <c r="C9" s="3160" t="s">
        <v>3466</v>
      </c>
      <c r="D9" s="2259"/>
      <c r="E9" s="2239"/>
      <c r="F9" s="121"/>
      <c r="G9" s="121"/>
      <c r="H9" s="747"/>
      <c r="I9" s="747"/>
      <c r="J9" s="747"/>
      <c r="K9" s="747"/>
      <c r="L9" s="747"/>
      <c r="M9" s="747"/>
      <c r="N9" s="747"/>
      <c r="O9" s="747"/>
      <c r="P9" s="747"/>
      <c r="Q9" s="747"/>
    </row>
    <row r="10" spans="1:29" ht="15" thickBot="1">
      <c r="A10" s="2243"/>
      <c r="B10" s="2267" t="s">
        <v>2266</v>
      </c>
      <c r="C10" s="2268"/>
      <c r="D10" s="2259"/>
      <c r="E10" s="2259"/>
      <c r="F10" s="121"/>
      <c r="G10" s="121"/>
      <c r="J10" s="2270"/>
      <c r="M10" s="2270"/>
      <c r="P10" s="2270"/>
      <c r="R10" s="2269"/>
    </row>
    <row r="11" spans="1:29">
      <c r="A11" s="2271"/>
      <c r="B11" s="2239"/>
      <c r="C11" s="2259"/>
      <c r="D11" s="2259"/>
      <c r="E11" s="2259"/>
      <c r="F11" s="2239"/>
      <c r="G11" s="2239"/>
      <c r="J11" s="2270"/>
      <c r="M11" s="2270"/>
      <c r="P11" s="2270"/>
      <c r="R11" s="2269"/>
    </row>
    <row r="12" spans="1:29" s="2253" customFormat="1" ht="18">
      <c r="A12" s="2271"/>
      <c r="B12" s="2239"/>
      <c r="C12" s="2259"/>
      <c r="D12" s="2272"/>
      <c r="E12" s="2259"/>
      <c r="F12" s="2239"/>
      <c r="G12" s="2239"/>
      <c r="H12" s="2273"/>
      <c r="I12" s="2273"/>
      <c r="J12" s="2273"/>
      <c r="K12" s="2273"/>
      <c r="L12" s="2274"/>
      <c r="M12" s="2273"/>
      <c r="N12" s="2275"/>
      <c r="O12" s="2275"/>
      <c r="P12" s="2275"/>
      <c r="Q12" s="2275"/>
      <c r="R12" s="2252"/>
      <c r="S12" s="2252"/>
      <c r="T12" s="2252"/>
      <c r="U12" s="2252"/>
      <c r="V12" s="2252"/>
      <c r="W12" s="2252"/>
      <c r="X12" s="2252"/>
      <c r="Y12" s="2252"/>
      <c r="Z12" s="2252"/>
      <c r="AA12" s="2252"/>
      <c r="AB12" s="2252"/>
      <c r="AC12" s="2252"/>
    </row>
    <row r="13" spans="1:29" ht="15.75" thickBot="1">
      <c r="A13" s="2276" t="s">
        <v>2283</v>
      </c>
      <c r="B13" s="2272"/>
      <c r="C13" s="2272"/>
      <c r="D13" s="2271"/>
      <c r="E13" s="2272"/>
      <c r="F13" s="2272"/>
      <c r="G13" s="2272"/>
    </row>
    <row r="14" spans="1:29" ht="15" thickBot="1">
      <c r="A14" s="2277"/>
      <c r="B14" s="2277"/>
      <c r="C14" s="2278" t="s">
        <v>2267</v>
      </c>
      <c r="D14" s="2259"/>
      <c r="E14" s="2279"/>
      <c r="F14" s="2279"/>
      <c r="G14" s="2256" t="s">
        <v>2268</v>
      </c>
    </row>
    <row r="15" spans="1:29" ht="51">
      <c r="A15" s="2244" t="s">
        <v>2269</v>
      </c>
      <c r="B15" s="2280" t="s">
        <v>2252</v>
      </c>
      <c r="C15" s="2281" t="str">
        <f>C3</f>
        <v>周边有阳光嘉苑、瑞祥花园、园田花园、四月天等住宅小区，居住社区成熟度较好。</v>
      </c>
      <c r="D15" s="2259"/>
      <c r="E15" s="2245" t="s">
        <v>2270</v>
      </c>
      <c r="F15" s="2280" t="s">
        <v>2271</v>
      </c>
      <c r="G15" s="2282" t="str">
        <f>G3</f>
        <v>估价对象位于XX开发区，园区建设成熟度XX，产业集聚程度XX</v>
      </c>
    </row>
    <row r="16" spans="1:29" ht="51">
      <c r="A16" s="2246"/>
      <c r="B16" s="2283" t="s">
        <v>2254</v>
      </c>
      <c r="C16" s="2284" t="str">
        <f>C4</f>
        <v>估价对象位于北京城市副中心商务中心区，周边商业氛围较成熟，人流量较大，商业繁华度较好</v>
      </c>
      <c r="D16" s="2259"/>
      <c r="E16" s="2247"/>
      <c r="F16" s="2285" t="s">
        <v>2255</v>
      </c>
      <c r="G16" s="2286" t="str">
        <f>G4</f>
        <v>估价对象周边道路状况、公共交通通达情况、停车便捷程度，综合评价交通便捷度较好</v>
      </c>
    </row>
    <row r="17" spans="1:17" ht="51">
      <c r="A17" s="2246"/>
      <c r="B17" s="2283" t="s">
        <v>2257</v>
      </c>
      <c r="C17" s="2284" t="str">
        <f>C5</f>
        <v>估价对象位于北京城市副中心商务中心区，周边办公楼项目较多，入驻率较高，办公集聚程度较好</v>
      </c>
      <c r="D17" s="2239"/>
      <c r="E17" s="2247"/>
      <c r="F17" s="2285" t="s">
        <v>2272</v>
      </c>
      <c r="G17" s="2287"/>
    </row>
    <row r="18" spans="1:17" ht="51">
      <c r="A18" s="2246"/>
      <c r="B18" s="2285" t="s">
        <v>2260</v>
      </c>
      <c r="C18" s="2286" t="str">
        <f>C6</f>
        <v>估价对象周边有196路、B38路、Y25路等多条公交线路，综合评价交通便捷度一般</v>
      </c>
      <c r="D18" s="2239"/>
      <c r="E18" s="2247"/>
      <c r="F18" s="2285" t="s">
        <v>2263</v>
      </c>
      <c r="G18" s="2286" t="str">
        <f>G7</f>
        <v>该园区内是否有污染型企业，绿化情况，卫生条件，整体环境状况判断</v>
      </c>
    </row>
    <row r="19" spans="1:17" ht="25.5">
      <c r="A19" s="2246"/>
      <c r="B19" s="2285" t="s">
        <v>2273</v>
      </c>
      <c r="C19" s="2287"/>
      <c r="D19" s="2259"/>
      <c r="E19" s="2247"/>
      <c r="F19" s="315" t="s">
        <v>2258</v>
      </c>
      <c r="G19" s="2286" t="str">
        <f>G5</f>
        <v>估价对象所在区域公共配套设施齐备情况</v>
      </c>
    </row>
    <row r="20" spans="1:17" ht="51">
      <c r="A20" s="2246"/>
      <c r="B20" s="2285" t="s">
        <v>2274</v>
      </c>
      <c r="C20" s="2284" t="str">
        <f>C9</f>
        <v>估价对象周边有河南省体育场馆中心、郑州海洋馆等人文景观，东风渠水系等自然景观，综合评价环境状况较好。</v>
      </c>
      <c r="D20" s="2239"/>
      <c r="E20" s="2247"/>
      <c r="F20" s="315" t="s">
        <v>2261</v>
      </c>
      <c r="G20" s="2286" t="str">
        <f>G6</f>
        <v>估价对象所在区域基础设施水平</v>
      </c>
    </row>
    <row r="21" spans="1:17" ht="178.5">
      <c r="A21" s="2246"/>
      <c r="B21" s="315" t="s">
        <v>2258</v>
      </c>
      <c r="C21" s="2286" t="str">
        <f>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21" s="2259"/>
      <c r="E21" s="2247"/>
      <c r="F21" s="2285" t="s">
        <v>2275</v>
      </c>
      <c r="G21" s="2288"/>
    </row>
    <row r="22" spans="1:17" ht="13.5" customHeight="1">
      <c r="A22" s="2246"/>
      <c r="B22" s="315" t="s">
        <v>2261</v>
      </c>
      <c r="C22" s="2286" t="str">
        <f>C8</f>
        <v>估价对象所在区域基础设施水平</v>
      </c>
      <c r="D22" s="2259"/>
      <c r="E22" s="2247"/>
      <c r="F22" s="2285" t="s">
        <v>2266</v>
      </c>
      <c r="G22" s="2287"/>
    </row>
    <row r="23" spans="1:17" s="747" customFormat="1" ht="15" thickBot="1">
      <c r="A23" s="2246"/>
      <c r="B23" s="2285" t="s">
        <v>2275</v>
      </c>
      <c r="C23" s="2288"/>
      <c r="D23" s="1610"/>
      <c r="E23" s="2248"/>
      <c r="F23" s="2289" t="s">
        <v>2276</v>
      </c>
      <c r="G23" s="2290"/>
      <c r="H23" s="2269"/>
      <c r="I23" s="2269"/>
      <c r="J23" s="2269"/>
      <c r="K23" s="2269"/>
      <c r="L23" s="2269"/>
      <c r="M23" s="2269"/>
      <c r="N23" s="2269"/>
      <c r="O23" s="2269"/>
      <c r="P23" s="2269"/>
      <c r="Q23" s="2269"/>
    </row>
    <row r="24" spans="1:17" s="747" customFormat="1" ht="15" thickBot="1">
      <c r="A24" s="2249"/>
      <c r="B24" s="2289" t="s">
        <v>2277</v>
      </c>
      <c r="C24" s="2291">
        <f>C10</f>
        <v>0</v>
      </c>
      <c r="D24" s="1610"/>
      <c r="E24" s="2239"/>
      <c r="F24" s="2239"/>
      <c r="G24" s="2239"/>
      <c r="H24" s="2269"/>
      <c r="I24" s="2269"/>
      <c r="J24" s="2269"/>
      <c r="K24" s="2269"/>
      <c r="L24" s="2269"/>
      <c r="M24" s="2269"/>
      <c r="N24" s="2269"/>
      <c r="O24" s="2269"/>
      <c r="P24" s="2269"/>
      <c r="Q24" s="2269"/>
    </row>
    <row r="25" spans="1:17" s="747" customFormat="1">
      <c r="B25" s="2269"/>
      <c r="C25" s="2269"/>
      <c r="D25" s="2269"/>
      <c r="H25" s="2269"/>
      <c r="I25" s="2269"/>
      <c r="J25" s="2269"/>
      <c r="K25" s="2269"/>
      <c r="L25" s="2269"/>
      <c r="M25" s="2269"/>
      <c r="N25" s="2269"/>
      <c r="O25" s="2269"/>
      <c r="P25" s="2269"/>
      <c r="Q25" s="2269"/>
    </row>
    <row r="26" spans="1:17" s="747" customFormat="1">
      <c r="B26" s="2269"/>
      <c r="C26" s="2269"/>
      <c r="D26" s="2269"/>
      <c r="H26" s="2269"/>
      <c r="I26" s="2269"/>
      <c r="J26" s="2269"/>
      <c r="K26" s="2269"/>
      <c r="L26" s="2269"/>
      <c r="M26" s="2269"/>
      <c r="N26" s="2269"/>
      <c r="O26" s="2269"/>
      <c r="P26" s="2269"/>
      <c r="Q26" s="2269"/>
    </row>
    <row r="27" spans="1:17" s="747" customFormat="1">
      <c r="B27" s="2269"/>
      <c r="C27" s="2269"/>
      <c r="D27" s="2269"/>
      <c r="H27" s="2269"/>
      <c r="I27" s="2269"/>
      <c r="J27" s="2269"/>
      <c r="K27" s="2269"/>
      <c r="L27" s="2269"/>
      <c r="M27" s="2269"/>
      <c r="N27" s="2269"/>
      <c r="O27" s="2269"/>
      <c r="P27" s="2269"/>
      <c r="Q27" s="2269"/>
    </row>
    <row r="28" spans="1:17" s="747" customFormat="1">
      <c r="B28" s="2269"/>
      <c r="C28" s="2269"/>
      <c r="D28" s="2269"/>
      <c r="H28" s="2269"/>
      <c r="I28" s="2269"/>
      <c r="J28" s="2269"/>
      <c r="K28" s="2269"/>
      <c r="L28" s="2269"/>
      <c r="M28" s="2269"/>
      <c r="N28" s="2269"/>
      <c r="O28" s="2269"/>
      <c r="P28" s="2269"/>
      <c r="Q28" s="2269"/>
    </row>
    <row r="29" spans="1:17" s="747" customFormat="1">
      <c r="B29" s="2269"/>
      <c r="C29" s="2269"/>
      <c r="D29" s="2269"/>
      <c r="H29" s="2269"/>
      <c r="I29" s="2269"/>
      <c r="J29" s="2269"/>
      <c r="K29" s="2269"/>
      <c r="L29" s="2269"/>
      <c r="M29" s="2269"/>
      <c r="N29" s="2269"/>
      <c r="O29" s="2269"/>
      <c r="P29" s="2269"/>
      <c r="Q29" s="2269"/>
    </row>
    <row r="30" spans="1:17" s="747" customFormat="1">
      <c r="B30" s="2269"/>
      <c r="C30" s="2269"/>
      <c r="D30" s="2269"/>
      <c r="H30" s="2269"/>
      <c r="I30" s="2269"/>
      <c r="J30" s="2269"/>
      <c r="K30" s="2269"/>
      <c r="L30" s="2269"/>
      <c r="M30" s="2269"/>
      <c r="N30" s="2269"/>
      <c r="O30" s="2269"/>
      <c r="P30" s="2269"/>
      <c r="Q30" s="2269"/>
    </row>
    <row r="31" spans="1:17" s="747" customFormat="1">
      <c r="B31" s="2269"/>
      <c r="C31" s="2269"/>
      <c r="D31" s="2269"/>
      <c r="H31" s="2269"/>
      <c r="I31" s="2269"/>
      <c r="J31" s="2269"/>
      <c r="K31" s="2269"/>
      <c r="L31" s="2269"/>
      <c r="M31" s="2269"/>
      <c r="N31" s="2269"/>
      <c r="O31" s="2269"/>
      <c r="P31" s="2269"/>
      <c r="Q31" s="2269"/>
    </row>
    <row r="32" spans="1:17" s="747" customFormat="1">
      <c r="B32" s="2269"/>
      <c r="C32" s="2269"/>
      <c r="D32" s="2269"/>
      <c r="H32" s="2269"/>
      <c r="I32" s="2269"/>
      <c r="J32" s="2269"/>
      <c r="K32" s="2269"/>
      <c r="L32" s="2269"/>
      <c r="M32" s="2269"/>
      <c r="N32" s="2269"/>
      <c r="O32" s="2269"/>
      <c r="P32" s="2269"/>
      <c r="Q32" s="2269"/>
    </row>
    <row r="33" spans="2:17" s="747" customFormat="1">
      <c r="B33" s="2269"/>
      <c r="C33" s="2269"/>
      <c r="D33" s="2269"/>
      <c r="H33" s="2269"/>
      <c r="I33" s="2269"/>
      <c r="J33" s="2269"/>
      <c r="K33" s="2269"/>
      <c r="L33" s="2269"/>
      <c r="M33" s="2269"/>
      <c r="N33" s="2269"/>
      <c r="O33" s="2269"/>
      <c r="P33" s="2269"/>
      <c r="Q33" s="2269"/>
    </row>
    <row r="34" spans="2:17" s="747" customFormat="1">
      <c r="B34" s="2269"/>
      <c r="C34" s="2269"/>
      <c r="D34" s="2269"/>
      <c r="H34" s="2269"/>
      <c r="I34" s="2269"/>
      <c r="J34" s="2269"/>
      <c r="K34" s="2269"/>
      <c r="L34" s="2269"/>
      <c r="M34" s="2269"/>
      <c r="N34" s="2269"/>
      <c r="O34" s="2269"/>
      <c r="P34" s="2269"/>
      <c r="Q34" s="2269"/>
    </row>
    <row r="35" spans="2:17" s="747" customFormat="1">
      <c r="B35" s="2269"/>
      <c r="C35" s="2269"/>
      <c r="D35" s="2269"/>
      <c r="H35" s="2269"/>
      <c r="I35" s="2269"/>
      <c r="J35" s="2269"/>
      <c r="K35" s="2269"/>
      <c r="L35" s="2269"/>
      <c r="M35" s="2269"/>
      <c r="N35" s="2269"/>
      <c r="O35" s="2269"/>
      <c r="P35" s="2269"/>
      <c r="Q35" s="2269"/>
    </row>
    <row r="36" spans="2:17" s="747" customFormat="1">
      <c r="B36" s="2269"/>
      <c r="C36" s="2269"/>
      <c r="D36" s="2269"/>
      <c r="H36" s="2269"/>
      <c r="I36" s="2269"/>
      <c r="J36" s="2269"/>
      <c r="K36" s="2269"/>
      <c r="L36" s="2269"/>
      <c r="M36" s="2269"/>
      <c r="N36" s="2269"/>
      <c r="O36" s="2269"/>
      <c r="P36" s="2269"/>
      <c r="Q36" s="2269"/>
    </row>
    <row r="37" spans="2:17" s="747" customFormat="1">
      <c r="B37" s="2269"/>
      <c r="C37" s="2269"/>
      <c r="D37" s="2269"/>
      <c r="H37" s="2269"/>
      <c r="I37" s="2269"/>
      <c r="J37" s="2269"/>
      <c r="K37" s="2269"/>
      <c r="L37" s="2269"/>
      <c r="M37" s="2269"/>
      <c r="N37" s="2269"/>
      <c r="O37" s="2269"/>
      <c r="P37" s="2269"/>
      <c r="Q37" s="2269"/>
    </row>
    <row r="38" spans="2:17" s="747" customFormat="1">
      <c r="B38" s="2269"/>
      <c r="C38" s="2269"/>
      <c r="D38" s="2269"/>
      <c r="E38" s="2269"/>
      <c r="F38" s="2269"/>
      <c r="G38" s="2269"/>
      <c r="H38" s="2269"/>
      <c r="I38" s="2269"/>
      <c r="J38" s="2269"/>
      <c r="K38" s="2269"/>
      <c r="L38" s="2269"/>
      <c r="M38" s="2269"/>
      <c r="N38" s="2269"/>
      <c r="O38" s="2269"/>
      <c r="P38" s="2269"/>
      <c r="Q38" s="2269"/>
    </row>
    <row r="39" spans="2:17" s="747" customFormat="1">
      <c r="B39" s="2269"/>
      <c r="C39" s="2269"/>
      <c r="D39" s="2269"/>
      <c r="E39" s="2269"/>
      <c r="F39" s="2269"/>
      <c r="G39" s="2269"/>
      <c r="H39" s="2269"/>
      <c r="I39" s="2269"/>
      <c r="J39" s="2269"/>
      <c r="K39" s="2269"/>
      <c r="L39" s="2269"/>
      <c r="M39" s="2269"/>
      <c r="N39" s="2269"/>
      <c r="O39" s="2269"/>
      <c r="P39" s="2269"/>
      <c r="Q39" s="2269"/>
    </row>
    <row r="40" spans="2:17" s="747" customFormat="1">
      <c r="B40" s="2269"/>
      <c r="C40" s="2269"/>
      <c r="D40" s="2269"/>
      <c r="E40" s="2269"/>
      <c r="F40" s="2269"/>
      <c r="G40" s="2269"/>
      <c r="H40" s="2269"/>
      <c r="I40" s="2269"/>
      <c r="J40" s="2269"/>
      <c r="K40" s="2269"/>
      <c r="L40" s="2269"/>
      <c r="M40" s="2269"/>
      <c r="N40" s="2269"/>
      <c r="O40" s="2269"/>
      <c r="P40" s="2269"/>
      <c r="Q40" s="2269"/>
    </row>
    <row r="41" spans="2:17" s="747" customFormat="1">
      <c r="B41" s="2269"/>
      <c r="C41" s="2269"/>
      <c r="D41" s="2269"/>
      <c r="E41" s="2269"/>
      <c r="F41" s="2269"/>
      <c r="G41" s="2269"/>
      <c r="H41" s="2269"/>
      <c r="I41" s="2269"/>
      <c r="J41" s="2269"/>
      <c r="K41" s="2269"/>
      <c r="L41" s="2269"/>
      <c r="M41" s="2269"/>
      <c r="N41" s="2269"/>
      <c r="O41" s="2269"/>
      <c r="P41" s="2269"/>
      <c r="Q41" s="2269"/>
    </row>
    <row r="42" spans="2:17" s="747" customFormat="1">
      <c r="B42" s="2269"/>
      <c r="C42" s="2269"/>
      <c r="D42" s="2269"/>
      <c r="E42" s="2269"/>
      <c r="F42" s="2269"/>
      <c r="G42" s="2269"/>
      <c r="H42" s="2269"/>
      <c r="I42" s="2269"/>
      <c r="J42" s="2269"/>
      <c r="K42" s="2269"/>
      <c r="L42" s="2269"/>
      <c r="M42" s="2269"/>
      <c r="N42" s="2269"/>
      <c r="O42" s="2269"/>
      <c r="P42" s="2269"/>
      <c r="Q42" s="2269"/>
    </row>
    <row r="43" spans="2:17" s="747" customFormat="1">
      <c r="B43" s="2269"/>
      <c r="C43" s="2269"/>
      <c r="D43" s="2269"/>
      <c r="E43" s="2269"/>
      <c r="F43" s="2269"/>
      <c r="G43" s="2269"/>
      <c r="H43" s="2269"/>
      <c r="I43" s="2269"/>
      <c r="J43" s="2269"/>
      <c r="K43" s="2269"/>
      <c r="L43" s="2269"/>
      <c r="M43" s="2269"/>
      <c r="N43" s="2269"/>
      <c r="O43" s="2269"/>
      <c r="P43" s="2269"/>
      <c r="Q43" s="2269"/>
    </row>
    <row r="44" spans="2:17" s="747" customFormat="1">
      <c r="B44" s="2269"/>
      <c r="C44" s="2269"/>
      <c r="D44" s="2269"/>
      <c r="E44" s="2269"/>
      <c r="F44" s="2269"/>
      <c r="G44" s="2269"/>
      <c r="H44" s="2269"/>
      <c r="I44" s="2269"/>
      <c r="J44" s="2269"/>
      <c r="K44" s="2269"/>
      <c r="L44" s="2269"/>
      <c r="M44" s="2269"/>
      <c r="N44" s="2269"/>
      <c r="O44" s="2269"/>
      <c r="P44" s="2269"/>
      <c r="Q44" s="2269"/>
    </row>
    <row r="45" spans="2:17" s="747" customFormat="1">
      <c r="B45" s="2269"/>
      <c r="C45" s="2269"/>
      <c r="D45" s="2269"/>
      <c r="E45" s="2269"/>
      <c r="F45" s="2269"/>
      <c r="G45" s="2269"/>
      <c r="H45" s="2269"/>
      <c r="I45" s="2269"/>
      <c r="J45" s="2269"/>
      <c r="K45" s="2269"/>
      <c r="L45" s="2269"/>
      <c r="M45" s="2269"/>
      <c r="N45" s="2269"/>
      <c r="O45" s="2269"/>
      <c r="P45" s="2269"/>
      <c r="Q45" s="2269"/>
    </row>
    <row r="46" spans="2:17" s="747" customFormat="1">
      <c r="B46" s="2269"/>
      <c r="C46" s="2269"/>
      <c r="D46" s="2269"/>
      <c r="E46" s="2269"/>
      <c r="F46" s="2269"/>
      <c r="G46" s="2269"/>
      <c r="H46" s="2269"/>
      <c r="I46" s="2269"/>
      <c r="J46" s="2269"/>
      <c r="K46" s="2269"/>
      <c r="L46" s="2269"/>
      <c r="M46" s="2269"/>
      <c r="N46" s="2269"/>
      <c r="O46" s="2269"/>
      <c r="P46" s="2269"/>
      <c r="Q46" s="2269"/>
    </row>
    <row r="47" spans="2:17" s="747" customFormat="1">
      <c r="B47" s="2269"/>
      <c r="C47" s="2269"/>
      <c r="D47" s="2269"/>
      <c r="E47" s="2269"/>
      <c r="F47" s="2269"/>
      <c r="G47" s="2269"/>
      <c r="H47" s="2269"/>
      <c r="I47" s="2269"/>
      <c r="J47" s="2269"/>
      <c r="K47" s="2269"/>
      <c r="L47" s="2269"/>
      <c r="M47" s="2269"/>
      <c r="N47" s="2269"/>
      <c r="O47" s="2269"/>
      <c r="P47" s="2269"/>
      <c r="Q47" s="2269"/>
    </row>
    <row r="48" spans="2:17" s="747" customFormat="1">
      <c r="B48" s="2269"/>
      <c r="C48" s="2269"/>
      <c r="D48" s="2269"/>
      <c r="E48" s="2269"/>
      <c r="F48" s="2269"/>
      <c r="G48" s="2269"/>
      <c r="H48" s="2269"/>
      <c r="I48" s="2269"/>
      <c r="J48" s="2269"/>
      <c r="K48" s="2269"/>
      <c r="L48" s="2269"/>
      <c r="M48" s="2269"/>
      <c r="N48" s="2269"/>
      <c r="O48" s="2269"/>
      <c r="P48" s="2269"/>
      <c r="Q48" s="2269"/>
    </row>
    <row r="49" spans="2:17" s="747" customFormat="1">
      <c r="B49" s="2269"/>
      <c r="C49" s="2269"/>
      <c r="D49" s="2269"/>
      <c r="E49" s="2269"/>
      <c r="F49" s="2269"/>
      <c r="G49" s="2269"/>
      <c r="H49" s="2269"/>
      <c r="I49" s="2269"/>
      <c r="J49" s="2269"/>
      <c r="K49" s="2269"/>
      <c r="L49" s="2269"/>
      <c r="M49" s="2269"/>
      <c r="N49" s="2269"/>
      <c r="O49" s="2269"/>
      <c r="P49" s="2269"/>
      <c r="Q49" s="2269"/>
    </row>
    <row r="50" spans="2:17" s="747" customFormat="1">
      <c r="B50" s="2269"/>
      <c r="C50" s="2269"/>
      <c r="D50" s="2269"/>
      <c r="E50" s="2269"/>
      <c r="F50" s="2269"/>
      <c r="G50" s="2269"/>
      <c r="H50" s="2269"/>
      <c r="I50" s="2269"/>
      <c r="J50" s="2269"/>
      <c r="K50" s="2269"/>
      <c r="L50" s="2269"/>
      <c r="M50" s="2269"/>
      <c r="N50" s="2269"/>
      <c r="O50" s="2269"/>
      <c r="P50" s="2269"/>
      <c r="Q50" s="2269"/>
    </row>
    <row r="51" spans="2:17" s="747" customFormat="1">
      <c r="B51" s="2269"/>
      <c r="C51" s="2269"/>
      <c r="D51" s="2269"/>
      <c r="E51" s="2269"/>
      <c r="F51" s="2269"/>
      <c r="G51" s="2269"/>
      <c r="H51" s="2269"/>
      <c r="I51" s="2269"/>
      <c r="J51" s="2269"/>
      <c r="K51" s="2269"/>
      <c r="L51" s="2269"/>
      <c r="M51" s="2269"/>
      <c r="N51" s="2269"/>
      <c r="O51" s="2269"/>
      <c r="P51" s="2269"/>
      <c r="Q51" s="2269"/>
    </row>
    <row r="52" spans="2:17" s="747" customFormat="1">
      <c r="B52" s="2269"/>
      <c r="C52" s="2269"/>
      <c r="D52" s="2269"/>
      <c r="E52" s="2269"/>
      <c r="F52" s="2269"/>
      <c r="G52" s="2269"/>
      <c r="H52" s="2269"/>
      <c r="I52" s="2269"/>
      <c r="J52" s="2269"/>
      <c r="K52" s="2269"/>
      <c r="L52" s="2269"/>
      <c r="M52" s="2269"/>
      <c r="N52" s="2269"/>
      <c r="O52" s="2269"/>
      <c r="P52" s="2269"/>
      <c r="Q52" s="2269"/>
    </row>
    <row r="53" spans="2:17" s="747" customFormat="1">
      <c r="B53" s="2269"/>
      <c r="C53" s="2269"/>
      <c r="D53" s="2269"/>
      <c r="E53" s="2269"/>
      <c r="F53" s="2269"/>
      <c r="G53" s="2269"/>
      <c r="H53" s="2269"/>
      <c r="I53" s="2269"/>
      <c r="J53" s="2269"/>
      <c r="K53" s="2269"/>
      <c r="L53" s="2269"/>
      <c r="M53" s="2269"/>
      <c r="N53" s="2269"/>
      <c r="O53" s="2269"/>
      <c r="P53" s="2269"/>
      <c r="Q53" s="2269"/>
    </row>
    <row r="54" spans="2:17" s="747" customFormat="1">
      <c r="B54" s="2269"/>
      <c r="C54" s="2269"/>
      <c r="D54" s="2269"/>
      <c r="E54" s="2269"/>
      <c r="F54" s="2269"/>
      <c r="G54" s="2269"/>
      <c r="H54" s="2269"/>
      <c r="I54" s="2269"/>
      <c r="J54" s="2269"/>
      <c r="K54" s="2269"/>
      <c r="L54" s="2269"/>
      <c r="M54" s="2269"/>
      <c r="N54" s="2269"/>
      <c r="O54" s="2269"/>
      <c r="P54" s="2269"/>
      <c r="Q54" s="2269"/>
    </row>
    <row r="55" spans="2:17" s="747" customFormat="1">
      <c r="B55" s="2269"/>
      <c r="C55" s="2269"/>
      <c r="D55" s="2269"/>
      <c r="E55" s="2269"/>
      <c r="F55" s="2269"/>
      <c r="G55" s="2269"/>
      <c r="H55" s="2269"/>
      <c r="I55" s="2269"/>
      <c r="J55" s="2269"/>
      <c r="K55" s="2269"/>
      <c r="L55" s="2269"/>
      <c r="M55" s="2269"/>
      <c r="N55" s="2269"/>
      <c r="O55" s="2269"/>
      <c r="P55" s="2269"/>
      <c r="Q55" s="2269"/>
    </row>
    <row r="56" spans="2:17" s="747" customFormat="1">
      <c r="B56" s="2269"/>
      <c r="C56" s="2269"/>
      <c r="D56" s="2269"/>
      <c r="E56" s="2269"/>
      <c r="F56" s="2269"/>
      <c r="G56" s="2269"/>
      <c r="H56" s="2269"/>
      <c r="I56" s="2269"/>
      <c r="J56" s="2269"/>
      <c r="K56" s="2269"/>
      <c r="L56" s="2269"/>
      <c r="M56" s="2269"/>
      <c r="N56" s="2269"/>
      <c r="O56" s="2269"/>
      <c r="P56" s="2269"/>
      <c r="Q56" s="2269"/>
    </row>
    <row r="57" spans="2:17" s="747" customFormat="1">
      <c r="B57" s="2269"/>
      <c r="C57" s="2269"/>
      <c r="D57" s="2269"/>
      <c r="E57" s="2269"/>
      <c r="F57" s="2269"/>
      <c r="G57" s="2269"/>
      <c r="H57" s="2269"/>
      <c r="I57" s="2269"/>
      <c r="J57" s="2269"/>
      <c r="K57" s="2269"/>
      <c r="L57" s="2269"/>
      <c r="M57" s="2269"/>
      <c r="N57" s="2269"/>
      <c r="O57" s="2269"/>
      <c r="P57" s="2269"/>
      <c r="Q57" s="2269"/>
    </row>
    <row r="58" spans="2:17" s="747" customFormat="1">
      <c r="B58" s="2269"/>
      <c r="C58" s="2269"/>
      <c r="D58" s="2269"/>
      <c r="E58" s="2269"/>
      <c r="F58" s="2269"/>
      <c r="G58" s="2269"/>
      <c r="H58" s="2269"/>
      <c r="I58" s="2269"/>
      <c r="J58" s="2269"/>
      <c r="K58" s="2269"/>
      <c r="L58" s="2269"/>
      <c r="M58" s="2269"/>
      <c r="N58" s="2269"/>
      <c r="O58" s="2269"/>
      <c r="P58" s="2269"/>
      <c r="Q58" s="2269"/>
    </row>
    <row r="59" spans="2:17" s="747" customFormat="1">
      <c r="B59" s="2269"/>
      <c r="C59" s="2269"/>
      <c r="D59" s="2269"/>
      <c r="E59" s="2269"/>
      <c r="F59" s="2269"/>
      <c r="G59" s="2269"/>
      <c r="H59" s="2269"/>
      <c r="I59" s="2269"/>
      <c r="J59" s="2269"/>
      <c r="K59" s="2269"/>
      <c r="L59" s="2269"/>
      <c r="M59" s="2269"/>
      <c r="N59" s="2269"/>
      <c r="O59" s="2269"/>
      <c r="P59" s="2269"/>
      <c r="Q59" s="2269"/>
    </row>
    <row r="60" spans="2:17" s="747" customFormat="1">
      <c r="B60" s="2269"/>
      <c r="C60" s="2269"/>
      <c r="D60" s="2269"/>
      <c r="E60" s="2269"/>
      <c r="F60" s="2269"/>
      <c r="G60" s="2269"/>
      <c r="H60" s="2269"/>
      <c r="I60" s="2269"/>
      <c r="J60" s="2269"/>
      <c r="K60" s="2269"/>
      <c r="L60" s="2269"/>
      <c r="M60" s="2269"/>
      <c r="N60" s="2269"/>
      <c r="O60" s="2269"/>
      <c r="P60" s="2269"/>
      <c r="Q60" s="2269"/>
    </row>
    <row r="61" spans="2:17" s="747" customFormat="1">
      <c r="B61" s="2269"/>
      <c r="C61" s="2269"/>
      <c r="D61" s="2269"/>
      <c r="E61" s="2269"/>
      <c r="F61" s="2269"/>
      <c r="G61" s="2269"/>
      <c r="H61" s="2269"/>
      <c r="I61" s="2269"/>
      <c r="J61" s="2269"/>
      <c r="K61" s="2269"/>
      <c r="L61" s="2269"/>
      <c r="M61" s="2269"/>
      <c r="N61" s="2269"/>
      <c r="O61" s="2269"/>
      <c r="P61" s="2269"/>
      <c r="Q61" s="2269"/>
    </row>
    <row r="62" spans="2:17" s="747" customFormat="1">
      <c r="B62" s="2269"/>
      <c r="C62" s="2269"/>
      <c r="D62" s="2269"/>
      <c r="E62" s="2269"/>
      <c r="F62" s="2269"/>
      <c r="G62" s="2269"/>
      <c r="H62" s="2269"/>
      <c r="I62" s="2269"/>
      <c r="J62" s="2269"/>
      <c r="K62" s="2269"/>
      <c r="L62" s="2269"/>
      <c r="M62" s="2269"/>
      <c r="N62" s="2269"/>
      <c r="O62" s="2269"/>
      <c r="P62" s="2269"/>
      <c r="Q62" s="2269"/>
    </row>
    <row r="63" spans="2:17" s="747" customFormat="1">
      <c r="B63" s="2269"/>
      <c r="C63" s="2269"/>
      <c r="D63" s="2269"/>
      <c r="E63" s="2269"/>
      <c r="F63" s="2269"/>
      <c r="G63" s="2269"/>
      <c r="H63" s="2269"/>
      <c r="I63" s="2269"/>
      <c r="J63" s="2269"/>
      <c r="K63" s="2269"/>
      <c r="L63" s="2269"/>
      <c r="M63" s="2269"/>
      <c r="N63" s="2269"/>
      <c r="O63" s="2269"/>
      <c r="P63" s="2269"/>
      <c r="Q63" s="2269"/>
    </row>
    <row r="64" spans="2:17" s="747" customFormat="1">
      <c r="B64" s="2269"/>
      <c r="C64" s="2269"/>
      <c r="D64" s="2269"/>
      <c r="E64" s="2269"/>
      <c r="F64" s="2269"/>
      <c r="G64" s="2269"/>
      <c r="H64" s="2269"/>
      <c r="I64" s="2269"/>
      <c r="J64" s="2269"/>
      <c r="K64" s="2269"/>
      <c r="L64" s="2269"/>
      <c r="M64" s="2269"/>
      <c r="N64" s="2269"/>
      <c r="O64" s="2269"/>
      <c r="P64" s="2269"/>
      <c r="Q64" s="2269"/>
    </row>
    <row r="65" spans="2:17" s="747" customFormat="1">
      <c r="B65" s="2269"/>
      <c r="C65" s="2269"/>
      <c r="D65" s="2269"/>
      <c r="E65" s="2269"/>
      <c r="F65" s="2269"/>
      <c r="G65" s="2269"/>
      <c r="H65" s="2269"/>
      <c r="I65" s="2269"/>
      <c r="J65" s="2269"/>
      <c r="K65" s="2269"/>
      <c r="L65" s="2269"/>
      <c r="M65" s="2269"/>
      <c r="N65" s="2269"/>
      <c r="O65" s="2269"/>
      <c r="P65" s="2269"/>
      <c r="Q65" s="2269"/>
    </row>
    <row r="66" spans="2:17" s="747" customFormat="1">
      <c r="B66" s="2269"/>
      <c r="C66" s="2269"/>
      <c r="D66" s="2269"/>
      <c r="E66" s="2269"/>
      <c r="F66" s="2269"/>
      <c r="G66" s="2269"/>
      <c r="H66" s="2269"/>
      <c r="I66" s="2269"/>
      <c r="J66" s="2269"/>
      <c r="K66" s="2269"/>
      <c r="L66" s="2269"/>
      <c r="M66" s="2269"/>
      <c r="N66" s="2269"/>
      <c r="O66" s="2269"/>
      <c r="P66" s="2269"/>
      <c r="Q66" s="2269"/>
    </row>
    <row r="67" spans="2:17" s="747" customFormat="1">
      <c r="B67" s="2269"/>
      <c r="C67" s="2269"/>
      <c r="D67" s="2269"/>
      <c r="E67" s="2269"/>
      <c r="F67" s="2269"/>
      <c r="G67" s="2269"/>
      <c r="H67" s="2269"/>
      <c r="I67" s="2269"/>
      <c r="J67" s="2269"/>
      <c r="K67" s="2269"/>
      <c r="L67" s="2269"/>
      <c r="M67" s="2269"/>
      <c r="N67" s="2269"/>
      <c r="O67" s="2269"/>
      <c r="P67" s="2269"/>
      <c r="Q67" s="2269"/>
    </row>
    <row r="68" spans="2:17" s="747" customFormat="1">
      <c r="B68" s="2269"/>
      <c r="C68" s="2269"/>
      <c r="D68" s="2269"/>
      <c r="E68" s="2269"/>
      <c r="F68" s="2269"/>
      <c r="G68" s="2269"/>
      <c r="H68" s="2269"/>
      <c r="I68" s="2269"/>
      <c r="J68" s="2269"/>
      <c r="K68" s="2269"/>
      <c r="L68" s="2269"/>
      <c r="M68" s="2269"/>
      <c r="N68" s="2269"/>
      <c r="O68" s="2269"/>
      <c r="P68" s="2269"/>
      <c r="Q68" s="2269"/>
    </row>
    <row r="69" spans="2:17" s="747" customFormat="1">
      <c r="B69" s="2269"/>
      <c r="C69" s="2269"/>
      <c r="D69" s="2269"/>
      <c r="E69" s="2269"/>
      <c r="F69" s="2269"/>
      <c r="G69" s="2269"/>
      <c r="H69" s="2269"/>
      <c r="I69" s="2269"/>
      <c r="J69" s="2269"/>
      <c r="K69" s="2269"/>
      <c r="L69" s="2269"/>
      <c r="M69" s="2269"/>
      <c r="N69" s="2269"/>
      <c r="O69" s="2269"/>
      <c r="P69" s="2269"/>
      <c r="Q69" s="2269"/>
    </row>
    <row r="70" spans="2:17" s="747" customFormat="1">
      <c r="B70" s="2269"/>
      <c r="C70" s="2269"/>
      <c r="D70" s="2269"/>
      <c r="E70" s="2269"/>
      <c r="F70" s="2269"/>
      <c r="G70" s="2269"/>
      <c r="H70" s="2269"/>
      <c r="I70" s="2269"/>
      <c r="J70" s="2269"/>
      <c r="K70" s="2269"/>
      <c r="L70" s="2269"/>
      <c r="M70" s="2269"/>
      <c r="N70" s="2269"/>
      <c r="O70" s="2269"/>
      <c r="P70" s="2269"/>
      <c r="Q70" s="2269"/>
    </row>
    <row r="71" spans="2:17" s="747" customFormat="1">
      <c r="B71" s="2269"/>
      <c r="C71" s="2269"/>
      <c r="D71" s="2269"/>
      <c r="E71" s="2269"/>
      <c r="F71" s="2269"/>
      <c r="G71" s="2269"/>
      <c r="H71" s="2269"/>
      <c r="I71" s="2269"/>
      <c r="J71" s="2269"/>
      <c r="K71" s="2269"/>
      <c r="L71" s="2269"/>
      <c r="M71" s="2269"/>
      <c r="N71" s="2269"/>
      <c r="O71" s="2269"/>
      <c r="P71" s="2269"/>
      <c r="Q71" s="2269"/>
    </row>
    <row r="72" spans="2:17" s="747" customFormat="1">
      <c r="B72" s="2269"/>
      <c r="C72" s="2269"/>
      <c r="D72" s="2269"/>
      <c r="E72" s="2269"/>
      <c r="F72" s="2269"/>
      <c r="G72" s="2269"/>
      <c r="H72" s="2269"/>
      <c r="I72" s="2269"/>
      <c r="J72" s="2269"/>
      <c r="K72" s="2269"/>
      <c r="L72" s="2269"/>
      <c r="M72" s="2269"/>
      <c r="N72" s="2269"/>
      <c r="O72" s="2269"/>
      <c r="P72" s="2269"/>
      <c r="Q72" s="2269"/>
    </row>
    <row r="73" spans="2:17" s="747" customFormat="1">
      <c r="B73" s="2269"/>
      <c r="C73" s="2269"/>
      <c r="D73" s="2269"/>
      <c r="E73" s="2269"/>
      <c r="F73" s="2269"/>
      <c r="G73" s="2269"/>
      <c r="H73" s="2269"/>
      <c r="I73" s="2269"/>
      <c r="J73" s="2269"/>
      <c r="K73" s="2269"/>
      <c r="L73" s="2269"/>
      <c r="M73" s="2269"/>
      <c r="N73" s="2269"/>
      <c r="O73" s="2269"/>
      <c r="P73" s="2269"/>
      <c r="Q73" s="2269"/>
    </row>
    <row r="74" spans="2:17" s="747" customFormat="1">
      <c r="B74" s="2269"/>
      <c r="C74" s="2269"/>
      <c r="D74" s="2269"/>
      <c r="E74" s="2269"/>
      <c r="F74" s="2269"/>
      <c r="G74" s="2269"/>
      <c r="H74" s="2269"/>
      <c r="I74" s="2269"/>
      <c r="J74" s="2269"/>
      <c r="K74" s="2269"/>
      <c r="L74" s="2269"/>
      <c r="M74" s="2269"/>
      <c r="N74" s="2269"/>
      <c r="O74" s="2269"/>
      <c r="P74" s="2269"/>
      <c r="Q74" s="2269"/>
    </row>
    <row r="75" spans="2:17" s="747" customFormat="1">
      <c r="B75" s="2269"/>
      <c r="C75" s="2269"/>
      <c r="D75" s="2269"/>
      <c r="E75" s="2269"/>
      <c r="F75" s="2269"/>
      <c r="G75" s="2269"/>
      <c r="H75" s="2269"/>
      <c r="I75" s="2269"/>
      <c r="J75" s="2269"/>
      <c r="K75" s="2269"/>
      <c r="L75" s="2269"/>
      <c r="M75" s="2269"/>
      <c r="N75" s="2269"/>
      <c r="O75" s="2269"/>
      <c r="P75" s="2269"/>
      <c r="Q75" s="2269"/>
    </row>
    <row r="76" spans="2:17" s="747" customFormat="1">
      <c r="B76" s="2269"/>
      <c r="C76" s="2269"/>
      <c r="D76" s="2269"/>
      <c r="E76" s="2269"/>
      <c r="F76" s="2269"/>
      <c r="G76" s="2269"/>
      <c r="H76" s="2269"/>
      <c r="I76" s="2269"/>
      <c r="J76" s="2269"/>
      <c r="K76" s="2269"/>
      <c r="L76" s="2269"/>
      <c r="M76" s="2269"/>
      <c r="N76" s="2269"/>
      <c r="O76" s="2269"/>
      <c r="P76" s="2269"/>
      <c r="Q76" s="2269"/>
    </row>
    <row r="77" spans="2:17" s="747" customFormat="1">
      <c r="B77" s="2269"/>
      <c r="C77" s="2269"/>
      <c r="D77" s="2269"/>
      <c r="E77" s="2269"/>
      <c r="F77" s="2269"/>
      <c r="G77" s="2269"/>
      <c r="H77" s="2269"/>
      <c r="I77" s="2269"/>
      <c r="J77" s="2269"/>
      <c r="K77" s="2269"/>
      <c r="L77" s="2269"/>
      <c r="M77" s="2269"/>
      <c r="N77" s="2269"/>
      <c r="O77" s="2269"/>
      <c r="P77" s="2269"/>
      <c r="Q77" s="2269"/>
    </row>
    <row r="78" spans="2:17" s="747" customFormat="1">
      <c r="B78" s="2269"/>
      <c r="C78" s="2269"/>
      <c r="D78" s="2269"/>
      <c r="E78" s="2269"/>
      <c r="F78" s="2269"/>
      <c r="G78" s="2269"/>
      <c r="H78" s="2269"/>
      <c r="I78" s="2269"/>
      <c r="J78" s="2269"/>
      <c r="K78" s="2269"/>
      <c r="L78" s="2269"/>
      <c r="M78" s="2269"/>
      <c r="N78" s="2269"/>
      <c r="O78" s="2269"/>
      <c r="P78" s="2269"/>
      <c r="Q78" s="2269"/>
    </row>
    <row r="79" spans="2:17" s="747" customFormat="1">
      <c r="B79" s="2269"/>
      <c r="C79" s="2269"/>
      <c r="D79" s="2269"/>
      <c r="E79" s="2269"/>
      <c r="F79" s="2269"/>
      <c r="G79" s="2269"/>
      <c r="H79" s="2269"/>
      <c r="I79" s="2269"/>
      <c r="J79" s="2269"/>
      <c r="K79" s="2269"/>
      <c r="L79" s="2269"/>
      <c r="M79" s="2269"/>
      <c r="N79" s="2269"/>
      <c r="O79" s="2269"/>
      <c r="P79" s="2269"/>
      <c r="Q79" s="2269"/>
    </row>
    <row r="80" spans="2:17" s="747" customFormat="1">
      <c r="B80" s="2269"/>
      <c r="C80" s="2269"/>
      <c r="D80" s="2269"/>
      <c r="E80" s="2269"/>
      <c r="F80" s="2269"/>
      <c r="G80" s="2269"/>
      <c r="H80" s="2269"/>
      <c r="I80" s="2269"/>
      <c r="J80" s="2269"/>
      <c r="K80" s="2269"/>
      <c r="L80" s="2269"/>
      <c r="M80" s="2269"/>
      <c r="N80" s="2269"/>
      <c r="O80" s="2269"/>
      <c r="P80" s="2269"/>
      <c r="Q80" s="2269"/>
    </row>
    <row r="81" spans="2:17" s="747" customFormat="1">
      <c r="B81" s="2269"/>
      <c r="C81" s="2269"/>
      <c r="D81" s="2269"/>
      <c r="E81" s="2269"/>
      <c r="F81" s="2269"/>
      <c r="G81" s="2269"/>
      <c r="H81" s="2269"/>
      <c r="I81" s="2269"/>
      <c r="J81" s="2269"/>
      <c r="K81" s="2269"/>
      <c r="L81" s="2269"/>
      <c r="M81" s="2269"/>
      <c r="N81" s="2269"/>
      <c r="O81" s="2269"/>
      <c r="P81" s="2269"/>
      <c r="Q81" s="2269"/>
    </row>
    <row r="82" spans="2:17" s="747" customFormat="1">
      <c r="B82" s="2269"/>
      <c r="C82" s="2269"/>
      <c r="D82" s="2269"/>
      <c r="E82" s="2269"/>
      <c r="F82" s="2269"/>
      <c r="G82" s="2269"/>
      <c r="H82" s="2269"/>
      <c r="I82" s="2269"/>
      <c r="J82" s="2269"/>
      <c r="K82" s="2269"/>
      <c r="L82" s="2269"/>
      <c r="M82" s="2269"/>
      <c r="N82" s="2269"/>
      <c r="O82" s="2269"/>
      <c r="P82" s="2269"/>
      <c r="Q82" s="2269"/>
    </row>
    <row r="83" spans="2:17" s="747" customFormat="1">
      <c r="B83" s="2269"/>
      <c r="C83" s="2269"/>
      <c r="D83" s="2269"/>
      <c r="E83" s="2269"/>
      <c r="F83" s="2269"/>
      <c r="G83" s="2269"/>
      <c r="H83" s="2269"/>
      <c r="I83" s="2269"/>
      <c r="J83" s="2269"/>
      <c r="K83" s="2269"/>
      <c r="L83" s="2269"/>
      <c r="M83" s="2269"/>
      <c r="N83" s="2269"/>
      <c r="O83" s="2269"/>
      <c r="P83" s="2269"/>
      <c r="Q83" s="2269"/>
    </row>
    <row r="84" spans="2:17" s="747" customFormat="1">
      <c r="B84" s="2269"/>
      <c r="C84" s="2269"/>
      <c r="D84" s="2269"/>
      <c r="E84" s="2269"/>
      <c r="F84" s="2269"/>
      <c r="G84" s="2269"/>
      <c r="H84" s="2269"/>
      <c r="I84" s="2269"/>
      <c r="J84" s="2269"/>
      <c r="K84" s="2269"/>
      <c r="L84" s="2269"/>
      <c r="M84" s="2269"/>
      <c r="N84" s="2269"/>
      <c r="O84" s="2269"/>
      <c r="P84" s="2269"/>
      <c r="Q84" s="2269"/>
    </row>
    <row r="85" spans="2:17" s="747" customFormat="1">
      <c r="B85" s="2269"/>
      <c r="C85" s="2269"/>
      <c r="D85" s="2269"/>
      <c r="E85" s="2269"/>
      <c r="F85" s="2269"/>
      <c r="G85" s="2269"/>
      <c r="H85" s="2269"/>
      <c r="I85" s="2269"/>
      <c r="J85" s="2269"/>
      <c r="K85" s="2269"/>
      <c r="L85" s="2269"/>
      <c r="M85" s="2269"/>
      <c r="N85" s="2269"/>
      <c r="O85" s="2269"/>
      <c r="P85" s="2269"/>
      <c r="Q85" s="2269"/>
    </row>
    <row r="86" spans="2:17" s="747" customFormat="1">
      <c r="B86" s="2269"/>
      <c r="C86" s="2269"/>
      <c r="D86" s="2269"/>
      <c r="E86" s="2269"/>
      <c r="F86" s="2269"/>
      <c r="G86" s="2269"/>
      <c r="H86" s="2269"/>
      <c r="I86" s="2269"/>
      <c r="J86" s="2269"/>
      <c r="K86" s="2269"/>
      <c r="L86" s="2269"/>
      <c r="M86" s="2269"/>
      <c r="N86" s="2269"/>
      <c r="O86" s="2269"/>
      <c r="P86" s="2269"/>
      <c r="Q86" s="2269"/>
    </row>
    <row r="87" spans="2:17" s="747" customFormat="1">
      <c r="B87" s="2269"/>
      <c r="C87" s="2269"/>
      <c r="D87" s="2269"/>
      <c r="E87" s="2269"/>
      <c r="F87" s="2269"/>
      <c r="G87" s="2269"/>
      <c r="H87" s="2269"/>
      <c r="I87" s="2269"/>
      <c r="J87" s="2269"/>
      <c r="K87" s="2269"/>
      <c r="L87" s="2269"/>
      <c r="M87" s="2269"/>
      <c r="N87" s="2269"/>
      <c r="O87" s="2269"/>
      <c r="P87" s="2269"/>
      <c r="Q87" s="2269"/>
    </row>
    <row r="88" spans="2:17" s="747" customFormat="1">
      <c r="B88" s="2269"/>
      <c r="C88" s="2269"/>
      <c r="D88" s="2269"/>
      <c r="E88" s="2269"/>
      <c r="F88" s="2269"/>
      <c r="G88" s="2269"/>
      <c r="H88" s="2269"/>
      <c r="I88" s="2269"/>
      <c r="J88" s="2269"/>
      <c r="K88" s="2269"/>
      <c r="L88" s="2269"/>
      <c r="M88" s="2269"/>
      <c r="N88" s="2269"/>
      <c r="O88" s="2269"/>
      <c r="P88" s="2269"/>
      <c r="Q88" s="2269"/>
    </row>
    <row r="89" spans="2:17" s="747" customFormat="1">
      <c r="B89" s="2269"/>
      <c r="C89" s="2269"/>
      <c r="D89" s="2269"/>
      <c r="E89" s="2269"/>
      <c r="F89" s="2269"/>
      <c r="G89" s="2269"/>
      <c r="H89" s="2269"/>
      <c r="I89" s="2269"/>
      <c r="J89" s="2269"/>
      <c r="K89" s="2269"/>
      <c r="L89" s="2269"/>
      <c r="M89" s="2269"/>
      <c r="N89" s="2269"/>
      <c r="O89" s="2269"/>
      <c r="P89" s="2269"/>
      <c r="Q89" s="2269"/>
    </row>
    <row r="90" spans="2:17" s="747" customFormat="1">
      <c r="B90" s="2269"/>
      <c r="C90" s="2269"/>
      <c r="D90" s="2269"/>
      <c r="E90" s="2269"/>
      <c r="F90" s="2269"/>
      <c r="G90" s="2269"/>
      <c r="H90" s="2269"/>
      <c r="I90" s="2269"/>
      <c r="J90" s="2269"/>
      <c r="K90" s="2269"/>
      <c r="L90" s="2269"/>
      <c r="M90" s="2269"/>
      <c r="N90" s="2269"/>
      <c r="O90" s="2269"/>
      <c r="P90" s="2269"/>
      <c r="Q90" s="2269"/>
    </row>
    <row r="91" spans="2:17" s="747" customFormat="1">
      <c r="B91" s="2269"/>
      <c r="C91" s="2269"/>
      <c r="D91" s="2269"/>
      <c r="E91" s="2269"/>
      <c r="F91" s="2269"/>
      <c r="G91" s="2269"/>
      <c r="H91" s="2269"/>
      <c r="I91" s="2269"/>
      <c r="J91" s="2269"/>
      <c r="K91" s="2269"/>
      <c r="L91" s="2269"/>
      <c r="M91" s="2269"/>
      <c r="N91" s="2269"/>
      <c r="O91" s="2269"/>
      <c r="P91" s="2269"/>
      <c r="Q91" s="2269"/>
    </row>
    <row r="92" spans="2:17" s="747" customFormat="1">
      <c r="B92" s="2269"/>
      <c r="C92" s="2269"/>
      <c r="D92" s="2269"/>
      <c r="E92" s="2269"/>
      <c r="F92" s="2269"/>
      <c r="G92" s="2269"/>
      <c r="H92" s="2269"/>
      <c r="I92" s="2269"/>
      <c r="J92" s="2269"/>
      <c r="K92" s="2269"/>
      <c r="L92" s="2269"/>
      <c r="M92" s="2269"/>
      <c r="N92" s="2269"/>
      <c r="O92" s="2269"/>
      <c r="P92" s="2269"/>
      <c r="Q92" s="2269"/>
    </row>
    <row r="93" spans="2:17" s="747" customFormat="1">
      <c r="B93" s="2269"/>
      <c r="C93" s="2269"/>
      <c r="D93" s="2269"/>
      <c r="E93" s="2269"/>
      <c r="F93" s="2269"/>
      <c r="G93" s="2269"/>
      <c r="H93" s="2269"/>
      <c r="I93" s="2269"/>
      <c r="J93" s="2269"/>
      <c r="K93" s="2269"/>
      <c r="L93" s="2269"/>
      <c r="M93" s="2269"/>
      <c r="N93" s="2269"/>
      <c r="O93" s="2269"/>
      <c r="P93" s="2269"/>
      <c r="Q93" s="2269"/>
    </row>
    <row r="94" spans="2:17" s="747" customFormat="1">
      <c r="B94" s="2269"/>
      <c r="C94" s="2269"/>
      <c r="D94" s="2269"/>
      <c r="E94" s="2269"/>
      <c r="F94" s="2269"/>
      <c r="G94" s="2269"/>
      <c r="H94" s="2269"/>
      <c r="I94" s="2269"/>
      <c r="J94" s="2269"/>
      <c r="K94" s="2269"/>
      <c r="L94" s="2269"/>
      <c r="M94" s="2269"/>
      <c r="N94" s="2269"/>
      <c r="O94" s="2269"/>
      <c r="P94" s="2269"/>
      <c r="Q94" s="2269"/>
    </row>
    <row r="95" spans="2:17" s="747" customFormat="1">
      <c r="B95" s="2269"/>
      <c r="C95" s="2269"/>
      <c r="D95" s="2269"/>
      <c r="E95" s="2269"/>
      <c r="F95" s="2269"/>
      <c r="G95" s="2269"/>
      <c r="H95" s="2269"/>
      <c r="I95" s="2269"/>
      <c r="J95" s="2269"/>
      <c r="K95" s="2269"/>
      <c r="L95" s="2269"/>
      <c r="M95" s="2269"/>
      <c r="N95" s="2269"/>
      <c r="O95" s="2269"/>
      <c r="P95" s="2269"/>
      <c r="Q95" s="2269"/>
    </row>
    <row r="96" spans="2:17" s="747" customFormat="1">
      <c r="B96" s="2269"/>
      <c r="C96" s="2269"/>
      <c r="D96" s="2269"/>
      <c r="E96" s="2269"/>
      <c r="F96" s="2269"/>
      <c r="G96" s="2269"/>
      <c r="H96" s="2269"/>
      <c r="I96" s="2269"/>
      <c r="J96" s="2269"/>
      <c r="K96" s="2269"/>
      <c r="L96" s="2269"/>
      <c r="M96" s="2269"/>
      <c r="N96" s="2269"/>
      <c r="O96" s="2269"/>
      <c r="P96" s="2269"/>
      <c r="Q96" s="2269"/>
    </row>
    <row r="97" spans="2:17" s="747" customFormat="1">
      <c r="B97" s="2269"/>
      <c r="C97" s="2269"/>
      <c r="D97" s="2269"/>
      <c r="E97" s="2269"/>
      <c r="F97" s="2269"/>
      <c r="G97" s="2269"/>
      <c r="H97" s="2269"/>
      <c r="I97" s="2269"/>
      <c r="J97" s="2269"/>
      <c r="K97" s="2269"/>
      <c r="L97" s="2269"/>
      <c r="M97" s="2269"/>
      <c r="N97" s="2269"/>
      <c r="O97" s="2269"/>
      <c r="P97" s="2269"/>
      <c r="Q97" s="2269"/>
    </row>
    <row r="98" spans="2:17" s="747" customFormat="1">
      <c r="B98" s="2269"/>
      <c r="C98" s="2269"/>
      <c r="D98" s="2269"/>
      <c r="E98" s="2269"/>
      <c r="F98" s="2269"/>
      <c r="G98" s="2269"/>
      <c r="H98" s="2269"/>
      <c r="I98" s="2269"/>
      <c r="J98" s="2269"/>
      <c r="K98" s="2269"/>
      <c r="L98" s="2269"/>
      <c r="M98" s="2269"/>
      <c r="N98" s="2269"/>
      <c r="O98" s="2269"/>
      <c r="P98" s="2269"/>
      <c r="Q98" s="2269"/>
    </row>
    <row r="99" spans="2:17" s="747" customFormat="1">
      <c r="B99" s="2269"/>
      <c r="C99" s="2269"/>
      <c r="D99" s="2269"/>
      <c r="E99" s="2269"/>
      <c r="F99" s="2269"/>
      <c r="G99" s="2269"/>
      <c r="H99" s="2269"/>
      <c r="I99" s="2269"/>
      <c r="J99" s="2269"/>
      <c r="K99" s="2269"/>
      <c r="L99" s="2269"/>
      <c r="M99" s="2269"/>
      <c r="N99" s="2269"/>
      <c r="O99" s="2269"/>
      <c r="P99" s="2269"/>
      <c r="Q99" s="2269"/>
    </row>
    <row r="100" spans="2:17" s="747" customFormat="1">
      <c r="B100" s="2269"/>
      <c r="C100" s="2269"/>
      <c r="D100" s="2269"/>
      <c r="E100" s="2269"/>
      <c r="F100" s="2269"/>
      <c r="G100" s="2269"/>
      <c r="H100" s="2269"/>
      <c r="I100" s="2269"/>
      <c r="J100" s="2269"/>
      <c r="K100" s="2269"/>
      <c r="L100" s="2269"/>
      <c r="M100" s="2269"/>
      <c r="N100" s="2269"/>
      <c r="O100" s="2269"/>
      <c r="P100" s="2269"/>
      <c r="Q100" s="2269"/>
    </row>
    <row r="101" spans="2:17" s="747" customFormat="1">
      <c r="B101" s="2269"/>
      <c r="C101" s="2269"/>
      <c r="D101" s="2269"/>
      <c r="E101" s="2269"/>
      <c r="F101" s="2269"/>
      <c r="G101" s="2269"/>
      <c r="H101" s="2269"/>
      <c r="I101" s="2269"/>
      <c r="J101" s="2269"/>
      <c r="K101" s="2269"/>
      <c r="L101" s="2269"/>
      <c r="M101" s="2269"/>
      <c r="N101" s="2269"/>
      <c r="O101" s="2269"/>
      <c r="P101" s="2269"/>
      <c r="Q101" s="2269"/>
    </row>
    <row r="102" spans="2:17" s="747" customFormat="1">
      <c r="B102" s="2269"/>
      <c r="C102" s="2269"/>
      <c r="D102" s="2269"/>
      <c r="E102" s="2269"/>
      <c r="F102" s="2269"/>
      <c r="G102" s="2269"/>
      <c r="H102" s="2269"/>
      <c r="I102" s="2269"/>
      <c r="J102" s="2269"/>
      <c r="K102" s="2269"/>
      <c r="L102" s="2269"/>
      <c r="M102" s="2269"/>
      <c r="N102" s="2269"/>
      <c r="O102" s="2269"/>
      <c r="P102" s="2269"/>
      <c r="Q102" s="2269"/>
    </row>
    <row r="103" spans="2:17" s="747" customFormat="1">
      <c r="B103" s="2269"/>
      <c r="C103" s="2269"/>
      <c r="D103" s="2269"/>
      <c r="E103" s="2269"/>
      <c r="F103" s="2269"/>
      <c r="G103" s="2269"/>
      <c r="H103" s="2269"/>
      <c r="I103" s="2269"/>
      <c r="J103" s="2269"/>
      <c r="K103" s="2269"/>
      <c r="L103" s="2269"/>
      <c r="M103" s="2269"/>
      <c r="N103" s="2269"/>
      <c r="O103" s="2269"/>
      <c r="P103" s="2269"/>
      <c r="Q103" s="2269"/>
    </row>
    <row r="104" spans="2:17" s="747" customFormat="1">
      <c r="B104" s="2269"/>
      <c r="C104" s="2269"/>
      <c r="D104" s="2269"/>
      <c r="E104" s="2269"/>
      <c r="F104" s="2269"/>
      <c r="G104" s="2269"/>
      <c r="H104" s="2269"/>
      <c r="I104" s="2269"/>
      <c r="J104" s="2269"/>
      <c r="K104" s="2269"/>
      <c r="L104" s="2269"/>
      <c r="M104" s="2269"/>
      <c r="N104" s="2269"/>
      <c r="O104" s="2269"/>
      <c r="P104" s="2269"/>
      <c r="Q104" s="2269"/>
    </row>
    <row r="105" spans="2:17" s="747" customFormat="1">
      <c r="B105" s="2269"/>
      <c r="C105" s="2269"/>
      <c r="D105" s="2269"/>
      <c r="E105" s="2269"/>
      <c r="F105" s="2269"/>
      <c r="G105" s="2269"/>
      <c r="H105" s="2269"/>
      <c r="I105" s="2269"/>
      <c r="J105" s="2269"/>
      <c r="K105" s="2269"/>
      <c r="L105" s="2269"/>
      <c r="M105" s="2269"/>
      <c r="N105" s="2269"/>
      <c r="O105" s="2269"/>
      <c r="P105" s="2269"/>
      <c r="Q105" s="2269"/>
    </row>
    <row r="106" spans="2:17" s="747" customFormat="1">
      <c r="B106" s="2269"/>
      <c r="C106" s="2269"/>
      <c r="D106" s="2269"/>
      <c r="E106" s="2269"/>
      <c r="F106" s="2269"/>
      <c r="G106" s="2269"/>
      <c r="H106" s="2269"/>
      <c r="I106" s="2269"/>
      <c r="J106" s="2269"/>
      <c r="K106" s="2269"/>
      <c r="L106" s="2269"/>
      <c r="M106" s="2269"/>
      <c r="N106" s="2269"/>
      <c r="O106" s="2269"/>
      <c r="P106" s="2269"/>
      <c r="Q106" s="2269"/>
    </row>
    <row r="107" spans="2:17" s="747" customFormat="1">
      <c r="B107" s="2269"/>
      <c r="C107" s="2269"/>
      <c r="D107" s="2269"/>
      <c r="E107" s="2269"/>
      <c r="F107" s="2269"/>
      <c r="G107" s="2269"/>
      <c r="H107" s="2269"/>
      <c r="I107" s="2269"/>
      <c r="J107" s="2269"/>
      <c r="K107" s="2269"/>
      <c r="L107" s="2269"/>
      <c r="M107" s="2269"/>
      <c r="N107" s="2269"/>
      <c r="O107" s="2269"/>
      <c r="P107" s="2269"/>
      <c r="Q107" s="2269"/>
    </row>
    <row r="108" spans="2:17" s="747" customFormat="1">
      <c r="B108" s="2269"/>
      <c r="C108" s="2269"/>
      <c r="D108" s="2269"/>
      <c r="E108" s="2269"/>
      <c r="F108" s="2269"/>
      <c r="G108" s="2269"/>
      <c r="H108" s="2269"/>
      <c r="I108" s="2269"/>
      <c r="J108" s="2269"/>
      <c r="K108" s="2269"/>
      <c r="L108" s="2269"/>
      <c r="M108" s="2269"/>
      <c r="N108" s="2269"/>
      <c r="O108" s="2269"/>
      <c r="P108" s="2269"/>
      <c r="Q108" s="2269"/>
    </row>
    <row r="109" spans="2:17" s="747" customFormat="1">
      <c r="B109" s="2269"/>
      <c r="C109" s="2269"/>
      <c r="D109" s="2269"/>
      <c r="E109" s="2269"/>
      <c r="F109" s="2269"/>
      <c r="G109" s="2269"/>
      <c r="H109" s="2269"/>
      <c r="I109" s="2269"/>
      <c r="J109" s="2269"/>
      <c r="K109" s="2269"/>
      <c r="L109" s="2269"/>
      <c r="M109" s="2269"/>
      <c r="N109" s="2269"/>
      <c r="O109" s="2269"/>
      <c r="P109" s="2269"/>
      <c r="Q109" s="2269"/>
    </row>
    <row r="110" spans="2:17" s="747" customFormat="1">
      <c r="B110" s="2269"/>
      <c r="C110" s="2269"/>
      <c r="D110" s="2269"/>
      <c r="E110" s="2269"/>
      <c r="F110" s="2269"/>
      <c r="G110" s="2269"/>
      <c r="H110" s="2269"/>
      <c r="I110" s="2269"/>
      <c r="J110" s="2269"/>
      <c r="K110" s="2269"/>
      <c r="L110" s="2269"/>
      <c r="M110" s="2269"/>
      <c r="N110" s="2269"/>
      <c r="O110" s="2269"/>
      <c r="P110" s="2269"/>
      <c r="Q110" s="2269"/>
    </row>
    <row r="111" spans="2:17" s="747" customFormat="1">
      <c r="B111" s="2269"/>
      <c r="C111" s="2269"/>
      <c r="D111" s="2269"/>
      <c r="E111" s="2269"/>
      <c r="F111" s="2269"/>
      <c r="G111" s="2269"/>
      <c r="H111" s="2269"/>
      <c r="I111" s="2269"/>
      <c r="J111" s="2269"/>
      <c r="K111" s="2269"/>
      <c r="L111" s="2269"/>
      <c r="M111" s="2269"/>
      <c r="N111" s="2269"/>
      <c r="O111" s="2269"/>
      <c r="P111" s="2269"/>
      <c r="Q111" s="2269"/>
    </row>
    <row r="112" spans="2:17" s="747" customFormat="1">
      <c r="B112" s="2269"/>
      <c r="C112" s="2269"/>
      <c r="D112" s="2269"/>
      <c r="E112" s="2269"/>
      <c r="F112" s="2269"/>
      <c r="G112" s="2269"/>
      <c r="H112" s="2269"/>
      <c r="I112" s="2269"/>
      <c r="J112" s="2269"/>
      <c r="K112" s="2269"/>
      <c r="L112" s="2269"/>
      <c r="M112" s="2269"/>
      <c r="N112" s="2269"/>
      <c r="O112" s="2269"/>
      <c r="P112" s="2269"/>
      <c r="Q112" s="2269"/>
    </row>
    <row r="113" spans="2:17" s="747" customFormat="1">
      <c r="B113" s="2269"/>
      <c r="C113" s="2269"/>
      <c r="D113" s="2269"/>
      <c r="E113" s="2269"/>
      <c r="F113" s="2269"/>
      <c r="G113" s="2269"/>
      <c r="H113" s="2269"/>
      <c r="I113" s="2269"/>
      <c r="J113" s="2269"/>
      <c r="K113" s="2269"/>
      <c r="L113" s="2269"/>
      <c r="M113" s="2269"/>
      <c r="N113" s="2269"/>
      <c r="O113" s="2269"/>
      <c r="P113" s="2269"/>
      <c r="Q113" s="2269"/>
    </row>
    <row r="114" spans="2:17" s="747" customFormat="1">
      <c r="B114" s="2269"/>
      <c r="C114" s="2269"/>
      <c r="D114" s="2269"/>
      <c r="E114" s="2269"/>
      <c r="F114" s="2269"/>
      <c r="G114" s="2269"/>
      <c r="H114" s="2269"/>
      <c r="I114" s="2269"/>
      <c r="J114" s="2269"/>
      <c r="K114" s="2269"/>
      <c r="L114" s="2269"/>
      <c r="M114" s="2269"/>
      <c r="N114" s="2269"/>
      <c r="O114" s="2269"/>
      <c r="P114" s="2269"/>
      <c r="Q114" s="2269"/>
    </row>
    <row r="115" spans="2:17" s="747" customFormat="1">
      <c r="B115" s="2269"/>
      <c r="C115" s="2269"/>
      <c r="D115" s="2269"/>
      <c r="E115" s="2269"/>
      <c r="F115" s="2269"/>
      <c r="G115" s="2269"/>
      <c r="H115" s="2269"/>
      <c r="I115" s="2269"/>
      <c r="J115" s="2269"/>
      <c r="K115" s="2269"/>
      <c r="L115" s="2269"/>
      <c r="M115" s="2269"/>
      <c r="N115" s="2269"/>
      <c r="O115" s="2269"/>
      <c r="P115" s="2269"/>
      <c r="Q115" s="2269"/>
    </row>
    <row r="116" spans="2:17" s="747" customFormat="1">
      <c r="B116" s="2269"/>
      <c r="C116" s="2269"/>
      <c r="D116" s="2269"/>
      <c r="E116" s="2269"/>
      <c r="F116" s="2269"/>
      <c r="G116" s="2269"/>
      <c r="H116" s="2269"/>
      <c r="I116" s="2269"/>
      <c r="J116" s="2269"/>
      <c r="K116" s="2269"/>
      <c r="L116" s="2269"/>
      <c r="M116" s="2269"/>
      <c r="N116" s="2269"/>
      <c r="O116" s="2269"/>
      <c r="P116" s="2269"/>
      <c r="Q116" s="2269"/>
    </row>
    <row r="117" spans="2:17" s="747" customFormat="1">
      <c r="B117" s="2269"/>
      <c r="C117" s="2269"/>
      <c r="D117" s="2269"/>
      <c r="E117" s="2269"/>
      <c r="F117" s="2269"/>
      <c r="G117" s="2269"/>
      <c r="H117" s="2269"/>
      <c r="I117" s="2269"/>
      <c r="J117" s="2269"/>
      <c r="K117" s="2269"/>
      <c r="L117" s="2269"/>
      <c r="M117" s="2269"/>
      <c r="N117" s="2269"/>
      <c r="O117" s="2269"/>
      <c r="P117" s="2269"/>
      <c r="Q117" s="2269"/>
    </row>
    <row r="118" spans="2:17" s="747" customFormat="1">
      <c r="B118" s="2269"/>
      <c r="C118" s="2269"/>
      <c r="D118" s="2269"/>
      <c r="E118" s="2269"/>
      <c r="F118" s="2269"/>
      <c r="G118" s="2269"/>
      <c r="H118" s="2269"/>
      <c r="I118" s="2269"/>
      <c r="J118" s="2269"/>
      <c r="K118" s="2269"/>
      <c r="L118" s="2269"/>
      <c r="M118" s="2269"/>
      <c r="N118" s="2269"/>
      <c r="O118" s="2269"/>
      <c r="P118" s="2269"/>
      <c r="Q118" s="2269"/>
    </row>
    <row r="119" spans="2:17" s="747" customFormat="1">
      <c r="B119" s="2269"/>
      <c r="C119" s="2269"/>
      <c r="D119" s="2269"/>
      <c r="E119" s="2269"/>
      <c r="F119" s="2269"/>
      <c r="G119" s="2269"/>
      <c r="H119" s="2269"/>
      <c r="I119" s="2269"/>
      <c r="J119" s="2269"/>
      <c r="K119" s="2269"/>
      <c r="L119" s="2269"/>
      <c r="M119" s="2269"/>
      <c r="N119" s="2269"/>
      <c r="O119" s="2269"/>
      <c r="P119" s="2269"/>
      <c r="Q119" s="2269"/>
    </row>
    <row r="120" spans="2:17" s="747" customFormat="1">
      <c r="B120" s="2269"/>
      <c r="C120" s="2269"/>
      <c r="D120" s="2269"/>
      <c r="E120" s="2269"/>
      <c r="F120" s="2269"/>
      <c r="G120" s="2269"/>
      <c r="H120" s="2269"/>
      <c r="I120" s="2269"/>
      <c r="J120" s="2269"/>
      <c r="K120" s="2269"/>
      <c r="L120" s="2269"/>
      <c r="M120" s="2269"/>
      <c r="N120" s="2269"/>
      <c r="O120" s="2269"/>
      <c r="P120" s="2269"/>
      <c r="Q120" s="2269"/>
    </row>
    <row r="121" spans="2:17" s="747" customFormat="1">
      <c r="B121" s="2269"/>
      <c r="C121" s="2269"/>
      <c r="D121" s="2269"/>
      <c r="E121" s="2269"/>
      <c r="F121" s="2269"/>
      <c r="G121" s="2269"/>
      <c r="H121" s="2269"/>
      <c r="I121" s="2269"/>
      <c r="J121" s="2269"/>
      <c r="K121" s="2269"/>
      <c r="L121" s="2269"/>
      <c r="M121" s="2269"/>
      <c r="N121" s="2269"/>
      <c r="O121" s="2269"/>
      <c r="P121" s="2269"/>
      <c r="Q121" s="2269"/>
    </row>
    <row r="122" spans="2:17" s="747" customFormat="1">
      <c r="B122" s="2269"/>
      <c r="C122" s="2269"/>
      <c r="D122" s="2269"/>
      <c r="E122" s="2269"/>
      <c r="F122" s="2269"/>
      <c r="G122" s="2269"/>
      <c r="H122" s="2269"/>
      <c r="I122" s="2269"/>
      <c r="J122" s="2269"/>
      <c r="K122" s="2269"/>
      <c r="L122" s="2269"/>
      <c r="M122" s="2269"/>
      <c r="N122" s="2269"/>
      <c r="O122" s="2269"/>
      <c r="P122" s="2269"/>
      <c r="Q122" s="2269"/>
    </row>
    <row r="123" spans="2:17" s="747" customFormat="1">
      <c r="B123" s="2269"/>
      <c r="C123" s="2269"/>
      <c r="D123" s="2269"/>
      <c r="E123" s="2269"/>
      <c r="F123" s="2269"/>
      <c r="G123" s="2269"/>
      <c r="H123" s="2269"/>
      <c r="I123" s="2269"/>
      <c r="J123" s="2269"/>
      <c r="K123" s="2269"/>
      <c r="L123" s="2269"/>
      <c r="M123" s="2269"/>
      <c r="N123" s="2269"/>
      <c r="O123" s="2269"/>
      <c r="P123" s="2269"/>
      <c r="Q123" s="2269"/>
    </row>
    <row r="124" spans="2:17" s="747" customFormat="1">
      <c r="B124" s="2269"/>
      <c r="C124" s="2269"/>
      <c r="D124" s="2269"/>
      <c r="E124" s="2269"/>
      <c r="F124" s="2269"/>
      <c r="G124" s="2269"/>
      <c r="H124" s="2269"/>
      <c r="I124" s="2269"/>
      <c r="J124" s="2269"/>
      <c r="K124" s="2269"/>
      <c r="L124" s="2269"/>
      <c r="M124" s="2269"/>
      <c r="N124" s="2269"/>
      <c r="O124" s="2269"/>
      <c r="P124" s="2269"/>
      <c r="Q124" s="2269"/>
    </row>
    <row r="125" spans="2:17" s="747" customFormat="1">
      <c r="B125" s="2269"/>
      <c r="C125" s="2269"/>
      <c r="D125" s="2269"/>
      <c r="E125" s="2269"/>
      <c r="F125" s="2269"/>
      <c r="G125" s="2269"/>
      <c r="H125" s="2269"/>
      <c r="I125" s="2269"/>
      <c r="J125" s="2269"/>
      <c r="K125" s="2269"/>
      <c r="L125" s="2269"/>
      <c r="M125" s="2269"/>
      <c r="N125" s="2269"/>
      <c r="O125" s="2269"/>
      <c r="P125" s="2269"/>
      <c r="Q125" s="2269"/>
    </row>
    <row r="126" spans="2:17" s="747" customFormat="1">
      <c r="B126" s="2269"/>
      <c r="C126" s="2269"/>
      <c r="D126" s="2269"/>
      <c r="E126" s="2269"/>
      <c r="F126" s="2269"/>
      <c r="G126" s="2269"/>
      <c r="H126" s="2269"/>
      <c r="I126" s="2269"/>
      <c r="J126" s="2269"/>
      <c r="K126" s="2269"/>
      <c r="L126" s="2269"/>
      <c r="M126" s="2269"/>
      <c r="N126" s="2269"/>
      <c r="O126" s="2269"/>
      <c r="P126" s="2269"/>
      <c r="Q126" s="2269"/>
    </row>
    <row r="127" spans="2:17" s="747" customFormat="1">
      <c r="B127" s="2269"/>
      <c r="C127" s="2269"/>
      <c r="D127" s="2269"/>
      <c r="E127" s="2269"/>
      <c r="F127" s="2269"/>
      <c r="G127" s="2269"/>
      <c r="H127" s="2269"/>
      <c r="I127" s="2269"/>
      <c r="J127" s="2269"/>
      <c r="K127" s="2269"/>
      <c r="L127" s="2269"/>
      <c r="M127" s="2269"/>
      <c r="N127" s="2269"/>
      <c r="O127" s="2269"/>
      <c r="P127" s="2269"/>
      <c r="Q127" s="2269"/>
    </row>
    <row r="128" spans="2:17" s="747" customFormat="1">
      <c r="B128" s="2269"/>
      <c r="C128" s="2269"/>
      <c r="D128" s="2269"/>
      <c r="E128" s="2269"/>
      <c r="F128" s="2269"/>
      <c r="G128" s="2269"/>
      <c r="H128" s="2269"/>
      <c r="I128" s="2269"/>
      <c r="J128" s="2269"/>
      <c r="K128" s="2269"/>
      <c r="L128" s="2269"/>
      <c r="M128" s="2269"/>
      <c r="N128" s="2269"/>
      <c r="O128" s="2269"/>
      <c r="P128" s="2269"/>
      <c r="Q128" s="2269"/>
    </row>
    <row r="129" spans="2:17" s="747" customFormat="1">
      <c r="B129" s="2269"/>
      <c r="C129" s="2269"/>
      <c r="D129" s="2269"/>
      <c r="E129" s="2269"/>
      <c r="F129" s="2269"/>
      <c r="G129" s="2269"/>
      <c r="H129" s="2269"/>
      <c r="I129" s="2269"/>
      <c r="J129" s="2269"/>
      <c r="K129" s="2269"/>
      <c r="L129" s="2269"/>
      <c r="M129" s="2269"/>
      <c r="N129" s="2269"/>
      <c r="O129" s="2269"/>
      <c r="P129" s="2269"/>
      <c r="Q129" s="2269"/>
    </row>
    <row r="130" spans="2:17" s="747" customFormat="1">
      <c r="B130" s="2269"/>
      <c r="C130" s="2269"/>
      <c r="D130" s="2269"/>
      <c r="E130" s="2269"/>
      <c r="F130" s="2269"/>
      <c r="G130" s="2269"/>
      <c r="H130" s="2269"/>
      <c r="I130" s="2269"/>
      <c r="J130" s="2269"/>
      <c r="K130" s="2269"/>
      <c r="L130" s="2269"/>
      <c r="M130" s="2269"/>
      <c r="N130" s="2269"/>
      <c r="O130" s="2269"/>
      <c r="P130" s="2269"/>
      <c r="Q130" s="2269"/>
    </row>
    <row r="131" spans="2:17" s="747" customFormat="1">
      <c r="B131" s="2269"/>
      <c r="C131" s="2269"/>
      <c r="D131" s="2269"/>
      <c r="E131" s="2269"/>
      <c r="F131" s="2269"/>
      <c r="G131" s="2269"/>
      <c r="H131" s="2269"/>
      <c r="I131" s="2269"/>
      <c r="J131" s="2269"/>
      <c r="K131" s="2269"/>
      <c r="L131" s="2269"/>
      <c r="M131" s="2269"/>
      <c r="N131" s="2269"/>
      <c r="O131" s="2269"/>
      <c r="P131" s="2269"/>
      <c r="Q131" s="2269"/>
    </row>
    <row r="132" spans="2:17" s="747" customFormat="1">
      <c r="B132" s="2269"/>
      <c r="C132" s="2269"/>
      <c r="D132" s="2269"/>
      <c r="E132" s="2269"/>
      <c r="F132" s="2269"/>
      <c r="G132" s="2269"/>
      <c r="H132" s="2269"/>
      <c r="I132" s="2269"/>
      <c r="J132" s="2269"/>
      <c r="K132" s="2269"/>
      <c r="L132" s="2269"/>
      <c r="M132" s="2269"/>
      <c r="N132" s="2269"/>
      <c r="O132" s="2269"/>
      <c r="P132" s="2269"/>
      <c r="Q132" s="2269"/>
    </row>
    <row r="133" spans="2:17" s="747" customFormat="1">
      <c r="B133" s="2269"/>
      <c r="C133" s="2269"/>
      <c r="D133" s="2269"/>
      <c r="E133" s="2269"/>
      <c r="F133" s="2269"/>
      <c r="G133" s="2269"/>
      <c r="H133" s="2269"/>
      <c r="I133" s="2269"/>
      <c r="J133" s="2269"/>
      <c r="K133" s="2269"/>
      <c r="L133" s="2269"/>
      <c r="M133" s="2269"/>
      <c r="N133" s="2269"/>
      <c r="O133" s="2269"/>
      <c r="P133" s="2269"/>
      <c r="Q133" s="2269"/>
    </row>
    <row r="134" spans="2:17" s="747" customFormat="1">
      <c r="B134" s="2269"/>
      <c r="C134" s="2269"/>
      <c r="D134" s="2269"/>
      <c r="E134" s="2269"/>
      <c r="F134" s="2269"/>
      <c r="G134" s="2269"/>
      <c r="H134" s="2269"/>
      <c r="I134" s="2269"/>
      <c r="J134" s="2269"/>
      <c r="K134" s="2269"/>
      <c r="L134" s="2269"/>
      <c r="M134" s="2269"/>
      <c r="N134" s="2269"/>
      <c r="O134" s="2269"/>
      <c r="P134" s="2269"/>
      <c r="Q134" s="2269"/>
    </row>
    <row r="135" spans="2:17" s="747" customFormat="1">
      <c r="B135" s="2269"/>
      <c r="C135" s="2269"/>
      <c r="D135" s="2269"/>
      <c r="E135" s="2269"/>
      <c r="F135" s="2269"/>
      <c r="G135" s="2269"/>
      <c r="H135" s="2269"/>
      <c r="I135" s="2269"/>
      <c r="J135" s="2269"/>
      <c r="K135" s="2269"/>
      <c r="L135" s="2269"/>
      <c r="M135" s="2269"/>
      <c r="N135" s="2269"/>
      <c r="O135" s="2269"/>
      <c r="P135" s="2269"/>
      <c r="Q135" s="2269"/>
    </row>
    <row r="136" spans="2:17" s="747" customFormat="1">
      <c r="B136" s="2269"/>
      <c r="C136" s="2269"/>
      <c r="D136" s="2269"/>
      <c r="E136" s="2269"/>
      <c r="F136" s="2269"/>
      <c r="G136" s="2269"/>
      <c r="H136" s="2269"/>
      <c r="I136" s="2269"/>
      <c r="J136" s="2269"/>
      <c r="K136" s="2269"/>
      <c r="L136" s="2269"/>
      <c r="M136" s="2269"/>
      <c r="N136" s="2269"/>
      <c r="O136" s="2269"/>
      <c r="P136" s="2269"/>
      <c r="Q136" s="2269"/>
    </row>
    <row r="137" spans="2:17" s="747" customFormat="1">
      <c r="B137" s="2269"/>
      <c r="C137" s="2269"/>
      <c r="D137" s="2269"/>
      <c r="E137" s="2269"/>
      <c r="F137" s="2269"/>
      <c r="G137" s="2269"/>
      <c r="H137" s="2269"/>
      <c r="I137" s="2269"/>
      <c r="J137" s="2269"/>
      <c r="K137" s="2269"/>
      <c r="L137" s="2269"/>
      <c r="M137" s="2269"/>
      <c r="N137" s="2269"/>
      <c r="O137" s="2269"/>
      <c r="P137" s="2269"/>
      <c r="Q137" s="2269"/>
    </row>
    <row r="138" spans="2:17" s="747" customFormat="1">
      <c r="B138" s="2269"/>
      <c r="C138" s="2269"/>
      <c r="D138" s="2269"/>
      <c r="E138" s="2269"/>
      <c r="F138" s="2269"/>
      <c r="G138" s="2269"/>
      <c r="H138" s="2269"/>
      <c r="I138" s="2269"/>
      <c r="J138" s="2269"/>
      <c r="K138" s="2269"/>
      <c r="L138" s="2269"/>
      <c r="M138" s="2269"/>
      <c r="N138" s="2269"/>
      <c r="O138" s="2269"/>
      <c r="P138" s="2269"/>
      <c r="Q138" s="2269"/>
    </row>
    <row r="139" spans="2:17" s="747" customFormat="1">
      <c r="B139" s="2269"/>
      <c r="C139" s="2269"/>
      <c r="D139" s="2269"/>
      <c r="E139" s="2269"/>
      <c r="F139" s="2269"/>
      <c r="G139" s="2269"/>
      <c r="H139" s="2269"/>
      <c r="I139" s="2269"/>
      <c r="J139" s="2269"/>
      <c r="K139" s="2269"/>
      <c r="L139" s="2269"/>
      <c r="M139" s="2269"/>
      <c r="N139" s="2269"/>
      <c r="O139" s="2269"/>
      <c r="P139" s="2269"/>
      <c r="Q139" s="2269"/>
    </row>
    <row r="140" spans="2:17" s="747" customFormat="1">
      <c r="B140" s="2269"/>
      <c r="C140" s="2269"/>
      <c r="D140" s="2269"/>
      <c r="E140" s="2269"/>
      <c r="F140" s="2269"/>
      <c r="G140" s="2269"/>
      <c r="H140" s="2269"/>
      <c r="I140" s="2269"/>
      <c r="J140" s="2269"/>
      <c r="K140" s="2269"/>
      <c r="L140" s="2269"/>
      <c r="M140" s="2269"/>
      <c r="N140" s="2269"/>
      <c r="O140" s="2269"/>
      <c r="P140" s="2269"/>
      <c r="Q140" s="2269"/>
    </row>
    <row r="141" spans="2:17" s="747" customFormat="1">
      <c r="B141" s="2269"/>
      <c r="C141" s="2269"/>
      <c r="D141" s="2269"/>
      <c r="E141" s="2269"/>
      <c r="F141" s="2269"/>
      <c r="G141" s="2269"/>
      <c r="H141" s="2269"/>
      <c r="I141" s="2269"/>
      <c r="J141" s="2269"/>
      <c r="K141" s="2269"/>
      <c r="L141" s="2269"/>
      <c r="M141" s="2269"/>
      <c r="N141" s="2269"/>
      <c r="O141" s="2269"/>
      <c r="P141" s="2269"/>
      <c r="Q141" s="2269"/>
    </row>
    <row r="142" spans="2:17" s="747" customFormat="1">
      <c r="B142" s="2269"/>
      <c r="C142" s="2269"/>
      <c r="D142" s="2269"/>
      <c r="E142" s="2269"/>
      <c r="F142" s="2269"/>
      <c r="G142" s="2269"/>
      <c r="H142" s="2269"/>
      <c r="I142" s="2269"/>
      <c r="J142" s="2269"/>
      <c r="K142" s="2269"/>
      <c r="L142" s="2269"/>
      <c r="M142" s="2269"/>
      <c r="N142" s="2269"/>
      <c r="O142" s="2269"/>
      <c r="P142" s="2269"/>
      <c r="Q142" s="2269"/>
    </row>
    <row r="143" spans="2:17" s="747" customFormat="1">
      <c r="B143" s="2269"/>
      <c r="C143" s="2269"/>
      <c r="D143" s="2269"/>
      <c r="E143" s="2269"/>
      <c r="F143" s="2269"/>
      <c r="G143" s="2269"/>
      <c r="H143" s="2269"/>
      <c r="I143" s="2269"/>
      <c r="J143" s="2269"/>
      <c r="K143" s="2269"/>
      <c r="L143" s="2269"/>
      <c r="M143" s="2269"/>
      <c r="N143" s="2269"/>
      <c r="O143" s="2269"/>
      <c r="P143" s="2269"/>
      <c r="Q143" s="2269"/>
    </row>
    <row r="144" spans="2:17" s="747" customFormat="1">
      <c r="B144" s="2269"/>
      <c r="C144" s="2269"/>
      <c r="D144" s="2269"/>
      <c r="E144" s="2269"/>
      <c r="F144" s="2269"/>
      <c r="G144" s="2269"/>
      <c r="H144" s="2269"/>
      <c r="I144" s="2269"/>
      <c r="J144" s="2269"/>
      <c r="K144" s="2269"/>
      <c r="L144" s="2269"/>
      <c r="M144" s="2269"/>
      <c r="N144" s="2269"/>
      <c r="O144" s="2269"/>
      <c r="P144" s="2269"/>
      <c r="Q144" s="2269"/>
    </row>
    <row r="145" spans="2:17" s="747" customFormat="1">
      <c r="B145" s="2269"/>
      <c r="C145" s="2269"/>
      <c r="D145" s="2269"/>
      <c r="E145" s="2269"/>
      <c r="F145" s="2269"/>
      <c r="G145" s="2269"/>
      <c r="H145" s="2269"/>
      <c r="I145" s="2269"/>
      <c r="J145" s="2269"/>
      <c r="K145" s="2269"/>
      <c r="L145" s="2269"/>
      <c r="M145" s="2269"/>
      <c r="N145" s="2269"/>
      <c r="O145" s="2269"/>
      <c r="P145" s="2269"/>
      <c r="Q145" s="2269"/>
    </row>
    <row r="146" spans="2:17" s="747" customFormat="1">
      <c r="B146" s="2269"/>
      <c r="C146" s="2269"/>
      <c r="D146" s="2269"/>
      <c r="E146" s="2269"/>
      <c r="F146" s="2269"/>
      <c r="G146" s="2269"/>
      <c r="H146" s="2269"/>
      <c r="I146" s="2269"/>
      <c r="J146" s="2269"/>
      <c r="K146" s="2269"/>
      <c r="L146" s="2269"/>
      <c r="M146" s="2269"/>
      <c r="N146" s="2269"/>
      <c r="O146" s="2269"/>
      <c r="P146" s="2269"/>
      <c r="Q146" s="2269"/>
    </row>
    <row r="147" spans="2:17" s="747" customFormat="1">
      <c r="B147" s="2269"/>
      <c r="C147" s="2269"/>
      <c r="D147" s="2269"/>
      <c r="E147" s="2269"/>
      <c r="F147" s="2269"/>
      <c r="G147" s="2269"/>
      <c r="H147" s="2269"/>
      <c r="I147" s="2269"/>
      <c r="J147" s="2269"/>
      <c r="K147" s="2269"/>
      <c r="L147" s="2269"/>
      <c r="M147" s="2269"/>
      <c r="N147" s="2269"/>
      <c r="O147" s="2269"/>
      <c r="P147" s="2269"/>
      <c r="Q147" s="2269"/>
    </row>
    <row r="148" spans="2:17" s="747" customFormat="1">
      <c r="B148" s="2269"/>
      <c r="C148" s="2269"/>
      <c r="D148" s="2269"/>
      <c r="E148" s="2269"/>
      <c r="F148" s="2269"/>
      <c r="G148" s="2269"/>
      <c r="H148" s="2269"/>
      <c r="I148" s="2269"/>
      <c r="J148" s="2269"/>
      <c r="K148" s="2269"/>
      <c r="L148" s="2269"/>
      <c r="M148" s="2269"/>
      <c r="N148" s="2269"/>
      <c r="O148" s="2269"/>
      <c r="P148" s="2269"/>
      <c r="Q148" s="2269"/>
    </row>
    <row r="149" spans="2:17" s="747" customFormat="1">
      <c r="B149" s="2269"/>
      <c r="C149" s="2269"/>
      <c r="D149" s="2269"/>
      <c r="E149" s="2269"/>
      <c r="F149" s="2269"/>
      <c r="G149" s="2269"/>
      <c r="H149" s="2269"/>
      <c r="I149" s="2269"/>
      <c r="J149" s="2269"/>
      <c r="K149" s="2269"/>
      <c r="L149" s="2269"/>
      <c r="M149" s="2269"/>
      <c r="N149" s="2269"/>
      <c r="O149" s="2269"/>
      <c r="P149" s="2269"/>
      <c r="Q149" s="2269"/>
    </row>
    <row r="150" spans="2:17" s="747" customFormat="1">
      <c r="B150" s="2269"/>
      <c r="C150" s="2269"/>
      <c r="D150" s="2269"/>
      <c r="E150" s="2269"/>
      <c r="F150" s="2269"/>
      <c r="G150" s="2269"/>
      <c r="H150" s="2269"/>
      <c r="I150" s="2269"/>
      <c r="J150" s="2269"/>
      <c r="K150" s="2269"/>
      <c r="L150" s="2269"/>
      <c r="M150" s="2269"/>
      <c r="N150" s="2269"/>
      <c r="O150" s="2269"/>
      <c r="P150" s="2269"/>
      <c r="Q150" s="2269"/>
    </row>
    <row r="151" spans="2:17" s="747" customFormat="1">
      <c r="B151" s="2269"/>
      <c r="C151" s="2269"/>
      <c r="D151" s="2269"/>
      <c r="E151" s="2269"/>
      <c r="F151" s="2269"/>
      <c r="G151" s="2269"/>
      <c r="H151" s="2269"/>
      <c r="I151" s="2269"/>
      <c r="J151" s="2269"/>
      <c r="K151" s="2269"/>
      <c r="L151" s="2269"/>
      <c r="M151" s="2269"/>
      <c r="N151" s="2269"/>
      <c r="O151" s="2269"/>
      <c r="P151" s="2269"/>
      <c r="Q151" s="2269"/>
    </row>
    <row r="152" spans="2:17" s="747" customFormat="1">
      <c r="B152" s="2269"/>
      <c r="C152" s="2269"/>
      <c r="D152" s="2269"/>
      <c r="E152" s="2269"/>
      <c r="F152" s="2269"/>
      <c r="G152" s="2269"/>
      <c r="H152" s="2269"/>
      <c r="I152" s="2269"/>
      <c r="J152" s="2269"/>
      <c r="K152" s="2269"/>
      <c r="L152" s="2269"/>
      <c r="M152" s="2269"/>
      <c r="N152" s="2269"/>
      <c r="O152" s="2269"/>
      <c r="P152" s="2269"/>
      <c r="Q152" s="2269"/>
    </row>
    <row r="153" spans="2:17" s="747" customFormat="1">
      <c r="B153" s="2269"/>
      <c r="C153" s="2269"/>
      <c r="D153" s="2269"/>
      <c r="E153" s="2269"/>
      <c r="F153" s="2269"/>
      <c r="G153" s="2269"/>
      <c r="H153" s="2269"/>
      <c r="I153" s="2269"/>
      <c r="J153" s="2269"/>
      <c r="K153" s="2269"/>
      <c r="L153" s="2269"/>
      <c r="M153" s="2269"/>
      <c r="N153" s="2269"/>
      <c r="O153" s="2269"/>
      <c r="P153" s="2269"/>
      <c r="Q153" s="2269"/>
    </row>
    <row r="154" spans="2:17" s="747" customFormat="1">
      <c r="B154" s="2269"/>
      <c r="C154" s="2269"/>
      <c r="D154" s="2269"/>
      <c r="E154" s="2269"/>
      <c r="F154" s="2269"/>
      <c r="G154" s="2269"/>
      <c r="H154" s="2269"/>
      <c r="I154" s="2269"/>
      <c r="J154" s="2269"/>
      <c r="K154" s="2269"/>
      <c r="L154" s="2269"/>
      <c r="M154" s="2269"/>
      <c r="N154" s="2269"/>
      <c r="O154" s="2269"/>
      <c r="P154" s="2269"/>
      <c r="Q154" s="2269"/>
    </row>
    <row r="155" spans="2:17" s="747" customFormat="1">
      <c r="B155" s="2269"/>
      <c r="C155" s="2269"/>
      <c r="D155" s="2269"/>
      <c r="E155" s="2269"/>
      <c r="F155" s="2269"/>
      <c r="G155" s="2269"/>
      <c r="H155" s="2269"/>
      <c r="I155" s="2269"/>
      <c r="J155" s="2269"/>
      <c r="K155" s="2269"/>
      <c r="L155" s="2269"/>
      <c r="M155" s="2269"/>
      <c r="N155" s="2269"/>
      <c r="O155" s="2269"/>
      <c r="P155" s="2269"/>
      <c r="Q155" s="2269"/>
    </row>
    <row r="156" spans="2:17" s="747" customFormat="1">
      <c r="B156" s="2269"/>
      <c r="C156" s="2269"/>
      <c r="D156" s="2269"/>
      <c r="E156" s="2269"/>
      <c r="F156" s="2269"/>
      <c r="G156" s="2269"/>
      <c r="H156" s="2269"/>
      <c r="I156" s="2269"/>
      <c r="J156" s="2269"/>
      <c r="K156" s="2269"/>
      <c r="L156" s="2269"/>
      <c r="M156" s="2269"/>
      <c r="N156" s="2269"/>
      <c r="O156" s="2269"/>
      <c r="P156" s="2269"/>
      <c r="Q156" s="2269"/>
    </row>
    <row r="157" spans="2:17" s="747" customFormat="1">
      <c r="B157" s="2269"/>
      <c r="C157" s="2269"/>
      <c r="D157" s="2269"/>
      <c r="E157" s="2269"/>
      <c r="F157" s="2269"/>
      <c r="G157" s="2269"/>
      <c r="H157" s="2269"/>
      <c r="I157" s="2269"/>
      <c r="J157" s="2269"/>
      <c r="K157" s="2269"/>
      <c r="L157" s="2269"/>
      <c r="M157" s="2269"/>
      <c r="N157" s="2269"/>
      <c r="O157" s="2269"/>
      <c r="P157" s="2269"/>
      <c r="Q157" s="2269"/>
    </row>
    <row r="158" spans="2:17" s="747" customFormat="1">
      <c r="B158" s="2269"/>
      <c r="C158" s="2269"/>
      <c r="D158" s="2269"/>
      <c r="E158" s="2269"/>
      <c r="F158" s="2269"/>
      <c r="G158" s="2269"/>
      <c r="H158" s="2269"/>
      <c r="I158" s="2269"/>
      <c r="J158" s="2269"/>
      <c r="K158" s="2269"/>
      <c r="L158" s="2269"/>
      <c r="M158" s="2269"/>
      <c r="N158" s="2269"/>
      <c r="O158" s="2269"/>
      <c r="P158" s="2269"/>
      <c r="Q158" s="2269"/>
    </row>
    <row r="159" spans="2:17" s="747" customFormat="1">
      <c r="B159" s="2269"/>
      <c r="C159" s="2269"/>
      <c r="D159" s="2269"/>
      <c r="E159" s="2269"/>
      <c r="F159" s="2269"/>
      <c r="G159" s="2269"/>
      <c r="H159" s="2269"/>
      <c r="I159" s="2269"/>
      <c r="J159" s="2269"/>
      <c r="K159" s="2269"/>
      <c r="L159" s="2269"/>
      <c r="M159" s="2269"/>
      <c r="N159" s="2269"/>
      <c r="O159" s="2269"/>
      <c r="P159" s="2269"/>
      <c r="Q159" s="2269"/>
    </row>
    <row r="160" spans="2:17" s="747" customFormat="1">
      <c r="B160" s="2269"/>
      <c r="C160" s="2269"/>
      <c r="D160" s="2269"/>
      <c r="E160" s="2269"/>
      <c r="F160" s="2269"/>
      <c r="G160" s="2269"/>
      <c r="H160" s="2269"/>
      <c r="I160" s="2269"/>
      <c r="J160" s="2269"/>
      <c r="K160" s="2269"/>
      <c r="L160" s="2269"/>
      <c r="M160" s="2269"/>
      <c r="N160" s="2269"/>
      <c r="O160" s="2269"/>
      <c r="P160" s="2269"/>
      <c r="Q160" s="2269"/>
    </row>
    <row r="161" spans="2:17" s="747" customFormat="1">
      <c r="B161" s="2269"/>
      <c r="C161" s="2269"/>
      <c r="D161" s="2269"/>
      <c r="E161" s="2269"/>
      <c r="F161" s="2269"/>
      <c r="G161" s="2269"/>
      <c r="H161" s="2269"/>
      <c r="I161" s="2269"/>
      <c r="J161" s="2269"/>
      <c r="K161" s="2269"/>
      <c r="L161" s="2269"/>
      <c r="M161" s="2269"/>
      <c r="N161" s="2269"/>
      <c r="O161" s="2269"/>
      <c r="P161" s="2269"/>
      <c r="Q161" s="2269"/>
    </row>
    <row r="162" spans="2:17" s="747" customFormat="1">
      <c r="B162" s="2269"/>
      <c r="C162" s="2269"/>
      <c r="D162" s="2269"/>
      <c r="E162" s="2269"/>
      <c r="F162" s="2269"/>
      <c r="G162" s="2269"/>
      <c r="H162" s="2269"/>
      <c r="I162" s="2269"/>
      <c r="J162" s="2269"/>
      <c r="K162" s="2269"/>
      <c r="L162" s="2269"/>
      <c r="M162" s="2269"/>
      <c r="N162" s="2269"/>
      <c r="O162" s="2269"/>
      <c r="P162" s="2269"/>
      <c r="Q162" s="2269"/>
    </row>
    <row r="163" spans="2:17" s="747" customFormat="1">
      <c r="B163" s="2269"/>
      <c r="C163" s="2269"/>
      <c r="D163" s="2269"/>
      <c r="E163" s="2269"/>
      <c r="F163" s="2269"/>
      <c r="G163" s="2269"/>
      <c r="H163" s="2269"/>
      <c r="I163" s="2269"/>
      <c r="J163" s="2269"/>
      <c r="K163" s="2269"/>
      <c r="L163" s="2269"/>
      <c r="M163" s="2269"/>
      <c r="N163" s="2269"/>
      <c r="O163" s="2269"/>
      <c r="P163" s="2269"/>
      <c r="Q163" s="2269"/>
    </row>
    <row r="164" spans="2:17" s="747" customFormat="1">
      <c r="B164" s="2269"/>
      <c r="C164" s="2269"/>
      <c r="D164" s="2269"/>
      <c r="E164" s="2269"/>
      <c r="F164" s="2269"/>
      <c r="G164" s="2269"/>
      <c r="H164" s="2269"/>
      <c r="I164" s="2269"/>
      <c r="J164" s="2269"/>
      <c r="K164" s="2269"/>
      <c r="L164" s="2269"/>
      <c r="M164" s="2269"/>
      <c r="N164" s="2269"/>
      <c r="O164" s="2269"/>
      <c r="P164" s="2269"/>
      <c r="Q164" s="2269"/>
    </row>
    <row r="165" spans="2:17" s="747" customFormat="1">
      <c r="B165" s="2269"/>
      <c r="C165" s="2269"/>
      <c r="D165" s="2269"/>
      <c r="E165" s="2269"/>
      <c r="F165" s="2269"/>
      <c r="G165" s="2269"/>
      <c r="H165" s="2269"/>
      <c r="I165" s="2269"/>
      <c r="J165" s="2269"/>
      <c r="K165" s="2269"/>
      <c r="L165" s="2269"/>
      <c r="M165" s="2269"/>
      <c r="N165" s="2269"/>
      <c r="O165" s="2269"/>
      <c r="P165" s="2269"/>
      <c r="Q165" s="2269"/>
    </row>
    <row r="166" spans="2:17" s="747" customFormat="1">
      <c r="B166" s="2269"/>
      <c r="C166" s="2269"/>
      <c r="D166" s="2269"/>
      <c r="E166" s="2269"/>
      <c r="F166" s="2269"/>
      <c r="G166" s="2269"/>
      <c r="H166" s="2269"/>
      <c r="I166" s="2269"/>
      <c r="J166" s="2269"/>
      <c r="K166" s="2269"/>
      <c r="L166" s="2269"/>
      <c r="M166" s="2269"/>
      <c r="N166" s="2269"/>
      <c r="O166" s="2269"/>
      <c r="P166" s="2269"/>
      <c r="Q166" s="2269"/>
    </row>
    <row r="167" spans="2:17" s="747" customFormat="1">
      <c r="B167" s="2269"/>
      <c r="C167" s="2269"/>
      <c r="D167" s="2269"/>
      <c r="E167" s="2269"/>
      <c r="F167" s="2269"/>
      <c r="G167" s="2269"/>
      <c r="H167" s="2269"/>
      <c r="I167" s="2269"/>
      <c r="J167" s="2269"/>
      <c r="K167" s="2269"/>
      <c r="L167" s="2269"/>
      <c r="M167" s="2269"/>
      <c r="N167" s="2269"/>
      <c r="O167" s="2269"/>
      <c r="P167" s="2269"/>
      <c r="Q167" s="2269"/>
    </row>
    <row r="168" spans="2:17" s="747" customFormat="1">
      <c r="B168" s="2269"/>
      <c r="C168" s="2269"/>
      <c r="D168" s="2269"/>
      <c r="E168" s="2269"/>
      <c r="F168" s="2269"/>
      <c r="G168" s="2269"/>
      <c r="H168" s="2269"/>
      <c r="I168" s="2269"/>
      <c r="J168" s="2269"/>
      <c r="K168" s="2269"/>
      <c r="L168" s="2269"/>
      <c r="M168" s="2269"/>
      <c r="N168" s="2269"/>
      <c r="O168" s="2269"/>
      <c r="P168" s="2269"/>
      <c r="Q168" s="2269"/>
    </row>
    <row r="169" spans="2:17" s="747" customFormat="1">
      <c r="B169" s="2269"/>
      <c r="C169" s="2269"/>
      <c r="D169" s="2269"/>
      <c r="E169" s="2269"/>
      <c r="F169" s="2269"/>
      <c r="G169" s="2269"/>
      <c r="H169" s="2269"/>
      <c r="I169" s="2269"/>
      <c r="J169" s="2269"/>
      <c r="K169" s="2269"/>
      <c r="L169" s="2269"/>
      <c r="M169" s="2269"/>
      <c r="N169" s="2269"/>
      <c r="O169" s="2269"/>
      <c r="P169" s="2269"/>
      <c r="Q169" s="2269"/>
    </row>
    <row r="170" spans="2:17" s="747" customFormat="1">
      <c r="B170" s="2269"/>
      <c r="C170" s="2269"/>
      <c r="D170" s="2269"/>
      <c r="E170" s="2269"/>
      <c r="F170" s="2269"/>
      <c r="G170" s="2269"/>
      <c r="H170" s="2269"/>
      <c r="I170" s="2269"/>
      <c r="J170" s="2269"/>
      <c r="K170" s="2269"/>
      <c r="L170" s="2269"/>
      <c r="M170" s="2269"/>
      <c r="N170" s="2269"/>
      <c r="O170" s="2269"/>
      <c r="P170" s="2269"/>
      <c r="Q170" s="2269"/>
    </row>
    <row r="171" spans="2:17" s="747" customFormat="1">
      <c r="B171" s="2269"/>
      <c r="C171" s="2269"/>
      <c r="D171" s="2269"/>
      <c r="E171" s="2269"/>
      <c r="F171" s="2269"/>
      <c r="G171" s="2269"/>
      <c r="H171" s="2269"/>
      <c r="I171" s="2269"/>
      <c r="J171" s="2269"/>
      <c r="K171" s="2269"/>
      <c r="L171" s="2269"/>
      <c r="M171" s="2269"/>
      <c r="N171" s="2269"/>
      <c r="O171" s="2269"/>
      <c r="P171" s="2269"/>
      <c r="Q171" s="2269"/>
    </row>
    <row r="172" spans="2:17" s="747" customFormat="1">
      <c r="B172" s="2269"/>
      <c r="C172" s="2269"/>
      <c r="D172" s="2269"/>
      <c r="E172" s="2269"/>
      <c r="F172" s="2269"/>
      <c r="G172" s="2269"/>
      <c r="H172" s="2269"/>
      <c r="I172" s="2269"/>
      <c r="J172" s="2269"/>
      <c r="K172" s="2269"/>
      <c r="L172" s="2269"/>
      <c r="M172" s="2269"/>
      <c r="N172" s="2269"/>
      <c r="O172" s="2269"/>
      <c r="P172" s="2269"/>
      <c r="Q172" s="2269"/>
    </row>
    <row r="173" spans="2:17" s="747" customFormat="1">
      <c r="B173" s="2269"/>
      <c r="C173" s="2269"/>
      <c r="D173" s="2269"/>
      <c r="E173" s="2269"/>
      <c r="F173" s="2269"/>
      <c r="G173" s="2269"/>
      <c r="H173" s="2269"/>
      <c r="I173" s="2269"/>
      <c r="J173" s="2269"/>
      <c r="K173" s="2269"/>
      <c r="L173" s="2269"/>
      <c r="M173" s="2269"/>
      <c r="N173" s="2269"/>
      <c r="O173" s="2269"/>
      <c r="P173" s="2269"/>
      <c r="Q173" s="2269"/>
    </row>
    <row r="174" spans="2:17" s="747" customFormat="1">
      <c r="B174" s="2269"/>
      <c r="C174" s="2269"/>
      <c r="D174" s="2269"/>
      <c r="E174" s="2269"/>
      <c r="F174" s="2269"/>
      <c r="G174" s="2269"/>
      <c r="H174" s="2269"/>
      <c r="I174" s="2269"/>
      <c r="J174" s="2269"/>
      <c r="K174" s="2269"/>
      <c r="L174" s="2269"/>
      <c r="M174" s="2269"/>
      <c r="N174" s="2269"/>
      <c r="O174" s="2269"/>
      <c r="P174" s="2269"/>
      <c r="Q174" s="2269"/>
    </row>
    <row r="175" spans="2:17" s="747" customFormat="1">
      <c r="B175" s="2269"/>
      <c r="C175" s="2269"/>
      <c r="D175" s="2269"/>
      <c r="E175" s="2269"/>
      <c r="F175" s="2269"/>
      <c r="G175" s="2269"/>
      <c r="H175" s="2269"/>
      <c r="I175" s="2269"/>
      <c r="J175" s="2269"/>
      <c r="K175" s="2269"/>
      <c r="L175" s="2269"/>
      <c r="M175" s="2269"/>
      <c r="N175" s="2269"/>
      <c r="O175" s="2269"/>
      <c r="P175" s="2269"/>
      <c r="Q175" s="2269"/>
    </row>
    <row r="176" spans="2:17" s="747" customFormat="1">
      <c r="B176" s="2269"/>
      <c r="C176" s="2269"/>
      <c r="D176" s="2269"/>
      <c r="E176" s="2269"/>
      <c r="F176" s="2269"/>
      <c r="G176" s="2269"/>
      <c r="H176" s="2269"/>
      <c r="I176" s="2269"/>
      <c r="J176" s="2269"/>
      <c r="K176" s="2269"/>
      <c r="L176" s="2269"/>
      <c r="M176" s="2269"/>
      <c r="N176" s="2269"/>
      <c r="O176" s="2269"/>
      <c r="P176" s="2269"/>
      <c r="Q176" s="2269"/>
    </row>
    <row r="177" spans="1:17" s="747" customFormat="1">
      <c r="B177" s="2269"/>
      <c r="C177" s="2269"/>
      <c r="D177" s="2269"/>
      <c r="E177" s="2269"/>
      <c r="F177" s="2269"/>
      <c r="G177" s="2269"/>
      <c r="H177" s="2269"/>
      <c r="I177" s="2269"/>
      <c r="J177" s="2269"/>
      <c r="K177" s="2269"/>
      <c r="L177" s="2269"/>
      <c r="M177" s="2269"/>
      <c r="N177" s="2269"/>
      <c r="O177" s="2269"/>
      <c r="P177" s="2269"/>
      <c r="Q177" s="2269"/>
    </row>
    <row r="178" spans="1:17" s="747" customFormat="1">
      <c r="B178" s="2269"/>
      <c r="C178" s="2269"/>
      <c r="D178" s="2269"/>
      <c r="E178" s="2269"/>
      <c r="F178" s="2269"/>
      <c r="G178" s="2269"/>
      <c r="H178" s="2269"/>
      <c r="I178" s="2269"/>
      <c r="J178" s="2269"/>
      <c r="K178" s="2269"/>
      <c r="L178" s="2269"/>
      <c r="M178" s="2269"/>
      <c r="N178" s="2269"/>
      <c r="O178" s="2269"/>
      <c r="P178" s="2269"/>
      <c r="Q178" s="2269"/>
    </row>
    <row r="179" spans="1:17" s="747" customFormat="1">
      <c r="B179" s="2269"/>
      <c r="C179" s="2269"/>
      <c r="D179" s="2269"/>
      <c r="E179" s="2269"/>
      <c r="F179" s="2269"/>
      <c r="G179" s="2269"/>
      <c r="H179" s="2269"/>
      <c r="I179" s="2269"/>
      <c r="J179" s="2269"/>
      <c r="K179" s="2269"/>
      <c r="L179" s="2269"/>
      <c r="M179" s="2269"/>
      <c r="N179" s="2269"/>
      <c r="O179" s="2269"/>
      <c r="P179" s="2269"/>
      <c r="Q179" s="2269"/>
    </row>
    <row r="180" spans="1:17" s="747" customFormat="1">
      <c r="B180" s="2269"/>
      <c r="C180" s="2269"/>
      <c r="D180" s="2269"/>
      <c r="E180" s="2269"/>
      <c r="F180" s="2269"/>
      <c r="G180" s="2269"/>
      <c r="H180" s="2269"/>
      <c r="I180" s="2269"/>
      <c r="J180" s="2269"/>
      <c r="K180" s="2269"/>
      <c r="L180" s="2269"/>
      <c r="M180" s="2269"/>
      <c r="N180" s="2269"/>
      <c r="O180" s="2269"/>
      <c r="P180" s="2269"/>
      <c r="Q180" s="2269"/>
    </row>
    <row r="181" spans="1:17" s="747" customFormat="1">
      <c r="B181" s="2269"/>
      <c r="C181" s="2269"/>
      <c r="D181" s="2269"/>
      <c r="E181" s="2269"/>
      <c r="F181" s="2269"/>
      <c r="G181" s="2269"/>
      <c r="H181" s="2269"/>
      <c r="I181" s="2269"/>
      <c r="J181" s="2269"/>
      <c r="K181" s="2269"/>
      <c r="L181" s="2269"/>
      <c r="M181" s="2269"/>
      <c r="N181" s="2269"/>
      <c r="O181" s="2269"/>
      <c r="P181" s="2269"/>
      <c r="Q181" s="2269"/>
    </row>
    <row r="182" spans="1:17" s="747" customFormat="1">
      <c r="B182" s="2269"/>
      <c r="C182" s="2269"/>
      <c r="D182" s="2269"/>
      <c r="E182" s="2269"/>
      <c r="F182" s="2269"/>
      <c r="G182" s="2269"/>
      <c r="H182" s="2269"/>
      <c r="I182" s="2269"/>
      <c r="J182" s="2269"/>
      <c r="K182" s="2269"/>
      <c r="L182" s="2269"/>
      <c r="M182" s="2269"/>
      <c r="N182" s="2269"/>
      <c r="O182" s="2269"/>
      <c r="P182" s="2269"/>
      <c r="Q182" s="2269"/>
    </row>
    <row r="183" spans="1:17" s="747" customFormat="1">
      <c r="B183" s="2269"/>
      <c r="C183" s="2269"/>
      <c r="D183" s="2269"/>
      <c r="E183" s="2269"/>
      <c r="F183" s="2269"/>
      <c r="G183" s="2269"/>
      <c r="H183" s="2269"/>
      <c r="I183" s="2269"/>
      <c r="J183" s="2269"/>
      <c r="K183" s="2269"/>
      <c r="L183" s="2269"/>
      <c r="M183" s="2269"/>
      <c r="N183" s="2269"/>
      <c r="O183" s="2269"/>
      <c r="P183" s="2269"/>
      <c r="Q183" s="2269"/>
    </row>
    <row r="184" spans="1:17" s="747" customFormat="1">
      <c r="B184" s="2269"/>
      <c r="C184" s="2269"/>
      <c r="D184" s="2269"/>
      <c r="E184" s="2269"/>
      <c r="F184" s="2269"/>
      <c r="G184" s="2269"/>
      <c r="H184" s="2269"/>
      <c r="I184" s="2269"/>
      <c r="J184" s="2269"/>
      <c r="K184" s="2269"/>
      <c r="L184" s="2269"/>
      <c r="M184" s="2269"/>
      <c r="N184" s="2269"/>
      <c r="O184" s="2269"/>
      <c r="P184" s="2269"/>
      <c r="Q184" s="2269"/>
    </row>
    <row r="185" spans="1:17" s="747" customFormat="1">
      <c r="B185" s="2269"/>
      <c r="C185" s="2269"/>
      <c r="D185" s="2269"/>
      <c r="E185" s="2269"/>
      <c r="F185" s="2269"/>
      <c r="G185" s="2269"/>
      <c r="H185" s="2269"/>
      <c r="I185" s="2269"/>
      <c r="J185" s="2269"/>
      <c r="K185" s="2269"/>
      <c r="L185" s="2269"/>
      <c r="M185" s="2269"/>
      <c r="N185" s="2269"/>
      <c r="O185" s="2269"/>
      <c r="P185" s="2269"/>
      <c r="Q185" s="2269"/>
    </row>
    <row r="186" spans="1:17">
      <c r="A186" s="747"/>
      <c r="B186" s="2269"/>
      <c r="C186" s="2269"/>
      <c r="E186" s="2269"/>
      <c r="F186" s="2269"/>
      <c r="G186" s="2269"/>
    </row>
    <row r="187" spans="1:17">
      <c r="A187" s="747"/>
      <c r="B187" s="2269"/>
      <c r="C187" s="2269"/>
      <c r="E187" s="2269"/>
      <c r="F187" s="2269"/>
      <c r="G187" s="226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39" sqref="F39"/>
    </sheetView>
  </sheetViews>
  <sheetFormatPr defaultColWidth="9" defaultRowHeight="13.5"/>
  <cols>
    <col min="1" max="1" width="25" style="2293" customWidth="1"/>
    <col min="2" max="9" width="15.75" style="2293" customWidth="1"/>
    <col min="10" max="16384" width="9" style="2293"/>
  </cols>
  <sheetData>
    <row r="1" spans="1:11" ht="16.5">
      <c r="A1" s="2292" t="s">
        <v>665</v>
      </c>
      <c r="B1" s="2292">
        <f>SUM(B14:B23)</f>
        <v>154.79</v>
      </c>
      <c r="C1" s="2454"/>
      <c r="D1" s="2454"/>
      <c r="E1" s="2454"/>
      <c r="F1" s="2454"/>
      <c r="G1" s="2455"/>
      <c r="H1" s="2455"/>
      <c r="I1" s="2455"/>
      <c r="J1" s="2455"/>
      <c r="K1" s="2455"/>
    </row>
    <row r="2" spans="1:11" ht="16.5">
      <c r="A2" s="2292" t="s">
        <v>653</v>
      </c>
      <c r="B2" s="2292">
        <f>SUM(C14:C23)</f>
        <v>0</v>
      </c>
      <c r="C2" s="2454"/>
      <c r="D2" s="2454"/>
      <c r="E2" s="2454"/>
      <c r="F2" s="2454"/>
      <c r="G2" s="2455"/>
      <c r="H2" s="2455"/>
      <c r="I2" s="2455"/>
      <c r="J2" s="2455"/>
      <c r="K2" s="2455"/>
    </row>
    <row r="3" spans="1:11" ht="16.5">
      <c r="A3" s="2292" t="s">
        <v>662</v>
      </c>
      <c r="B3" s="2294">
        <f>项目基本情况!D3</f>
        <v>45940</v>
      </c>
      <c r="C3" s="2454"/>
      <c r="D3" s="2454"/>
      <c r="E3" s="2454"/>
      <c r="F3" s="2454"/>
      <c r="G3" s="2455"/>
      <c r="H3" s="2455"/>
      <c r="I3" s="2455"/>
      <c r="J3" s="2455"/>
      <c r="K3" s="2455"/>
    </row>
    <row r="4" spans="1:11" ht="33">
      <c r="A4" s="2292" t="s">
        <v>661</v>
      </c>
      <c r="B4" s="2292" t="s">
        <v>660</v>
      </c>
      <c r="C4" s="2292" t="s">
        <v>659</v>
      </c>
      <c r="D4" s="2292" t="s">
        <v>658</v>
      </c>
      <c r="E4" s="2454"/>
      <c r="F4" s="2455"/>
      <c r="G4" s="2455"/>
      <c r="H4" s="2455"/>
      <c r="I4" s="2455"/>
      <c r="J4" s="2455"/>
      <c r="K4" s="2455"/>
    </row>
    <row r="5" spans="1:11" ht="16.5">
      <c r="A5" s="2292" t="s">
        <v>657</v>
      </c>
      <c r="B5" s="2292" t="e">
        <f>SUM(D14:D23)</f>
        <v>#REF!</v>
      </c>
      <c r="C5" s="2292" t="e">
        <f>IF(B5=D14,E14,ROUND(B5*10000/$B$1,0))</f>
        <v>#REF!</v>
      </c>
      <c r="D5" s="2292" t="e">
        <f>ROUND(B5*10000/$B$2,0)</f>
        <v>#REF!</v>
      </c>
      <c r="E5" s="2454"/>
      <c r="F5" s="2455"/>
      <c r="G5" s="2455"/>
      <c r="H5" s="2455"/>
      <c r="I5" s="2455"/>
      <c r="J5" s="2455"/>
      <c r="K5" s="2455"/>
    </row>
    <row r="6" spans="1:11" ht="16.5">
      <c r="A6" s="2292" t="s">
        <v>656</v>
      </c>
      <c r="B6" s="2292">
        <f>SUM(G14:G23)</f>
        <v>0</v>
      </c>
      <c r="C6" s="2292">
        <f ca="1">IF(B6=G14,结果表!H108,ROUND(B6*10000/$B$1,0))</f>
        <v>0</v>
      </c>
      <c r="D6" s="2292" t="e">
        <f>ROUND(B6*10000/$B$2,0)</f>
        <v>#DIV/0!</v>
      </c>
      <c r="E6" s="2454"/>
      <c r="F6" s="2455"/>
      <c r="G6" s="2455"/>
      <c r="H6" s="2455"/>
      <c r="I6" s="2455"/>
      <c r="J6" s="2455"/>
      <c r="K6" s="2455"/>
    </row>
    <row r="7" spans="1:11" ht="16.5">
      <c r="A7" s="2292" t="s">
        <v>664</v>
      </c>
      <c r="B7" s="2292">
        <f>SUM(H14:H23)</f>
        <v>0</v>
      </c>
      <c r="C7" s="2292" t="str">
        <f>IF(B7=H14,结果表!H110,ROUND(B7*10000/$B$1,0))</f>
        <v>——</v>
      </c>
      <c r="D7" s="2292" t="e">
        <f>ROUND(B7*10000/$B$2,0)</f>
        <v>#DIV/0!</v>
      </c>
      <c r="E7" s="2454"/>
      <c r="F7" s="2455"/>
      <c r="G7" s="2455"/>
      <c r="H7" s="2455"/>
      <c r="I7" s="2455"/>
      <c r="J7" s="2455"/>
      <c r="K7" s="2455"/>
    </row>
    <row r="8" spans="1:11" ht="16.5">
      <c r="A8" s="2292" t="s">
        <v>587</v>
      </c>
      <c r="B8" s="2292">
        <f>SUM(I14:I23)</f>
        <v>0</v>
      </c>
      <c r="C8" s="2292" t="str">
        <f>IF(B8=I14,结果表!H112,ROUND(B8*10000/$B$1,0))</f>
        <v>——</v>
      </c>
      <c r="D8" s="2292" t="e">
        <f>ROUND(B8*10000/$B$2,0)</f>
        <v>#DIV/0!</v>
      </c>
      <c r="E8" s="2454"/>
      <c r="F8" s="2455"/>
      <c r="G8" s="2455"/>
      <c r="H8" s="2455"/>
      <c r="I8" s="2455"/>
      <c r="J8" s="2455"/>
      <c r="K8" s="2455"/>
    </row>
    <row r="9" spans="1:11" ht="16.5">
      <c r="A9" s="2292" t="s">
        <v>655</v>
      </c>
      <c r="B9" s="1240"/>
      <c r="C9" s="2454"/>
      <c r="D9" s="2454"/>
      <c r="E9" s="2454"/>
      <c r="F9" s="2455"/>
      <c r="G9" s="2455"/>
      <c r="H9" s="2455"/>
      <c r="I9" s="2455"/>
      <c r="J9" s="2455"/>
      <c r="K9" s="2455"/>
    </row>
    <row r="10" spans="1:11" ht="16.5">
      <c r="A10" s="2292" t="s">
        <v>654</v>
      </c>
      <c r="B10" s="2292">
        <f>IF(E10="",0,ROUND(B1*(E10*365/G10)/10000,0))</f>
        <v>0</v>
      </c>
      <c r="C10" s="2292" t="s">
        <v>3351</v>
      </c>
      <c r="D10" s="2292" t="s">
        <v>3352</v>
      </c>
      <c r="E10" s="3127"/>
      <c r="F10" s="3131" t="s">
        <v>3353</v>
      </c>
      <c r="G10" s="3128"/>
      <c r="H10" s="2455"/>
      <c r="I10" s="2455"/>
      <c r="J10" s="2455"/>
      <c r="K10" s="2455"/>
    </row>
    <row r="11" spans="1:11" ht="16.5">
      <c r="A11" s="2292" t="s">
        <v>670</v>
      </c>
      <c r="B11" s="1240"/>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5" t="s">
        <v>669</v>
      </c>
      <c r="B13" s="2296" t="s">
        <v>666</v>
      </c>
      <c r="C13" s="2296" t="s">
        <v>668</v>
      </c>
      <c r="D13" s="2296" t="s">
        <v>667</v>
      </c>
      <c r="E13" s="2292" t="s">
        <v>659</v>
      </c>
      <c r="F13" s="2292" t="s">
        <v>658</v>
      </c>
      <c r="G13" s="2296" t="s">
        <v>652</v>
      </c>
      <c r="H13" s="2296" t="s">
        <v>663</v>
      </c>
      <c r="I13" s="2296" t="s">
        <v>651</v>
      </c>
      <c r="J13" s="2455"/>
      <c r="K13" s="2455"/>
    </row>
    <row r="14" spans="1:11" ht="16.5">
      <c r="A14" s="2297" t="s">
        <v>650</v>
      </c>
      <c r="B14" s="2298">
        <f>'数据-取费表'!K16</f>
        <v>154.79</v>
      </c>
      <c r="C14" s="2298"/>
      <c r="D14" s="2298" t="e">
        <f>#REF!</f>
        <v>#REF!</v>
      </c>
      <c r="E14" s="2298" t="e">
        <f>ROUND(D14*10000/B14,0)</f>
        <v>#REF!</v>
      </c>
      <c r="F14" s="2298" t="e">
        <f>ROUND(D14*10000/C14,0)</f>
        <v>#REF!</v>
      </c>
      <c r="G14" s="2298"/>
      <c r="H14" s="2298"/>
      <c r="I14" s="2298"/>
      <c r="J14" s="2455"/>
      <c r="K14" s="2455"/>
    </row>
    <row r="15" spans="1:11" ht="16.5">
      <c r="A15" s="2297" t="s">
        <v>649</v>
      </c>
      <c r="B15" s="2299"/>
      <c r="C15" s="2299"/>
      <c r="D15" s="2299"/>
      <c r="E15" s="2298" t="e">
        <f t="shared" ref="E15:E23" si="0">ROUND(D15*10000/B15,0)</f>
        <v>#DIV/0!</v>
      </c>
      <c r="F15" s="2298" t="e">
        <f t="shared" ref="F15:F23" si="1">ROUND(D15*10000/C15,0)</f>
        <v>#DIV/0!</v>
      </c>
      <c r="G15" s="1240"/>
      <c r="H15" s="1240"/>
      <c r="I15" s="2299"/>
      <c r="J15" s="2455"/>
      <c r="K15" s="2455"/>
    </row>
    <row r="16" spans="1:11" ht="16.5">
      <c r="A16" s="2297" t="s">
        <v>648</v>
      </c>
      <c r="B16" s="2299"/>
      <c r="C16" s="2299"/>
      <c r="D16" s="2299"/>
      <c r="E16" s="2298" t="e">
        <f t="shared" si="0"/>
        <v>#DIV/0!</v>
      </c>
      <c r="F16" s="2298" t="e">
        <f t="shared" si="1"/>
        <v>#DIV/0!</v>
      </c>
      <c r="G16" s="1240"/>
      <c r="H16" s="1240"/>
      <c r="I16" s="2299"/>
      <c r="J16" s="2455"/>
      <c r="K16" s="2455"/>
    </row>
    <row r="17" spans="1:11" ht="16.5">
      <c r="A17" s="2297" t="s">
        <v>647</v>
      </c>
      <c r="B17" s="2299"/>
      <c r="C17" s="2299"/>
      <c r="D17" s="2299"/>
      <c r="E17" s="2298" t="e">
        <f t="shared" si="0"/>
        <v>#DIV/0!</v>
      </c>
      <c r="F17" s="2298" t="e">
        <f t="shared" si="1"/>
        <v>#DIV/0!</v>
      </c>
      <c r="G17" s="1240"/>
      <c r="H17" s="1240"/>
      <c r="I17" s="2299"/>
      <c r="J17" s="2455"/>
      <c r="K17" s="2455"/>
    </row>
    <row r="18" spans="1:11" ht="16.5">
      <c r="A18" s="2297" t="s">
        <v>646</v>
      </c>
      <c r="B18" s="2299"/>
      <c r="C18" s="2299"/>
      <c r="D18" s="2299"/>
      <c r="E18" s="2298" t="e">
        <f t="shared" si="0"/>
        <v>#DIV/0!</v>
      </c>
      <c r="F18" s="2298" t="e">
        <f t="shared" si="1"/>
        <v>#DIV/0!</v>
      </c>
      <c r="G18" s="2299"/>
      <c r="H18" s="2299"/>
      <c r="I18" s="2299"/>
      <c r="J18" s="2455"/>
      <c r="K18" s="2455"/>
    </row>
    <row r="19" spans="1:11" ht="16.5">
      <c r="A19" s="2297" t="s">
        <v>645</v>
      </c>
      <c r="B19" s="2299"/>
      <c r="C19" s="2299"/>
      <c r="D19" s="2299"/>
      <c r="E19" s="2298" t="e">
        <f t="shared" si="0"/>
        <v>#DIV/0!</v>
      </c>
      <c r="F19" s="2298" t="e">
        <f t="shared" si="1"/>
        <v>#DIV/0!</v>
      </c>
      <c r="G19" s="2299"/>
      <c r="H19" s="2299"/>
      <c r="I19" s="2299"/>
      <c r="J19" s="2455"/>
      <c r="K19" s="2455"/>
    </row>
    <row r="20" spans="1:11" ht="16.5">
      <c r="A20" s="2297" t="s">
        <v>644</v>
      </c>
      <c r="B20" s="2299"/>
      <c r="C20" s="2299"/>
      <c r="D20" s="2299"/>
      <c r="E20" s="2298" t="e">
        <f t="shared" si="0"/>
        <v>#DIV/0!</v>
      </c>
      <c r="F20" s="2298" t="e">
        <f t="shared" si="1"/>
        <v>#DIV/0!</v>
      </c>
      <c r="G20" s="2299"/>
      <c r="H20" s="2299"/>
      <c r="I20" s="2299"/>
      <c r="J20" s="2455"/>
      <c r="K20" s="2455"/>
    </row>
    <row r="21" spans="1:11" ht="16.5">
      <c r="A21" s="2297" t="s">
        <v>643</v>
      </c>
      <c r="B21" s="2299"/>
      <c r="C21" s="2299"/>
      <c r="D21" s="2299"/>
      <c r="E21" s="2298" t="e">
        <f t="shared" si="0"/>
        <v>#DIV/0!</v>
      </c>
      <c r="F21" s="2298" t="e">
        <f t="shared" si="1"/>
        <v>#DIV/0!</v>
      </c>
      <c r="G21" s="2299"/>
      <c r="H21" s="2299"/>
      <c r="I21" s="2299"/>
      <c r="J21" s="2455"/>
      <c r="K21" s="2455"/>
    </row>
    <row r="22" spans="1:11" ht="16.5">
      <c r="A22" s="2297" t="s">
        <v>642</v>
      </c>
      <c r="B22" s="2299"/>
      <c r="C22" s="2299"/>
      <c r="D22" s="2299"/>
      <c r="E22" s="2298" t="e">
        <f t="shared" si="0"/>
        <v>#DIV/0!</v>
      </c>
      <c r="F22" s="2298" t="e">
        <f t="shared" si="1"/>
        <v>#DIV/0!</v>
      </c>
      <c r="G22" s="2299"/>
      <c r="H22" s="2299"/>
      <c r="I22" s="2299"/>
      <c r="J22" s="2455"/>
      <c r="K22" s="2455"/>
    </row>
    <row r="23" spans="1:11" ht="16.5">
      <c r="A23" s="2297" t="s">
        <v>641</v>
      </c>
      <c r="B23" s="2299"/>
      <c r="C23" s="2299"/>
      <c r="D23" s="2299"/>
      <c r="E23" s="1240" t="e">
        <f t="shared" si="0"/>
        <v>#DIV/0!</v>
      </c>
      <c r="F23" s="1240" t="e">
        <f t="shared" si="1"/>
        <v>#DIV/0!</v>
      </c>
      <c r="G23" s="2299"/>
      <c r="H23" s="2299"/>
      <c r="I23" s="2299"/>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23" sqref="H23"/>
    </sheetView>
  </sheetViews>
  <sheetFormatPr defaultColWidth="12.625" defaultRowHeight="21.75" customHeight="1"/>
  <cols>
    <col min="1" max="2" width="12.625" style="1557"/>
    <col min="3" max="4" width="12.625" style="1557" customWidth="1"/>
    <col min="5" max="9" width="12.625" style="1557"/>
    <col min="10" max="11" width="12.625" style="684" customWidth="1"/>
    <col min="12" max="12" width="12.625" style="684"/>
    <col min="13" max="13" width="14.125" style="684" bestFit="1" customWidth="1"/>
    <col min="14" max="26" width="12.625" style="684"/>
    <col min="27" max="35" width="12.625" style="1619"/>
    <col min="36" max="16384" width="12.625" style="1557"/>
  </cols>
  <sheetData>
    <row r="1" spans="1:12" ht="21.75" customHeight="1" thickBot="1">
      <c r="A1" s="1517" t="s">
        <v>1262</v>
      </c>
      <c r="B1" s="646"/>
      <c r="C1" s="1616" t="s">
        <v>3401</v>
      </c>
      <c r="D1" s="646"/>
      <c r="E1" s="646"/>
      <c r="F1" s="1617" t="s">
        <v>1263</v>
      </c>
      <c r="G1" s="1449" t="s">
        <v>3464</v>
      </c>
      <c r="H1" s="1617" t="str">
        <f>IF(G1="现房","——","估价对象范围")</f>
        <v>——</v>
      </c>
      <c r="I1" s="1618"/>
    </row>
    <row r="2" spans="1:12" ht="21.75" customHeight="1" thickBot="1">
      <c r="A2" s="3288" t="str">
        <f>项目基本情况!S2</f>
        <v>房地产</v>
      </c>
      <c r="B2" s="3289"/>
      <c r="C2" s="3289"/>
      <c r="D2" s="3289"/>
      <c r="E2" s="3289"/>
      <c r="F2" s="3289"/>
      <c r="G2" s="3289"/>
      <c r="H2" s="3289"/>
      <c r="I2" s="3290"/>
    </row>
    <row r="3" spans="1:12" ht="12.75">
      <c r="A3" s="3292" t="s">
        <v>1264</v>
      </c>
      <c r="B3" s="3293"/>
      <c r="C3" s="3293"/>
      <c r="D3" s="3293"/>
      <c r="E3" s="3293"/>
      <c r="F3" s="3293"/>
      <c r="G3" s="3293"/>
      <c r="H3" s="3293"/>
      <c r="I3" s="3293"/>
    </row>
    <row r="4" spans="1:12" ht="14.25">
      <c r="A4" s="1620" t="s">
        <v>1265</v>
      </c>
      <c r="B4" s="1621" t="s">
        <v>1266</v>
      </c>
      <c r="C4" s="1622" t="s">
        <v>3461</v>
      </c>
      <c r="D4" s="1622" t="s">
        <v>3517</v>
      </c>
      <c r="E4" s="3294" t="s">
        <v>1267</v>
      </c>
      <c r="F4" s="3295"/>
      <c r="G4" s="3295"/>
      <c r="H4" s="3295"/>
      <c r="I4" s="3296"/>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68" t="s">
        <v>1268</v>
      </c>
      <c r="B5" s="3255">
        <v>25</v>
      </c>
      <c r="C5" s="3271">
        <v>2</v>
      </c>
      <c r="D5" s="3291">
        <f>10-C5</f>
        <v>8</v>
      </c>
      <c r="E5" s="123" t="s">
        <v>1269</v>
      </c>
      <c r="F5" s="1623"/>
      <c r="G5" s="1623"/>
      <c r="H5" s="1623"/>
      <c r="I5" s="1277"/>
    </row>
    <row r="6" spans="1:12" ht="12.75">
      <c r="A6" s="3268"/>
      <c r="B6" s="3255"/>
      <c r="C6" s="3272"/>
      <c r="D6" s="3291"/>
      <c r="E6" s="123" t="s">
        <v>1270</v>
      </c>
      <c r="F6" s="1623"/>
      <c r="G6" s="1623"/>
      <c r="H6" s="1623"/>
      <c r="I6" s="1277"/>
    </row>
    <row r="7" spans="1:12" ht="12.75">
      <c r="A7" s="3268"/>
      <c r="B7" s="3255"/>
      <c r="C7" s="3273"/>
      <c r="D7" s="3291"/>
      <c r="E7" s="123" t="s">
        <v>1271</v>
      </c>
      <c r="F7" s="1623"/>
      <c r="G7" s="1623"/>
      <c r="H7" s="1623"/>
      <c r="I7" s="1277"/>
    </row>
    <row r="8" spans="1:12" ht="12.75">
      <c r="A8" s="3268" t="s">
        <v>1272</v>
      </c>
      <c r="B8" s="3255">
        <v>15</v>
      </c>
      <c r="C8" s="3271"/>
      <c r="D8" s="3291"/>
      <c r="E8" s="123" t="s">
        <v>1273</v>
      </c>
      <c r="F8" s="1623"/>
      <c r="G8" s="1623"/>
      <c r="H8" s="1623"/>
      <c r="I8" s="1277"/>
    </row>
    <row r="9" spans="1:12" ht="12.75">
      <c r="A9" s="3268"/>
      <c r="B9" s="3255"/>
      <c r="C9" s="3273"/>
      <c r="D9" s="3291"/>
      <c r="E9" s="123" t="s">
        <v>1274</v>
      </c>
      <c r="F9" s="1623"/>
      <c r="G9" s="1623"/>
      <c r="H9" s="1623"/>
      <c r="I9" s="1277"/>
    </row>
    <row r="10" spans="1:12" ht="12.75">
      <c r="A10" s="3268" t="s">
        <v>1275</v>
      </c>
      <c r="B10" s="3255">
        <v>15</v>
      </c>
      <c r="C10" s="3271"/>
      <c r="D10" s="3291"/>
      <c r="E10" s="123" t="s">
        <v>1276</v>
      </c>
      <c r="F10" s="1623"/>
      <c r="G10" s="1623"/>
      <c r="H10" s="1623"/>
      <c r="I10" s="1277"/>
    </row>
    <row r="11" spans="1:12" ht="12.75">
      <c r="A11" s="3268"/>
      <c r="B11" s="3255"/>
      <c r="C11" s="3273"/>
      <c r="D11" s="3291"/>
      <c r="E11" s="123" t="s">
        <v>1277</v>
      </c>
      <c r="F11" s="1623"/>
      <c r="G11" s="1623"/>
      <c r="H11" s="1623"/>
      <c r="I11" s="1277"/>
    </row>
    <row r="12" spans="1:12" ht="12.75">
      <c r="A12" s="3268" t="s">
        <v>1278</v>
      </c>
      <c r="B12" s="3255">
        <v>15</v>
      </c>
      <c r="C12" s="3271"/>
      <c r="D12" s="3291"/>
      <c r="E12" s="123" t="s">
        <v>1279</v>
      </c>
      <c r="F12" s="1623"/>
      <c r="G12" s="1623"/>
      <c r="H12" s="1623"/>
      <c r="I12" s="1277"/>
    </row>
    <row r="13" spans="1:12" ht="12.75">
      <c r="A13" s="3268"/>
      <c r="B13" s="3255"/>
      <c r="C13" s="3273"/>
      <c r="D13" s="3291"/>
      <c r="E13" s="123" t="s">
        <v>1280</v>
      </c>
      <c r="F13" s="1623"/>
      <c r="G13" s="1623"/>
      <c r="H13" s="1623"/>
      <c r="I13" s="1277"/>
    </row>
    <row r="14" spans="1:12" ht="12.75">
      <c r="A14" s="3268" t="s">
        <v>1281</v>
      </c>
      <c r="B14" s="3255">
        <v>30</v>
      </c>
      <c r="C14" s="3271"/>
      <c r="D14" s="3291"/>
      <c r="E14" s="123" t="s">
        <v>1282</v>
      </c>
      <c r="F14" s="1623"/>
      <c r="G14" s="1623"/>
      <c r="H14" s="1623"/>
      <c r="I14" s="1277"/>
    </row>
    <row r="15" spans="1:12" ht="12.75">
      <c r="A15" s="3268"/>
      <c r="B15" s="3255"/>
      <c r="C15" s="3272"/>
      <c r="D15" s="3291"/>
      <c r="E15" s="123" t="s">
        <v>1283</v>
      </c>
      <c r="F15" s="1623"/>
      <c r="G15" s="1623"/>
      <c r="H15" s="1623"/>
      <c r="I15" s="1277"/>
    </row>
    <row r="16" spans="1:12" ht="12.75">
      <c r="A16" s="3268"/>
      <c r="B16" s="3255"/>
      <c r="C16" s="3273"/>
      <c r="D16" s="3291"/>
      <c r="E16" s="123" t="s">
        <v>1284</v>
      </c>
      <c r="F16" s="1623"/>
      <c r="G16" s="1623"/>
      <c r="H16" s="1623"/>
      <c r="I16" s="1277"/>
    </row>
    <row r="17" spans="1:36" ht="15">
      <c r="A17" s="1624" t="s">
        <v>1285</v>
      </c>
      <c r="B17" s="54"/>
      <c r="C17" s="124">
        <f>SUM(C5:C16)</f>
        <v>2</v>
      </c>
      <c r="D17" s="124">
        <f>SUM(D5:D16)</f>
        <v>8</v>
      </c>
      <c r="E17" s="121"/>
      <c r="F17" s="121"/>
      <c r="G17" s="121"/>
      <c r="H17" s="121"/>
      <c r="I17" s="121"/>
      <c r="K17" s="294"/>
      <c r="L17" s="294" t="s">
        <v>1286</v>
      </c>
      <c r="M17" s="294" t="s">
        <v>1287</v>
      </c>
    </row>
    <row r="18" spans="1:36" ht="31.9" customHeight="1" thickBot="1">
      <c r="A18" s="1625" t="s">
        <v>1288</v>
      </c>
      <c r="B18" s="1538"/>
      <c r="C18" s="125">
        <f>ROUND(C17/SUM(C17:D17),2)</f>
        <v>0.2</v>
      </c>
      <c r="D18" s="125">
        <f>1-C18</f>
        <v>0.8</v>
      </c>
      <c r="E18" s="3278" t="s">
        <v>2131</v>
      </c>
      <c r="F18" s="3279"/>
      <c r="G18" s="3279"/>
      <c r="H18" s="3279"/>
      <c r="I18" s="3279"/>
      <c r="K18" s="294" t="s">
        <v>1289</v>
      </c>
      <c r="L18" s="294">
        <f>IF(C1="",'数据-汇总表'!E3,SUMIF(项目类型,C1,'数据-汇总表'!E17:E26)+SUMIF(项目类型,C1,'数据-汇总表'!I17:I26))</f>
        <v>154.79</v>
      </c>
      <c r="M18" s="294">
        <f>IF(C1="",'数据-汇总表'!E3,SUMIF(项目类型,C1,'数据-汇总表'!E17:E26))</f>
        <v>154.79</v>
      </c>
    </row>
    <row r="19" spans="1:36" ht="15">
      <c r="A19" s="1626" t="s">
        <v>1290</v>
      </c>
      <c r="B19" s="1627" t="s">
        <v>1291</v>
      </c>
      <c r="C19" s="126">
        <f ca="1">SUMIF(INDIRECT("'"&amp;C4&amp;"'"&amp;"!A:A"),结果表!B19,INDIRECT("'"&amp;C4&amp;"'"&amp;"!B:B"))</f>
        <v>70.682299999999998</v>
      </c>
      <c r="D19" s="127">
        <f ca="1">SUMIF(INDIRECT("'"&amp;D4&amp;"'"&amp;"!A:A"),结果表!B19,INDIRECT("'"&amp;D4&amp;"'"&amp;"!B:B"))</f>
        <v>112.4085</v>
      </c>
      <c r="E19" s="1626" t="s">
        <v>1292</v>
      </c>
      <c r="F19" s="1627" t="s">
        <v>1291</v>
      </c>
      <c r="G19" s="128">
        <f ca="1">ROUND(C19*$C$18+D19*$D$18,4)</f>
        <v>104.0633</v>
      </c>
      <c r="H19" s="1628"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29"/>
      <c r="B20" s="43" t="s">
        <v>1295</v>
      </c>
      <c r="C20" s="129">
        <f ca="1">SUMIF(INDIRECT("'"&amp;C4&amp;"'"&amp;"!A:A"),结果表!B20,INDIRECT("'"&amp;C4&amp;"'"&amp;"!B:B"))</f>
        <v>4566</v>
      </c>
      <c r="D20" s="130">
        <f ca="1">SUMIF(INDIRECT("'"&amp;D4&amp;"'"&amp;"!A:A"),结果表!B20,INDIRECT("'"&amp;D4&amp;"'"&amp;"!B:B"))</f>
        <v>7262</v>
      </c>
      <c r="E20" s="1629"/>
      <c r="F20" s="43" t="s">
        <v>1295</v>
      </c>
      <c r="G20" s="131">
        <f ca="1">ROUND(C20*$C$18+D20*$D$18,0)</f>
        <v>6723</v>
      </c>
      <c r="H20" s="756"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0" t="s">
        <v>1296</v>
      </c>
      <c r="I21" s="121"/>
    </row>
    <row r="22" spans="1:36" ht="15" thickBot="1">
      <c r="A22" s="1560" t="s">
        <v>1298</v>
      </c>
      <c r="B22" s="1631"/>
      <c r="C22" s="1632"/>
      <c r="D22" s="680">
        <f ca="1">IF(C19&lt;D19,D19/C19-1,C19/D19-1)</f>
        <v>0.59033449675519911</v>
      </c>
      <c r="E22" s="121"/>
      <c r="F22" s="3523" t="s">
        <v>3525</v>
      </c>
      <c r="G22" s="121">
        <f ca="1">G19-D27/10000</f>
        <v>98.670400000000001</v>
      </c>
      <c r="H22" s="3523" t="s">
        <v>3526</v>
      </c>
      <c r="I22" s="121"/>
    </row>
    <row r="23" spans="1:36" ht="13.5" thickBot="1">
      <c r="A23" s="646"/>
      <c r="B23" s="646"/>
      <c r="C23" s="646"/>
      <c r="D23" s="646"/>
      <c r="E23" s="121"/>
      <c r="F23" s="121"/>
      <c r="G23" s="121"/>
      <c r="H23" s="121"/>
      <c r="I23" s="121"/>
    </row>
    <row r="24" spans="1:36" ht="14.25">
      <c r="A24" s="3262" t="s">
        <v>1299</v>
      </c>
      <c r="B24" s="1627" t="s">
        <v>1291</v>
      </c>
      <c r="C24" s="128">
        <f>IF(B30=0,0,D30)</f>
        <v>0</v>
      </c>
      <c r="D24" s="1633"/>
      <c r="E24" s="121"/>
      <c r="F24" s="121"/>
      <c r="G24" s="121"/>
      <c r="H24" s="121"/>
      <c r="I24" s="121"/>
    </row>
    <row r="25" spans="1:36" ht="14.25">
      <c r="A25" s="3263"/>
      <c r="B25" s="43" t="s">
        <v>1295</v>
      </c>
      <c r="C25" s="133">
        <f>IF(B30=0,0,C30)</f>
        <v>0</v>
      </c>
      <c r="D25" s="1634"/>
      <c r="E25" s="121"/>
      <c r="F25" s="121"/>
      <c r="G25" s="121"/>
      <c r="H25" s="121"/>
      <c r="I25" s="121"/>
    </row>
    <row r="26" spans="1:36" ht="13.5" customHeight="1">
      <c r="A26" s="1635" t="s">
        <v>1300</v>
      </c>
      <c r="B26" s="134" t="s">
        <v>1301</v>
      </c>
      <c r="C26" s="134" t="s">
        <v>1302</v>
      </c>
      <c r="D26" s="135" t="s">
        <v>1303</v>
      </c>
      <c r="E26" s="121"/>
      <c r="F26" s="121"/>
      <c r="G26" s="121"/>
      <c r="H26" s="121"/>
      <c r="I26" s="121"/>
    </row>
    <row r="27" spans="1:36" ht="14.25">
      <c r="A27" s="1635"/>
      <c r="B27" s="134">
        <f>'数据-基础表'!I13</f>
        <v>154.79</v>
      </c>
      <c r="C27" s="134">
        <v>1742</v>
      </c>
      <c r="D27" s="135">
        <f>ROUND(C27*B27*20%,0)</f>
        <v>53929</v>
      </c>
      <c r="E27" s="121"/>
      <c r="F27" s="121"/>
      <c r="G27" s="121"/>
      <c r="H27" s="121"/>
      <c r="I27" s="121"/>
    </row>
    <row r="28" spans="1:36" ht="14.25">
      <c r="A28" s="1635"/>
      <c r="B28" s="134"/>
      <c r="C28" s="134"/>
      <c r="D28" s="135"/>
      <c r="E28" s="121"/>
      <c r="F28" s="121"/>
      <c r="G28" s="121"/>
      <c r="H28" s="121"/>
      <c r="I28" s="121"/>
    </row>
    <row r="29" spans="1:36" ht="14.25">
      <c r="A29" s="1635"/>
      <c r="B29" s="134"/>
      <c r="C29" s="134"/>
      <c r="D29" s="135"/>
      <c r="E29" s="121"/>
      <c r="F29" s="121"/>
      <c r="G29" s="121"/>
      <c r="H29" s="121"/>
      <c r="I29" s="121"/>
    </row>
    <row r="30" spans="1:36" ht="15" thickBot="1">
      <c r="A30" s="134" t="s">
        <v>1304</v>
      </c>
      <c r="B30" s="134"/>
      <c r="C30" s="134"/>
      <c r="D30" s="134"/>
      <c r="E30" s="2121" t="s">
        <v>2132</v>
      </c>
      <c r="F30" s="121"/>
      <c r="G30" s="121"/>
      <c r="H30" s="121"/>
      <c r="I30" s="121"/>
    </row>
    <row r="31" spans="1:36" s="2127" customFormat="1" ht="26.45" customHeight="1" thickTop="1" thickBot="1">
      <c r="A31" s="2122"/>
      <c r="B31" s="2123"/>
      <c r="C31" s="2123"/>
      <c r="D31" s="2123"/>
      <c r="E31" s="2123"/>
      <c r="F31" s="2123"/>
      <c r="G31" s="2123"/>
      <c r="H31" s="2123"/>
      <c r="I31" s="2124" t="s">
        <v>2133</v>
      </c>
      <c r="J31" s="2456"/>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6" t="s">
        <v>1305</v>
      </c>
      <c r="B32" s="1531"/>
      <c r="C32" s="136">
        <f ca="1">IF(D32="总价",G19-C24,G20-C25)</f>
        <v>6723</v>
      </c>
      <c r="D32" s="1637"/>
      <c r="E32" s="121"/>
      <c r="F32" s="121"/>
      <c r="G32" s="121"/>
      <c r="H32" s="121"/>
      <c r="I32" s="121"/>
    </row>
    <row r="33" spans="1:15" ht="15">
      <c r="A33" s="736" t="s">
        <v>1306</v>
      </c>
      <c r="B33" s="123"/>
      <c r="C33" s="1638"/>
      <c r="D33" s="1639"/>
      <c r="E33" s="1640" t="s">
        <v>1307</v>
      </c>
      <c r="F33" s="1641" t="str">
        <f>IF(D32="楼面单价","取值（单价）","取值（总价）")</f>
        <v>取值（总价）</v>
      </c>
      <c r="G33" s="121"/>
      <c r="H33" s="121"/>
      <c r="I33" s="121"/>
    </row>
    <row r="34" spans="1:15" ht="15">
      <c r="A34" s="1642"/>
      <c r="B34" s="1643" t="s">
        <v>1308</v>
      </c>
      <c r="C34" s="140" t="e">
        <f ca="1">IF(C33="自定义",F34,C32-C35)</f>
        <v>#REF!</v>
      </c>
      <c r="D34" s="804" t="e">
        <f ca="1">IF(C33="自定义",ROUND(C34/C32,3),IF(C33="收益比率",SUMIF(INDIRECT("'"&amp;D33&amp;"'"&amp;"!b:b"),"土地收益比率",INDIRECT("'"&amp;D33&amp;"'"&amp;"!c:c")),SUMIF(INDIRECT("'"&amp;D33&amp;"'"&amp;"!b:b"),"土地成本比率",INDIRECT("'"&amp;D33&amp;"'"&amp;"!c:c"))))</f>
        <v>#REF!</v>
      </c>
      <c r="E34" s="1644" t="s">
        <v>1309</v>
      </c>
      <c r="F34" s="1239"/>
      <c r="G34" s="121"/>
      <c r="H34" s="121"/>
      <c r="I34" s="121"/>
    </row>
    <row r="35" spans="1:15" ht="15.75" thickBot="1">
      <c r="A35" s="1645"/>
      <c r="B35" s="1646" t="s">
        <v>1310</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7" t="s">
        <v>1311</v>
      </c>
      <c r="F35" s="146"/>
      <c r="G35" s="121"/>
      <c r="H35" s="121"/>
      <c r="I35" s="121"/>
    </row>
    <row r="36" spans="1:15" ht="15.75" thickBot="1">
      <c r="A36" s="3282" t="s">
        <v>1312</v>
      </c>
      <c r="B36" s="1648" t="s">
        <v>1313</v>
      </c>
      <c r="C36" s="137"/>
      <c r="D36" s="1649"/>
      <c r="E36" s="1563"/>
      <c r="F36" s="1650"/>
      <c r="G36" s="121"/>
      <c r="H36" s="121"/>
      <c r="I36" s="121"/>
    </row>
    <row r="37" spans="1:15" ht="15.75" thickBot="1">
      <c r="A37" s="3283"/>
      <c r="B37" s="1551" t="s">
        <v>1314</v>
      </c>
      <c r="C37" s="139"/>
      <c r="D37" s="1067"/>
      <c r="E37" s="1067"/>
      <c r="F37" s="1650"/>
      <c r="G37" s="121"/>
      <c r="H37" s="121"/>
      <c r="I37" s="121"/>
    </row>
    <row r="38" spans="1:15" ht="15.75" thickBot="1">
      <c r="A38" s="3284"/>
      <c r="B38" s="1651" t="s">
        <v>1315</v>
      </c>
      <c r="C38" s="641"/>
      <c r="D38" s="1652" t="s">
        <v>1316</v>
      </c>
      <c r="E38" s="1067"/>
      <c r="F38" s="1650"/>
      <c r="G38" s="121"/>
      <c r="H38" s="121"/>
      <c r="I38" s="121"/>
    </row>
    <row r="39" spans="1:15" ht="15">
      <c r="A39" s="1629" t="s">
        <v>1317</v>
      </c>
      <c r="B39" s="1653" t="s">
        <v>1318</v>
      </c>
      <c r="C39" s="1654" t="s">
        <v>1319</v>
      </c>
      <c r="D39" s="1654" t="s">
        <v>1320</v>
      </c>
      <c r="E39" s="1655" t="s">
        <v>1321</v>
      </c>
      <c r="F39" s="1650"/>
      <c r="G39" s="121"/>
      <c r="H39" s="121"/>
      <c r="I39" s="121"/>
    </row>
    <row r="40" spans="1:15" ht="14.25">
      <c r="A40" s="1656" t="s">
        <v>1322</v>
      </c>
      <c r="B40" s="141"/>
      <c r="C40" s="142"/>
      <c r="D40" s="142"/>
      <c r="E40" s="143"/>
      <c r="F40" s="1650"/>
      <c r="G40" s="121"/>
      <c r="H40" s="121"/>
      <c r="I40" s="121"/>
    </row>
    <row r="41" spans="1:15" ht="14.25">
      <c r="A41" s="1656" t="s">
        <v>1323</v>
      </c>
      <c r="B41" s="141"/>
      <c r="C41" s="142"/>
      <c r="D41" s="142"/>
      <c r="E41" s="143"/>
      <c r="F41" s="1650"/>
      <c r="G41" s="121"/>
      <c r="H41" s="121"/>
      <c r="I41" s="121"/>
    </row>
    <row r="42" spans="1:15" ht="15" thickBot="1">
      <c r="A42" s="1657"/>
      <c r="B42" s="144"/>
      <c r="C42" s="145"/>
      <c r="D42" s="145"/>
      <c r="E42" s="146"/>
      <c r="F42" s="1650"/>
      <c r="G42" s="121"/>
      <c r="H42" s="121"/>
      <c r="I42" s="121"/>
    </row>
    <row r="43" spans="1:15" ht="12.75">
      <c r="A43" s="1463"/>
      <c r="B43" s="1463"/>
      <c r="C43" s="1463"/>
      <c r="D43" s="1463"/>
      <c r="E43" s="1463"/>
      <c r="F43" s="1658"/>
      <c r="G43" s="1658"/>
      <c r="H43" s="1658"/>
      <c r="I43" s="1659"/>
    </row>
    <row r="44" spans="1:15" ht="18.75">
      <c r="A44" s="1460" t="s">
        <v>1324</v>
      </c>
      <c r="B44" s="1660"/>
      <c r="C44" s="1660"/>
      <c r="D44" s="1661"/>
      <c r="E44" s="1661"/>
      <c r="F44" s="1662"/>
      <c r="G44" s="1662"/>
      <c r="H44" s="1662"/>
      <c r="I44" s="1662"/>
      <c r="J44" s="1663" t="s">
        <v>1325</v>
      </c>
      <c r="K44" s="4"/>
      <c r="L44" s="4"/>
      <c r="M44" s="4"/>
      <c r="N44" s="4"/>
      <c r="O44" s="4"/>
    </row>
    <row r="45" spans="1:15" ht="14.25" customHeight="1" thickBot="1">
      <c r="A45" s="3259" t="s">
        <v>1326</v>
      </c>
      <c r="B45" s="3260"/>
      <c r="C45" s="3261"/>
      <c r="D45" s="147" t="e">
        <f ca="1">ROUND(H101*F45,0)</f>
        <v>#REF!</v>
      </c>
      <c r="E45" s="148" t="s">
        <v>1327</v>
      </c>
      <c r="F45" s="149">
        <v>1</v>
      </c>
      <c r="G45" s="150" t="s">
        <v>1328</v>
      </c>
      <c r="H45" s="121"/>
      <c r="I45" s="121"/>
      <c r="J45" s="3337" t="s">
        <v>1329</v>
      </c>
      <c r="K45" s="3337"/>
      <c r="L45" s="3337"/>
      <c r="M45" s="3337"/>
      <c r="N45" s="3337"/>
      <c r="O45" s="3337"/>
    </row>
    <row r="46" spans="1:15" ht="14.25" customHeight="1">
      <c r="A46" s="3256" t="s">
        <v>1330</v>
      </c>
      <c r="B46" s="3257"/>
      <c r="C46" s="3257"/>
      <c r="D46" s="3257"/>
      <c r="E46" s="3257"/>
      <c r="F46" s="3257"/>
      <c r="G46" s="3258"/>
      <c r="H46" s="1664"/>
      <c r="I46" s="151"/>
      <c r="J46" s="2302">
        <v>1</v>
      </c>
      <c r="K46" s="3318" t="s">
        <v>1331</v>
      </c>
      <c r="L46" s="3318"/>
      <c r="M46" s="3338"/>
      <c r="N46" s="3338"/>
      <c r="O46" s="3338"/>
    </row>
    <row r="47" spans="1:15" ht="12" customHeight="1">
      <c r="A47" s="152" t="s">
        <v>1332</v>
      </c>
      <c r="B47" s="153"/>
      <c r="C47" s="154"/>
      <c r="D47" s="1020" t="s">
        <v>1333</v>
      </c>
      <c r="E47" s="294" t="s">
        <v>1334</v>
      </c>
      <c r="F47" s="155" t="s">
        <v>1335</v>
      </c>
      <c r="G47" s="2325" t="s">
        <v>1336</v>
      </c>
      <c r="H47" s="2326"/>
      <c r="I47" s="151"/>
      <c r="J47" s="2302">
        <v>2</v>
      </c>
      <c r="K47" s="3318" t="s">
        <v>1337</v>
      </c>
      <c r="L47" s="3318"/>
      <c r="M47" s="3339">
        <f>'数据-取费表'!B2</f>
        <v>45940</v>
      </c>
      <c r="N47" s="3339"/>
      <c r="O47" s="3339"/>
    </row>
    <row r="48" spans="1:15" ht="25.5">
      <c r="A48" s="3287" t="s">
        <v>1338</v>
      </c>
      <c r="B48" s="3270"/>
      <c r="C48" s="3270"/>
      <c r="D48" s="12" t="b">
        <f>IF(H48="情况1",0,IF(H48="情况2",D52,IF(H48="情况3",D53,IF(H48="情况4",D54))))</f>
        <v>0</v>
      </c>
      <c r="E48" s="1252" t="str">
        <f>IF(H48="情况4","(销售额-原购置价)×税（费）率","销售额×税（费）率")</f>
        <v>销售额×税（费）率</v>
      </c>
      <c r="F48" s="2327">
        <f>IF(H48="情况1","免征",'数据-取费表'!B41)</f>
        <v>5.6000000000000001E-2</v>
      </c>
      <c r="G48" s="2328" t="s">
        <v>1339</v>
      </c>
      <c r="H48" s="2329"/>
      <c r="I48" s="1664"/>
      <c r="J48" s="2302">
        <v>3</v>
      </c>
      <c r="K48" s="3318" t="s">
        <v>1340</v>
      </c>
      <c r="L48" s="3318"/>
      <c r="M48" s="3340" t="e">
        <f ca="1">H101</f>
        <v>#REF!</v>
      </c>
      <c r="N48" s="3340"/>
      <c r="O48" s="3340"/>
    </row>
    <row r="49" spans="1:35" ht="25.5" customHeight="1">
      <c r="A49" s="2146" t="s">
        <v>1341</v>
      </c>
      <c r="B49" s="3254" t="s">
        <v>1342</v>
      </c>
      <c r="C49" s="3254"/>
      <c r="D49" s="1474">
        <v>0</v>
      </c>
      <c r="E49" s="316" t="s">
        <v>1343</v>
      </c>
      <c r="F49" s="2227" t="s">
        <v>28</v>
      </c>
      <c r="G49" s="3324"/>
      <c r="H49" s="2128" t="s">
        <v>2134</v>
      </c>
      <c r="I49" s="2129"/>
      <c r="J49" s="2302">
        <v>4</v>
      </c>
      <c r="K49" s="3318" t="str">
        <f>IF(项目基本情况!E8="房地产抵押价值","房地产抵押价值","抵押担保权已注销时的房地产抵押价值")</f>
        <v>抵押担保权已注销时的房地产抵押价值</v>
      </c>
      <c r="L49" s="3318"/>
      <c r="M49" s="3340" t="str">
        <f>IF(项目基本情况!E8="房地产抵押价值",H107,H109)</f>
        <v>——</v>
      </c>
      <c r="N49" s="3340"/>
      <c r="O49" s="3340"/>
    </row>
    <row r="50" spans="1:35" ht="25.5" customHeight="1">
      <c r="A50" s="2330"/>
      <c r="B50" s="3254" t="s">
        <v>1344</v>
      </c>
      <c r="C50" s="3254"/>
      <c r="D50" s="2183"/>
      <c r="E50" s="323"/>
      <c r="F50" s="2227"/>
      <c r="G50" s="3325"/>
      <c r="H50" s="2130" t="s">
        <v>2135</v>
      </c>
      <c r="I50" s="2129"/>
      <c r="J50" s="3337" t="s">
        <v>1345</v>
      </c>
      <c r="K50" s="3337"/>
      <c r="L50" s="3337"/>
      <c r="M50" s="3337"/>
      <c r="N50" s="3337"/>
      <c r="O50" s="3337"/>
    </row>
    <row r="51" spans="1:35" ht="20.45" customHeight="1">
      <c r="A51" s="2331"/>
      <c r="B51" s="3254" t="s">
        <v>1346</v>
      </c>
      <c r="C51" s="3254"/>
      <c r="D51" s="1020"/>
      <c r="E51" s="319"/>
      <c r="F51" s="2227"/>
      <c r="G51" s="3326"/>
      <c r="H51" s="2130" t="s">
        <v>2136</v>
      </c>
      <c r="I51" s="2129"/>
      <c r="J51" s="2303" t="s">
        <v>1347</v>
      </c>
      <c r="K51" s="3318" t="s">
        <v>1348</v>
      </c>
      <c r="L51" s="3318"/>
      <c r="M51" s="2303" t="s">
        <v>1349</v>
      </c>
      <c r="N51" s="2303" t="s">
        <v>1350</v>
      </c>
      <c r="O51" s="2303" t="s">
        <v>1351</v>
      </c>
    </row>
    <row r="52" spans="1:35" ht="24" customHeight="1">
      <c r="A52" s="2147" t="s">
        <v>1352</v>
      </c>
      <c r="B52" s="3254" t="s">
        <v>1353</v>
      </c>
      <c r="C52" s="3254"/>
      <c r="D52" s="1020" t="e">
        <f ca="1">ROUND(D45*'数据-取费表'!B41/(1+'数据-取费表'!C42),0)</f>
        <v>#REF!</v>
      </c>
      <c r="E52" s="1252" t="s">
        <v>1354</v>
      </c>
      <c r="F52" s="2332">
        <f>'数据-取费表'!B41</f>
        <v>5.6000000000000001E-2</v>
      </c>
      <c r="G52" s="2333"/>
      <c r="H52" s="2323"/>
      <c r="I52" s="1665"/>
      <c r="J52" s="2302">
        <v>1</v>
      </c>
      <c r="K52" s="3319" t="s">
        <v>1355</v>
      </c>
      <c r="L52" s="3319"/>
      <c r="M52" s="2304" t="b">
        <f>D48</f>
        <v>0</v>
      </c>
      <c r="N52" s="2302" t="str">
        <f>E48</f>
        <v>销售额×税（费）率</v>
      </c>
      <c r="O52" s="2305">
        <f>F48</f>
        <v>5.6000000000000001E-2</v>
      </c>
    </row>
    <row r="53" spans="1:35" ht="12" customHeight="1">
      <c r="A53" s="2147" t="s">
        <v>1356</v>
      </c>
      <c r="B53" s="3280" t="s">
        <v>2287</v>
      </c>
      <c r="C53" s="3281"/>
      <c r="D53" s="1020" t="e">
        <f ca="1">ROUND(D45*'数据-取费表'!B41/(1+'数据-取费表'!C42),0)</f>
        <v>#REF!</v>
      </c>
      <c r="E53" s="1252" t="s">
        <v>1354</v>
      </c>
      <c r="F53" s="2332">
        <f>'数据-取费表'!B41</f>
        <v>5.6000000000000001E-2</v>
      </c>
      <c r="G53" s="2333"/>
      <c r="H53" s="2323"/>
      <c r="I53" s="1665"/>
      <c r="J53" s="2302">
        <v>2</v>
      </c>
      <c r="K53" s="3319" t="s">
        <v>1357</v>
      </c>
      <c r="L53" s="3319"/>
      <c r="M53" s="2304" t="e">
        <f t="shared" ref="M53:O54" ca="1" si="0">D55</f>
        <v>#REF!</v>
      </c>
      <c r="N53" s="2302" t="str">
        <f t="shared" si="0"/>
        <v>销售额×税（费）率</v>
      </c>
      <c r="O53" s="2305" t="str">
        <f t="shared" si="0"/>
        <v>免征</v>
      </c>
    </row>
    <row r="54" spans="1:35" ht="12" customHeight="1">
      <c r="A54" s="2147" t="s">
        <v>1358</v>
      </c>
      <c r="B54" s="3280" t="s">
        <v>2288</v>
      </c>
      <c r="C54" s="3281"/>
      <c r="D54" s="1020" t="e">
        <f ca="1">C68</f>
        <v>#REF!</v>
      </c>
      <c r="E54" s="319" t="s">
        <v>1359</v>
      </c>
      <c r="F54" s="2332">
        <f>'数据-取费表'!B41</f>
        <v>5.6000000000000001E-2</v>
      </c>
      <c r="G54" s="2333"/>
      <c r="H54" s="2334"/>
      <c r="I54" s="1665"/>
      <c r="J54" s="2302">
        <v>3</v>
      </c>
      <c r="K54" s="3319" t="s">
        <v>1360</v>
      </c>
      <c r="L54" s="3319"/>
      <c r="M54" s="2304" t="e">
        <f t="shared" ca="1" si="0"/>
        <v>#REF!</v>
      </c>
      <c r="N54" s="2302" t="str">
        <f t="shared" si="0"/>
        <v>增值额×税（费）率</v>
      </c>
      <c r="O54" s="2306" t="str">
        <f t="shared" si="0"/>
        <v>免征</v>
      </c>
    </row>
    <row r="55" spans="1:35" ht="24" customHeight="1">
      <c r="A55" s="3269" t="s">
        <v>1361</v>
      </c>
      <c r="B55" s="3270"/>
      <c r="C55" s="3270"/>
      <c r="D55" s="12" t="e">
        <f ca="1">IF(H55="个人住宅",0,ROUND(D45*I55,0))</f>
        <v>#REF!</v>
      </c>
      <c r="E55" s="1252" t="s">
        <v>1362</v>
      </c>
      <c r="F55" s="2332" t="str">
        <f>IF(H55="正常",I55,"免征")</f>
        <v>免征</v>
      </c>
      <c r="G55" s="2333"/>
      <c r="H55" s="2329"/>
      <c r="I55" s="157">
        <f>'数据-取费表'!B49</f>
        <v>5.0000000000000001E-4</v>
      </c>
      <c r="J55" s="2302">
        <f>IF(H59="非个人房产","",4)</f>
        <v>4</v>
      </c>
      <c r="K55" s="3319" t="str">
        <f>IF(H59="非个人房产","——","个人所得税")</f>
        <v>个人所得税</v>
      </c>
      <c r="L55" s="3319"/>
      <c r="M55" s="2307" t="e">
        <f ca="1">D59</f>
        <v>#REF!</v>
      </c>
      <c r="N55" s="1877" t="str">
        <f>E59</f>
        <v>差额计税</v>
      </c>
      <c r="O55" s="2308">
        <f>F59</f>
        <v>0.01</v>
      </c>
    </row>
    <row r="56" spans="1:35" ht="24.75">
      <c r="A56" s="3269" t="s">
        <v>1363</v>
      </c>
      <c r="B56" s="3270"/>
      <c r="C56" s="3270"/>
      <c r="D56" s="12" t="e">
        <f ca="1">IF(H56="个人住宅",D57,D58)</f>
        <v>#REF!</v>
      </c>
      <c r="E56" s="1252" t="s">
        <v>1364</v>
      </c>
      <c r="F56" s="2332" t="str">
        <f>IF(H56="正常",F58,"免征")</f>
        <v>免征</v>
      </c>
      <c r="G56" s="2335" t="s">
        <v>1365</v>
      </c>
      <c r="H56" s="2336"/>
      <c r="I56" s="1666"/>
      <c r="J56" s="2302" t="str">
        <f>IF(项目基本情况!K6="上海银行",IF(J55="",4,J55+1),"")</f>
        <v/>
      </c>
      <c r="K56" s="3342" t="str">
        <f>IF(项目基本情况!K6="上海银行","其他处置费用","")</f>
        <v/>
      </c>
      <c r="L56" s="3343"/>
      <c r="M56" s="2304" t="str">
        <f>IF(项目基本情况!K6="上海银行",M69,"")</f>
        <v/>
      </c>
      <c r="N56" s="3342" t="str">
        <f>IF(项目基本情况!K6="上海银行","包含处置中涉及的律师、诉讼、拍卖、评估等费用","")</f>
        <v/>
      </c>
      <c r="O56" s="3345"/>
    </row>
    <row r="57" spans="1:35" ht="12.75">
      <c r="A57" s="2147" t="s">
        <v>1341</v>
      </c>
      <c r="B57" s="3280" t="s">
        <v>1366</v>
      </c>
      <c r="C57" s="3281"/>
      <c r="D57" s="1474">
        <v>0</v>
      </c>
      <c r="E57" s="316" t="s">
        <v>1343</v>
      </c>
      <c r="F57" s="294"/>
      <c r="G57" s="2333"/>
      <c r="H57" s="2337"/>
      <c r="I57" s="1666"/>
      <c r="J57" s="3319">
        <f>IF(AND(J55="",J56=""),4,IF(项目基本情况!K6="上海银行",结果表!J56+1,结果表!J55+1))</f>
        <v>5</v>
      </c>
      <c r="K57" s="3319" t="s">
        <v>1367</v>
      </c>
      <c r="L57" s="2309" t="s">
        <v>1368</v>
      </c>
      <c r="M57" s="2310"/>
      <c r="N57" s="2311">
        <f ca="1">SUMIF(M52:M56,"&lt;9e307")</f>
        <v>0</v>
      </c>
      <c r="O57" s="2312"/>
      <c r="P57" s="2457" t="e">
        <f ca="1">N57/M49</f>
        <v>#VALUE!</v>
      </c>
    </row>
    <row r="58" spans="1:35" ht="24.75">
      <c r="A58" s="2147" t="s">
        <v>1352</v>
      </c>
      <c r="B58" s="3280" t="s">
        <v>1369</v>
      </c>
      <c r="C58" s="3254"/>
      <c r="D58" s="12" t="e">
        <f ca="1">IF(H58="转让取得",C81,C97)</f>
        <v>#REF!</v>
      </c>
      <c r="E58" s="1252" t="s">
        <v>1364</v>
      </c>
      <c r="F58" s="294" t="s">
        <v>28</v>
      </c>
      <c r="G58" s="2333"/>
      <c r="H58" s="2336"/>
      <c r="I58" s="1666"/>
      <c r="J58" s="3319"/>
      <c r="K58" s="3319"/>
      <c r="L58" s="2309" t="s">
        <v>1370</v>
      </c>
      <c r="M58" s="2313"/>
      <c r="N58" s="2314" t="str">
        <f ca="1">NUMBERSTRING(INT(N57*10000),2)&amp;"元整"</f>
        <v>零元整</v>
      </c>
      <c r="O58" s="2315"/>
    </row>
    <row r="59" spans="1:35" ht="24.75" thickBot="1">
      <c r="A59" s="3322" t="s">
        <v>1371</v>
      </c>
      <c r="B59" s="3323"/>
      <c r="C59" s="3323"/>
      <c r="D59" s="2338" t="e">
        <f ca="1">IF(H59="非个人房产","——",IF(H59="个人住宅（满五唯一有凭证）",0,IF(H59="个人其他（无凭证）",ROUND(D45*F59,0),ROUND(C67*F59,0))))</f>
        <v>#REF!</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1365</v>
      </c>
      <c r="H59" s="2132"/>
      <c r="I59" s="2131" t="s">
        <v>2137</v>
      </c>
      <c r="J59" s="3320">
        <f>J57+1</f>
        <v>6</v>
      </c>
      <c r="K59" s="3319" t="s">
        <v>1372</v>
      </c>
      <c r="L59" s="2302" t="s">
        <v>1368</v>
      </c>
      <c r="M59" s="2316"/>
      <c r="N59" s="2317" t="e">
        <f ca="1">M49-N57</f>
        <v>#VALUE!</v>
      </c>
      <c r="O59" s="2318"/>
    </row>
    <row r="60" spans="1:35" ht="12" customHeight="1">
      <c r="A60" s="1667"/>
      <c r="B60" s="646"/>
      <c r="C60" s="646"/>
      <c r="D60" s="646"/>
      <c r="E60" s="1462"/>
      <c r="F60" s="1666"/>
      <c r="G60" s="1666"/>
      <c r="H60" s="151"/>
      <c r="I60" s="121"/>
      <c r="J60" s="3321"/>
      <c r="K60" s="3319"/>
      <c r="L60" s="2309" t="s">
        <v>1370</v>
      </c>
      <c r="M60" s="2313"/>
      <c r="N60" s="2314" t="e">
        <f ca="1">NUMBERSTRING(INT(N59*10000),2)&amp;"元整"</f>
        <v>#VALUE!</v>
      </c>
      <c r="O60" s="2315"/>
    </row>
    <row r="61" spans="1:35" ht="13.5" thickBot="1">
      <c r="A61" s="3267" t="s">
        <v>1373</v>
      </c>
      <c r="B61" s="3267"/>
      <c r="C61" s="3267"/>
      <c r="D61" s="3267"/>
      <c r="E61" s="3267"/>
      <c r="F61" s="1666"/>
      <c r="G61" s="1666"/>
      <c r="H61" s="151"/>
      <c r="I61" s="121"/>
      <c r="J61" s="2302">
        <f>J59+1</f>
        <v>7</v>
      </c>
      <c r="K61" s="3319" t="s">
        <v>1374</v>
      </c>
      <c r="L61" s="3319"/>
      <c r="M61" s="2319"/>
      <c r="N61" s="2320" t="e">
        <f ca="1">ROUND(N59*10000/'数据-汇总表'!E3,0)</f>
        <v>#VALUE!</v>
      </c>
      <c r="O61" s="2321"/>
    </row>
    <row r="62" spans="1:35" ht="12.75">
      <c r="A62" s="3285" t="s">
        <v>1375</v>
      </c>
      <c r="B62" s="3286"/>
      <c r="C62" s="1859"/>
      <c r="D62" s="1859" t="s">
        <v>1376</v>
      </c>
      <c r="E62" s="158" t="s">
        <v>1377</v>
      </c>
      <c r="F62" s="1666"/>
      <c r="G62" s="1666"/>
      <c r="H62" s="151"/>
      <c r="I62" s="121"/>
    </row>
    <row r="63" spans="1:35" ht="12.75">
      <c r="A63" s="165" t="s">
        <v>330</v>
      </c>
      <c r="B63" s="159" t="s">
        <v>1378</v>
      </c>
      <c r="C63" s="2342" t="e">
        <f ca="1">ROUND((C64+C65)/(1+'数据-取费表'!C42),0)</f>
        <v>#REF!</v>
      </c>
      <c r="D63" s="159"/>
      <c r="E63" s="160"/>
      <c r="F63" s="1666"/>
      <c r="G63" s="1666"/>
      <c r="H63" s="151"/>
      <c r="I63" s="121"/>
      <c r="J63" s="3344" t="s">
        <v>1379</v>
      </c>
      <c r="K63" s="1241" t="s">
        <v>1380</v>
      </c>
      <c r="L63" s="1241" t="e">
        <f>IF(M49&gt;10000,M49*0.5%,IF(AND(M49&gt;1000,M49&lt;=10000),M49*1%,IF(AND(M49&gt;100,M49&lt;=1000),M49*3%,IF(AND(M49&gt;10,M49&lt;=100),M49*5%,M49*8%))))</f>
        <v>#VALUE!</v>
      </c>
      <c r="M63" s="294" t="e">
        <f>ROUND(L63,1)</f>
        <v>#VALUE!</v>
      </c>
      <c r="N63" s="2322"/>
      <c r="Z63" s="1619"/>
      <c r="AI63" s="1557"/>
    </row>
    <row r="64" spans="1:35" ht="14.25" customHeight="1">
      <c r="A64" s="161" t="s">
        <v>325</v>
      </c>
      <c r="B64" s="162" t="s">
        <v>1381</v>
      </c>
      <c r="C64" s="2343" t="e">
        <f ca="1">D45</f>
        <v>#REF!</v>
      </c>
      <c r="D64" s="162" t="s">
        <v>26</v>
      </c>
      <c r="E64" s="164"/>
      <c r="F64" s="1666"/>
      <c r="G64" s="1666"/>
      <c r="H64" s="151"/>
      <c r="I64" s="121"/>
      <c r="J64" s="3344"/>
      <c r="K64" s="1241" t="s">
        <v>1382</v>
      </c>
      <c r="L64" s="1241"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3" t="s">
        <v>1383</v>
      </c>
      <c r="Z64" s="1619"/>
      <c r="AI64" s="1557"/>
    </row>
    <row r="65" spans="1:35" ht="14.25" customHeight="1">
      <c r="A65" s="161" t="s">
        <v>326</v>
      </c>
      <c r="B65" s="162" t="s">
        <v>1384</v>
      </c>
      <c r="C65" s="2344"/>
      <c r="D65" s="162"/>
      <c r="E65" s="164"/>
      <c r="F65" s="1666"/>
      <c r="G65" s="1666"/>
      <c r="H65" s="151"/>
      <c r="I65" s="121"/>
      <c r="J65" s="3344"/>
      <c r="K65" s="1241" t="s">
        <v>1385</v>
      </c>
      <c r="L65" s="1241" t="e">
        <f>IF(M49&gt;1000,M49*0.1%,IF(AND(M49&gt;500,M49&lt;=1000),M49*0.5%,IF(AND(M49&gt;50,M49&lt;=500),M49*1%,IF(AND(M49&gt;1,M49&lt;=50),M49*1.5%))))</f>
        <v>#VALUE!</v>
      </c>
      <c r="M65" s="294" t="e">
        <f t="shared" si="1"/>
        <v>#VALUE!</v>
      </c>
      <c r="N65" s="2323" t="s">
        <v>1383</v>
      </c>
      <c r="Z65" s="1619"/>
      <c r="AI65" s="1557"/>
    </row>
    <row r="66" spans="1:35" ht="14.25" customHeight="1">
      <c r="A66" s="165" t="s">
        <v>327</v>
      </c>
      <c r="B66" s="166" t="s">
        <v>1386</v>
      </c>
      <c r="C66" s="2345"/>
      <c r="D66" s="166" t="s">
        <v>26</v>
      </c>
      <c r="E66" s="1247" t="s">
        <v>671</v>
      </c>
      <c r="F66" s="1666"/>
      <c r="G66" s="1666"/>
      <c r="H66" s="151"/>
      <c r="I66" s="121"/>
      <c r="J66" s="3344"/>
      <c r="K66" s="1241" t="s">
        <v>1387</v>
      </c>
      <c r="L66" s="1241" t="e">
        <f>M49*0.5%</f>
        <v>#VALUE!</v>
      </c>
      <c r="M66" s="294" t="e">
        <f>IF(L66&gt;0.5,0.5,ROUND(L66,0))</f>
        <v>#VALUE!</v>
      </c>
      <c r="N66" s="2323" t="s">
        <v>1388</v>
      </c>
      <c r="Z66" s="1619"/>
      <c r="AI66" s="1557"/>
    </row>
    <row r="67" spans="1:35" ht="14.25" customHeight="1">
      <c r="A67" s="165" t="s">
        <v>328</v>
      </c>
      <c r="B67" s="166" t="s">
        <v>1389</v>
      </c>
      <c r="C67" s="2346" t="e">
        <f ca="1">C63-C66</f>
        <v>#REF!</v>
      </c>
      <c r="D67" s="162" t="s">
        <v>26</v>
      </c>
      <c r="E67" s="164"/>
      <c r="F67" s="1666"/>
      <c r="G67" s="1666"/>
      <c r="H67" s="151"/>
      <c r="I67" s="121"/>
      <c r="J67" s="3344"/>
      <c r="K67" s="1241" t="s">
        <v>1390</v>
      </c>
      <c r="L67" s="1241"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2"/>
      <c r="Z67" s="1619"/>
      <c r="AI67" s="1557"/>
    </row>
    <row r="68" spans="1:35" ht="14.25" customHeight="1" thickBot="1">
      <c r="A68" s="168" t="s">
        <v>329</v>
      </c>
      <c r="B68" s="169" t="s">
        <v>1391</v>
      </c>
      <c r="C68" s="2347" t="e">
        <f ca="1">IF(C67&lt;=0,0,ROUND(C67*D68,0))</f>
        <v>#REF!</v>
      </c>
      <c r="D68" s="2348">
        <f>'数据-取费表'!B41</f>
        <v>5.6000000000000001E-2</v>
      </c>
      <c r="E68" s="170"/>
      <c r="F68" s="1666"/>
      <c r="G68" s="1666"/>
      <c r="H68" s="151"/>
      <c r="I68" s="121"/>
      <c r="J68" s="3344"/>
      <c r="K68" s="1241" t="s">
        <v>1392</v>
      </c>
      <c r="L68" s="1241" t="e">
        <f>IF(M49&gt;10000,M49*0.5%,IF(AND(M49&gt;5000,M49&lt;=10000),M49*1%,IF(AND(M49&gt;1000,M49&lt;=5000),M49*2%,IF(AND(M49&gt;200,M49&lt;=1000),M49*3%,M49*5%))))</f>
        <v>#VALUE!</v>
      </c>
      <c r="M68" s="294" t="e">
        <f>ROUND(L68,1)</f>
        <v>#VALUE!</v>
      </c>
      <c r="N68" s="2322"/>
      <c r="Z68" s="1619"/>
      <c r="AI68" s="1557"/>
    </row>
    <row r="69" spans="1:35" ht="16.5" customHeight="1">
      <c r="A69" s="1668"/>
      <c r="B69" s="1669"/>
      <c r="C69" s="1670"/>
      <c r="D69" s="1671"/>
      <c r="E69" s="1672"/>
      <c r="F69" s="1462"/>
      <c r="G69" s="1462"/>
      <c r="H69" s="1463"/>
      <c r="I69" s="646"/>
      <c r="J69" s="3344"/>
      <c r="K69" s="1241" t="s">
        <v>1393</v>
      </c>
      <c r="L69" s="1241"/>
      <c r="M69" s="294" t="e">
        <f>ROUND(SUM(M63:M68),0)</f>
        <v>#VALUE!</v>
      </c>
      <c r="N69" s="2324" t="e">
        <f>M69/M49</f>
        <v>#VALUE!</v>
      </c>
      <c r="Z69" s="1619"/>
      <c r="AI69" s="1557"/>
    </row>
    <row r="70" spans="1:35" s="642" customFormat="1" ht="15" thickBot="1">
      <c r="A70" s="3306" t="s">
        <v>1394</v>
      </c>
      <c r="B70" s="3307"/>
      <c r="C70" s="3307"/>
      <c r="D70" s="3307"/>
      <c r="E70" s="3307"/>
      <c r="F70" s="3307"/>
      <c r="G70" s="3307"/>
      <c r="H70" s="3307"/>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2" customFormat="1" ht="14.25">
      <c r="A71" s="3285" t="s">
        <v>1375</v>
      </c>
      <c r="B71" s="3286"/>
      <c r="C71" s="1859"/>
      <c r="D71" s="1859" t="s">
        <v>1376</v>
      </c>
      <c r="E71" s="171" t="s">
        <v>1377</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2" customFormat="1" ht="14.25">
      <c r="A72" s="165" t="s">
        <v>330</v>
      </c>
      <c r="B72" s="166" t="s">
        <v>1395</v>
      </c>
      <c r="C72" s="2346" t="e">
        <f ca="1">ROUND(D45/(1+'数据-取费表'!C42),0)</f>
        <v>#REF!</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2" customFormat="1" ht="14.25">
      <c r="A73" s="165" t="s">
        <v>327</v>
      </c>
      <c r="B73" s="155" t="s">
        <v>1396</v>
      </c>
      <c r="C73" s="2346" t="e">
        <f ca="1">C74+C78</f>
        <v>#REF!</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2" customFormat="1" ht="24">
      <c r="A74" s="161" t="s">
        <v>325</v>
      </c>
      <c r="B74" s="162" t="s">
        <v>1397</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2" customFormat="1" ht="14.25">
      <c r="A75" s="161" t="s">
        <v>331</v>
      </c>
      <c r="B75" s="162" t="s">
        <v>1398</v>
      </c>
      <c r="C75" s="2349"/>
      <c r="D75" s="162" t="s">
        <v>26</v>
      </c>
      <c r="E75" s="176" t="s">
        <v>1399</v>
      </c>
      <c r="F75" s="2350"/>
      <c r="G75" s="176" t="s">
        <v>1400</v>
      </c>
      <c r="H75" s="2351"/>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2" customFormat="1" ht="24.75" customHeight="1">
      <c r="A76" s="161" t="s">
        <v>332</v>
      </c>
      <c r="B76" s="177" t="s">
        <v>1401</v>
      </c>
      <c r="C76" s="162">
        <f>IF(F75="购房发票",ROUND(C75*H75*D76,0),0)</f>
        <v>0</v>
      </c>
      <c r="D76" s="2352">
        <v>0.05</v>
      </c>
      <c r="E76" s="3280" t="s">
        <v>1402</v>
      </c>
      <c r="F76" s="3254"/>
      <c r="G76" s="3254"/>
      <c r="H76" s="3305"/>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2" customFormat="1" ht="24.75" customHeight="1">
      <c r="A77" s="161" t="s">
        <v>333</v>
      </c>
      <c r="B77" s="162" t="s">
        <v>1403</v>
      </c>
      <c r="C77" s="162">
        <f>ROUND(IF(G77="个人住宅",0,IF(G77="2016年5月1日前购买",C75*D77,C75*D77/(1+'数据-取费表'!C42))),0)</f>
        <v>0</v>
      </c>
      <c r="D77" s="2353">
        <f>'数据-取费表'!B48+'数据-取费表'!B49</f>
        <v>3.0499999999999999E-2</v>
      </c>
      <c r="E77" s="12" t="s">
        <v>1404</v>
      </c>
      <c r="F77" s="178"/>
      <c r="G77" s="1678"/>
      <c r="H77" s="2145"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2" customFormat="1" ht="24.75" customHeight="1">
      <c r="A78" s="161" t="s">
        <v>326</v>
      </c>
      <c r="B78" s="162" t="s">
        <v>1405</v>
      </c>
      <c r="C78" s="2354" t="e">
        <f ca="1">ROUND(D45*D78/(1+'数据-取费表'!C42),0)</f>
        <v>#REF!</v>
      </c>
      <c r="D78" s="2355">
        <f>'数据-取费表'!B43</f>
        <v>6.000000000000001E-3</v>
      </c>
      <c r="E78" s="3264" t="s">
        <v>1406</v>
      </c>
      <c r="F78" s="3265"/>
      <c r="G78" s="3265"/>
      <c r="H78" s="3274"/>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2" customFormat="1" ht="14.25">
      <c r="A79" s="165" t="s">
        <v>334</v>
      </c>
      <c r="B79" s="166" t="s">
        <v>1407</v>
      </c>
      <c r="C79" s="2346" t="e">
        <f ca="1">C72-C73</f>
        <v>#REF!</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2" customFormat="1" ht="24">
      <c r="A80" s="165" t="s">
        <v>335</v>
      </c>
      <c r="B80" s="166" t="s">
        <v>1408</v>
      </c>
      <c r="C80" s="2356"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2" customFormat="1" ht="24.75" thickBot="1">
      <c r="A81" s="168" t="s">
        <v>336</v>
      </c>
      <c r="B81" s="169" t="s">
        <v>1409</v>
      </c>
      <c r="C81" s="2357" t="e">
        <f ca="1">ROUND(IF(C79&lt;=0,0,IF(C80&gt;=200%,C79*60%-C73*35%,IF(C80&gt;=100%,C79*50%-C73*15%,IF(C80&gt;=50%,C79*40%-C73*5%,IF(C80&lt;50%,C79*30%,0))))),0)</f>
        <v>#REF!</v>
      </c>
      <c r="D81" s="2358"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2" customFormat="1" ht="7.5" customHeight="1">
      <c r="A82" s="4"/>
      <c r="B82" s="647"/>
      <c r="C82" s="4"/>
      <c r="D82" s="4"/>
      <c r="E82" s="647"/>
      <c r="F82" s="647"/>
      <c r="G82" s="647"/>
      <c r="H82" s="648"/>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2" customFormat="1" ht="15" thickBot="1">
      <c r="A83" s="3306" t="s">
        <v>1410</v>
      </c>
      <c r="B83" s="3307"/>
      <c r="C83" s="3307"/>
      <c r="D83" s="3307"/>
      <c r="E83" s="3307"/>
      <c r="F83" s="3307"/>
      <c r="G83" s="3307"/>
      <c r="H83" s="3307"/>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2" customFormat="1" ht="14.25">
      <c r="A84" s="3285" t="s">
        <v>1375</v>
      </c>
      <c r="B84" s="3286"/>
      <c r="C84" s="1859"/>
      <c r="D84" s="1859" t="s">
        <v>1376</v>
      </c>
      <c r="E84" s="171" t="s">
        <v>1377</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2" customFormat="1" ht="14.25">
      <c r="A85" s="165" t="s">
        <v>330</v>
      </c>
      <c r="B85" s="166" t="s">
        <v>1395</v>
      </c>
      <c r="C85" s="2346" t="e">
        <f ca="1">ROUND(D45/(1+'数据-取费表'!C42),0)</f>
        <v>#REF!</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2" customFormat="1" ht="14.25">
      <c r="A86" s="165" t="s">
        <v>327</v>
      </c>
      <c r="B86" s="155" t="s">
        <v>1396</v>
      </c>
      <c r="C86" s="2346" t="e">
        <f ca="1">IF(H88="仅含出让金",C87+C90+C91+C92+C93+C94,C87+C91+C92+C93+C94)</f>
        <v>#REF!</v>
      </c>
      <c r="D86" s="2359"/>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2" customFormat="1" ht="14.25">
      <c r="A87" s="161" t="s">
        <v>325</v>
      </c>
      <c r="B87" s="162" t="s">
        <v>1411</v>
      </c>
      <c r="C87" s="2354">
        <f>C88+C89</f>
        <v>0</v>
      </c>
      <c r="D87" s="2355"/>
      <c r="E87" s="2141"/>
      <c r="F87" s="2142"/>
      <c r="G87" s="2142"/>
      <c r="H87" s="2143"/>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2" customFormat="1" ht="14.25">
      <c r="A88" s="161" t="s">
        <v>331</v>
      </c>
      <c r="B88" s="162" t="s">
        <v>1412</v>
      </c>
      <c r="C88" s="2360"/>
      <c r="D88" s="2355"/>
      <c r="E88" s="185" t="s">
        <v>1413</v>
      </c>
      <c r="F88" s="2142"/>
      <c r="G88" s="186" t="s">
        <v>1414</v>
      </c>
      <c r="H88" s="1680"/>
      <c r="I88" s="1677"/>
      <c r="J88" s="2300" t="s">
        <v>2284</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2" customFormat="1" ht="14.25">
      <c r="A89" s="161" t="s">
        <v>332</v>
      </c>
      <c r="B89" s="162" t="s">
        <v>1403</v>
      </c>
      <c r="C89" s="2354">
        <f>ROUND(C88*D89,0)</f>
        <v>0</v>
      </c>
      <c r="D89" s="2355">
        <f>'数据-取费表'!B48+'数据-取费表'!B49</f>
        <v>3.0499999999999999E-2</v>
      </c>
      <c r="E89" s="185" t="s">
        <v>1415</v>
      </c>
      <c r="F89" s="2142"/>
      <c r="G89" s="2142"/>
      <c r="H89" s="2143"/>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2" customFormat="1" ht="14.25">
      <c r="A90" s="161" t="s">
        <v>326</v>
      </c>
      <c r="B90" s="162" t="s">
        <v>1416</v>
      </c>
      <c r="C90" s="2360"/>
      <c r="D90" s="2355"/>
      <c r="E90" s="185" t="str">
        <f>IF(H88="-","土地取得成本中已包含该笔费用"," ")</f>
        <v xml:space="preserve"> </v>
      </c>
      <c r="F90" s="2142"/>
      <c r="G90" s="3346" t="s">
        <v>2129</v>
      </c>
      <c r="H90" s="3347"/>
      <c r="I90" s="1677"/>
      <c r="J90" s="2300" t="s">
        <v>2285</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2" customFormat="1" ht="27.75" customHeight="1">
      <c r="A91" s="161" t="s">
        <v>1417</v>
      </c>
      <c r="B91" s="162" t="s">
        <v>1418</v>
      </c>
      <c r="C91" s="2354">
        <f>IF(H91="——",成本法仓储!C33,I91)</f>
        <v>0</v>
      </c>
      <c r="D91" s="2355"/>
      <c r="E91" s="3264" t="s">
        <v>1419</v>
      </c>
      <c r="F91" s="3265"/>
      <c r="G91" s="3265"/>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2" customFormat="1" ht="25.5" customHeight="1">
      <c r="A92" s="161" t="s">
        <v>1420</v>
      </c>
      <c r="B92" s="162" t="s">
        <v>1421</v>
      </c>
      <c r="C92" s="2354">
        <f>ROUND((C87+C90+C91)*D92,0)</f>
        <v>0</v>
      </c>
      <c r="D92" s="2361"/>
      <c r="E92" s="3264" t="s">
        <v>1422</v>
      </c>
      <c r="F92" s="3265"/>
      <c r="G92" s="3265"/>
      <c r="H92" s="3274"/>
      <c r="I92" s="1677"/>
      <c r="J92" s="2301" t="s">
        <v>2286</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2" customFormat="1" ht="25.5" customHeight="1">
      <c r="A93" s="161" t="s">
        <v>1423</v>
      </c>
      <c r="B93" s="162" t="s">
        <v>1405</v>
      </c>
      <c r="C93" s="2354" t="e">
        <f ca="1">ROUND(D45*D93/(1+'数据-取费表'!C42),0)</f>
        <v>#REF!</v>
      </c>
      <c r="D93" s="2355">
        <f>'数据-取费表'!B43</f>
        <v>6.000000000000001E-3</v>
      </c>
      <c r="E93" s="3264" t="s">
        <v>1406</v>
      </c>
      <c r="F93" s="3265"/>
      <c r="G93" s="3265"/>
      <c r="H93" s="3274"/>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2" customFormat="1" ht="36.75" customHeight="1">
      <c r="A94" s="161" t="s">
        <v>1424</v>
      </c>
      <c r="B94" s="162" t="s">
        <v>1425</v>
      </c>
      <c r="C94" s="2360">
        <f>ROUND((C87+C90+C91)*D94,0)</f>
        <v>0</v>
      </c>
      <c r="D94" s="2355">
        <v>0.2</v>
      </c>
      <c r="E94" s="3275" t="s">
        <v>1426</v>
      </c>
      <c r="F94" s="3276"/>
      <c r="G94" s="3276"/>
      <c r="H94" s="3277"/>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2" customFormat="1" ht="14.25">
      <c r="A95" s="165" t="s">
        <v>334</v>
      </c>
      <c r="B95" s="166" t="s">
        <v>1407</v>
      </c>
      <c r="C95" s="2346" t="e">
        <f ca="1">ROUND(C85-C86,0)</f>
        <v>#REF!</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2" customFormat="1" ht="24">
      <c r="A96" s="165" t="s">
        <v>335</v>
      </c>
      <c r="B96" s="166" t="s">
        <v>1408</v>
      </c>
      <c r="C96" s="2356"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2" customFormat="1" ht="24.75" thickBot="1">
      <c r="A97" s="168" t="s">
        <v>336</v>
      </c>
      <c r="B97" s="169" t="s">
        <v>1409</v>
      </c>
      <c r="C97" s="2357" t="e">
        <f ca="1">ROUND(IF(C95&lt;=0,0,IF(C96&gt;=200%,C95*60%-C86*35%,IF(C96&gt;=100%,C95*50%-C86*15%,IF(C96&gt;=50%,C95*40%-C86*5%,IF(C96&lt;50%,C95*30%,0))))),0)</f>
        <v>#REF!</v>
      </c>
      <c r="D97" s="2358"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6"/>
      <c r="C98" s="646"/>
      <c r="D98" s="646"/>
      <c r="E98" s="1462"/>
      <c r="F98" s="1462"/>
      <c r="G98" s="1462"/>
      <c r="H98" s="1463"/>
      <c r="I98" s="121"/>
    </row>
    <row r="99" spans="1:35" ht="21.75" customHeight="1" thickBot="1">
      <c r="A99" s="1460" t="s">
        <v>1427</v>
      </c>
      <c r="B99" s="646"/>
      <c r="C99" s="646"/>
      <c r="D99" s="646"/>
      <c r="E99" s="1462"/>
      <c r="F99" s="1462"/>
      <c r="G99" s="1462"/>
      <c r="H99" s="1463"/>
      <c r="I99" s="121"/>
    </row>
    <row r="100" spans="1:35" ht="18.75" customHeight="1">
      <c r="A100" s="3248" t="s">
        <v>1428</v>
      </c>
      <c r="B100" s="3249"/>
      <c r="C100" s="3249"/>
      <c r="D100" s="3266"/>
      <c r="E100" s="3249" t="s">
        <v>1429</v>
      </c>
      <c r="F100" s="3249"/>
      <c r="G100" s="3249"/>
      <c r="H100" s="3266"/>
      <c r="I100" s="121"/>
    </row>
    <row r="101" spans="1:35" ht="18.75" customHeight="1">
      <c r="A101" s="3327" t="s">
        <v>1430</v>
      </c>
      <c r="B101" s="3328"/>
      <c r="C101" s="2363" t="str">
        <f>C4</f>
        <v>收益法 (元)</v>
      </c>
      <c r="D101" s="2364" t="str">
        <f>D4</f>
        <v>比较法-住宅</v>
      </c>
      <c r="E101" s="3341" t="s">
        <v>1431</v>
      </c>
      <c r="F101" s="3298"/>
      <c r="G101" s="1683" t="s">
        <v>1432</v>
      </c>
      <c r="H101" s="2373" t="e">
        <f ca="1">H118</f>
        <v>#REF!</v>
      </c>
      <c r="I101" s="121"/>
    </row>
    <row r="102" spans="1:35" ht="18.75" customHeight="1">
      <c r="A102" s="3300" t="s">
        <v>1433</v>
      </c>
      <c r="B102" s="2362" t="s">
        <v>1432</v>
      </c>
      <c r="C102" s="2363">
        <f ca="1">IF(D32="楼面单价",ROUND(C19,0),C19)</f>
        <v>70.682299999999998</v>
      </c>
      <c r="D102" s="2364">
        <f ca="1">IF(D32="楼面单价",ROUND(D19,0),D19)</f>
        <v>112.4085</v>
      </c>
      <c r="E102" s="3341"/>
      <c r="F102" s="3298"/>
      <c r="G102" s="1683" t="s">
        <v>1434</v>
      </c>
      <c r="H102" s="2333" t="e">
        <f ca="1">I118</f>
        <v>#REF!</v>
      </c>
      <c r="I102" s="121"/>
    </row>
    <row r="103" spans="1:35" ht="42.75" customHeight="1">
      <c r="A103" s="3300"/>
      <c r="B103" s="2362" t="s">
        <v>1434</v>
      </c>
      <c r="C103" s="2365">
        <f ca="1">C20</f>
        <v>4566</v>
      </c>
      <c r="D103" s="2366">
        <f ca="1">D20</f>
        <v>7262</v>
      </c>
      <c r="E103" s="3335" t="s">
        <v>1435</v>
      </c>
      <c r="F103" s="3336"/>
      <c r="G103" s="1684" t="s">
        <v>1436</v>
      </c>
      <c r="H103" s="2373">
        <f>IF(D36="正常操作",H104+H105+H106,H105+H106)</f>
        <v>0</v>
      </c>
      <c r="I103" s="121"/>
    </row>
    <row r="104" spans="1:35" ht="18.75" customHeight="1">
      <c r="A104" s="3300" t="s">
        <v>1437</v>
      </c>
      <c r="B104" s="2367" t="s">
        <v>1432</v>
      </c>
      <c r="C104" s="2368" t="e">
        <f ca="1">H118</f>
        <v>#REF!</v>
      </c>
      <c r="D104" s="2369"/>
      <c r="E104" s="1551" t="s">
        <v>1438</v>
      </c>
      <c r="F104" s="1544"/>
      <c r="G104" s="1684" t="s">
        <v>1436</v>
      </c>
      <c r="H104" s="2374">
        <f>IF(D36="同一抵押权人同一抵押物续贷",C36&amp;"（续贷，未扣减，详见特别提示）",C36)</f>
        <v>0</v>
      </c>
      <c r="I104" s="121"/>
    </row>
    <row r="105" spans="1:35" ht="18.75" customHeight="1" thickBot="1">
      <c r="A105" s="3301"/>
      <c r="B105" s="2370" t="s">
        <v>1434</v>
      </c>
      <c r="C105" s="2371" t="e">
        <f ca="1">I118</f>
        <v>#REF!</v>
      </c>
      <c r="D105" s="2372"/>
      <c r="E105" s="1551" t="s">
        <v>1439</v>
      </c>
      <c r="F105" s="1544"/>
      <c r="G105" s="1684" t="s">
        <v>1436</v>
      </c>
      <c r="H105" s="2375">
        <f>C37</f>
        <v>0</v>
      </c>
      <c r="I105" s="121"/>
    </row>
    <row r="106" spans="1:35" ht="18.75" customHeight="1">
      <c r="A106" s="646" t="s">
        <v>1440</v>
      </c>
      <c r="B106" s="646"/>
      <c r="C106" s="646"/>
      <c r="D106" s="646"/>
      <c r="E106" s="1685" t="s">
        <v>1441</v>
      </c>
      <c r="F106" s="1544"/>
      <c r="G106" s="1684" t="s">
        <v>1436</v>
      </c>
      <c r="H106" s="2375">
        <f>C38</f>
        <v>0</v>
      </c>
      <c r="I106" s="121"/>
    </row>
    <row r="107" spans="1:35" ht="18.75" customHeight="1">
      <c r="A107" s="121"/>
      <c r="B107" s="121"/>
      <c r="C107" s="121"/>
      <c r="D107" s="121"/>
      <c r="E107" s="3297" t="str">
        <f>IF(项目基本情况!E8="已注销","——","3.房地产抵押价值")</f>
        <v>3.房地产抵押价值</v>
      </c>
      <c r="F107" s="3298"/>
      <c r="G107" s="1683" t="s">
        <v>1432</v>
      </c>
      <c r="H107" s="2373" t="e">
        <f ca="1">IF(E107="——","——",H101-H103)</f>
        <v>#REF!</v>
      </c>
      <c r="I107" s="121"/>
    </row>
    <row r="108" spans="1:35" ht="18.75" customHeight="1">
      <c r="A108" s="121"/>
      <c r="B108" s="121"/>
      <c r="C108" s="121"/>
      <c r="D108" s="121"/>
      <c r="E108" s="3297"/>
      <c r="F108" s="3298"/>
      <c r="G108" s="1683" t="s">
        <v>1434</v>
      </c>
      <c r="H108" s="2333">
        <f ca="1">IF(H107=H101,H102,ROUND(H107*10000/'数据-汇总表'!E3,0))</f>
        <v>0</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98"/>
      <c r="G109" s="1683" t="s">
        <v>1432</v>
      </c>
      <c r="H109" s="2376" t="str">
        <f>IF(E109="——","——",H101-H105-H106)</f>
        <v>——</v>
      </c>
      <c r="I109" s="121"/>
    </row>
    <row r="110" spans="1:35" ht="18.75" customHeight="1">
      <c r="A110" s="121"/>
      <c r="B110" s="121"/>
      <c r="C110" s="121"/>
      <c r="D110" s="121"/>
      <c r="E110" s="3297"/>
      <c r="F110" s="3298"/>
      <c r="G110" s="1683" t="s">
        <v>1434</v>
      </c>
      <c r="H110" s="2333"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v>
      </c>
      <c r="F111" s="3299"/>
      <c r="G111" s="1683" t="s">
        <v>1432</v>
      </c>
      <c r="H111" s="2373" t="str">
        <f>IF(E111="——","——",N59)</f>
        <v>——</v>
      </c>
      <c r="I111" s="121"/>
    </row>
    <row r="112" spans="1:35" ht="18.75" customHeight="1" thickBot="1">
      <c r="A112" s="121"/>
      <c r="B112" s="121"/>
      <c r="C112" s="121"/>
      <c r="D112" s="121"/>
      <c r="E112" s="3330"/>
      <c r="F112" s="3331"/>
      <c r="G112" s="1686" t="s">
        <v>1434</v>
      </c>
      <c r="H112" s="2377"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67"/>
      <c r="F114" s="1667"/>
      <c r="G114" s="1667"/>
      <c r="H114" s="1667"/>
      <c r="I114" s="646"/>
    </row>
    <row r="115" spans="1:27" ht="18.75" customHeight="1">
      <c r="A115" s="3312" t="s">
        <v>1442</v>
      </c>
      <c r="B115" s="3313"/>
      <c r="C115" s="3313"/>
      <c r="D115" s="3313"/>
      <c r="E115" s="3313"/>
      <c r="F115" s="3313"/>
      <c r="G115" s="3313"/>
      <c r="H115" s="3313"/>
      <c r="I115" s="3314"/>
    </row>
    <row r="116" spans="1:27" ht="27" customHeight="1">
      <c r="A116" s="3268" t="s">
        <v>1443</v>
      </c>
      <c r="B116" s="3303" t="s">
        <v>1444</v>
      </c>
      <c r="C116" s="3303" t="s">
        <v>1445</v>
      </c>
      <c r="D116" s="3316" t="s">
        <v>1446</v>
      </c>
      <c r="E116" s="3317"/>
      <c r="F116" s="3311" t="s">
        <v>1447</v>
      </c>
      <c r="G116" s="3311"/>
      <c r="H116" s="3268" t="s">
        <v>1448</v>
      </c>
      <c r="I116" s="3268"/>
    </row>
    <row r="117" spans="1:27" ht="18.75" customHeight="1">
      <c r="A117" s="3268"/>
      <c r="B117" s="3304"/>
      <c r="C117" s="3304"/>
      <c r="D117" s="2144" t="s">
        <v>1449</v>
      </c>
      <c r="E117" s="2144" t="s">
        <v>1450</v>
      </c>
      <c r="F117" s="2144" t="s">
        <v>1449</v>
      </c>
      <c r="G117" s="2144" t="s">
        <v>1451</v>
      </c>
      <c r="H117" s="2144" t="s">
        <v>1449</v>
      </c>
      <c r="I117" s="2144" t="s">
        <v>1451</v>
      </c>
    </row>
    <row r="118" spans="1:27" ht="24.75" customHeight="1">
      <c r="A118" s="2378" t="str">
        <f>项目基本情况!S2</f>
        <v>房地产</v>
      </c>
      <c r="B118" s="2144">
        <f>M18</f>
        <v>154.79</v>
      </c>
      <c r="C118" s="2144">
        <f>M19</f>
        <v>0</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268" t="s">
        <v>1452</v>
      </c>
      <c r="B119" s="3268"/>
      <c r="C119" s="3268"/>
      <c r="D119" s="3308" t="e">
        <f ca="1">NUMBERSTRING(INT(D118*10000),2)&amp;"元整"</f>
        <v>#REF!</v>
      </c>
      <c r="E119" s="3310"/>
      <c r="F119" s="3308" t="e">
        <f ca="1">NUMBERSTRING(INT(F118*10000),2)&amp;"元整"</f>
        <v>#REF!</v>
      </c>
      <c r="G119" s="3310"/>
      <c r="H119" s="3308" t="e">
        <f ca="1">NUMBERSTRING(INT(H118*10000),2)&amp;"元整"</f>
        <v>#REF!</v>
      </c>
      <c r="I119" s="3310"/>
    </row>
    <row r="120" spans="1:27" ht="18.75" customHeight="1">
      <c r="A120" s="3332" t="str">
        <f>IF(项目基本情况!B9="房地产市场价值","",MID(E103,3,LEN(E103)-2))</f>
        <v/>
      </c>
      <c r="B120" s="3333"/>
      <c r="C120" s="3334"/>
      <c r="D120" s="3332">
        <f>H103</f>
        <v>0</v>
      </c>
      <c r="E120" s="3333"/>
      <c r="F120" s="3333"/>
      <c r="G120" s="3333"/>
      <c r="H120" s="3333"/>
      <c r="I120" s="3334"/>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308" t="s">
        <v>1452</v>
      </c>
      <c r="B121" s="3309"/>
      <c r="C121" s="3310"/>
      <c r="D121" s="3308" t="str">
        <f>IF(D120=0,"零元整",NUMBERSTRING(INT(D120*10000),2)&amp;"元整")</f>
        <v>零元整</v>
      </c>
      <c r="E121" s="3309"/>
      <c r="F121" s="3309"/>
      <c r="G121" s="3309"/>
      <c r="H121" s="3309"/>
      <c r="I121" s="3310"/>
      <c r="AA121" s="684"/>
    </row>
    <row r="122" spans="1:27" ht="18.75" customHeight="1">
      <c r="A122" s="3299" t="str">
        <f>IF(项目基本情况!B9="房地产市场价值","",MID(E107,3,LEN(E107)-2))</f>
        <v/>
      </c>
      <c r="B122" s="3299"/>
      <c r="C122" s="3299"/>
      <c r="D122" s="3332" t="e">
        <f ca="1">H107</f>
        <v>#REF!</v>
      </c>
      <c r="E122" s="3333"/>
      <c r="F122" s="3333"/>
      <c r="G122" s="3333"/>
      <c r="H122" s="3333"/>
      <c r="I122" s="3334"/>
      <c r="AA122" s="684"/>
    </row>
    <row r="123" spans="1:27" ht="18.75" customHeight="1">
      <c r="A123" s="3268" t="s">
        <v>1452</v>
      </c>
      <c r="B123" s="3268"/>
      <c r="C123" s="3268"/>
      <c r="D123" s="3308" t="e">
        <f ca="1">NUMBERSTRING(INT(D122*10000),2)&amp;"元整"</f>
        <v>#REF!</v>
      </c>
      <c r="E123" s="3309"/>
      <c r="F123" s="3309"/>
      <c r="G123" s="3309"/>
      <c r="H123" s="3309"/>
      <c r="I123" s="3310"/>
      <c r="AA123" s="684"/>
    </row>
    <row r="124" spans="1:27" ht="18.75" customHeight="1">
      <c r="A124" s="3299" t="str">
        <f>IF(项目基本情况!B9="房地产市场价值","",MID(E109,3,LEN(E109)-2))</f>
        <v/>
      </c>
      <c r="B124" s="3299"/>
      <c r="C124" s="3299"/>
      <c r="D124" s="3332" t="str">
        <f>H109</f>
        <v>——</v>
      </c>
      <c r="E124" s="3333"/>
      <c r="F124" s="3333"/>
      <c r="G124" s="3333"/>
      <c r="H124" s="3333"/>
      <c r="I124" s="3334"/>
      <c r="AA124" s="684"/>
    </row>
    <row r="125" spans="1:27" ht="18.75" customHeight="1">
      <c r="A125" s="3268" t="s">
        <v>1452</v>
      </c>
      <c r="B125" s="3268"/>
      <c r="C125" s="3268"/>
      <c r="D125" s="3308" t="e">
        <f>NUMBERSTRING(INT(D124*10000),2)&amp;"元整"</f>
        <v>#VALUE!</v>
      </c>
      <c r="E125" s="3309"/>
      <c r="F125" s="3309"/>
      <c r="G125" s="3309"/>
      <c r="H125" s="3309"/>
      <c r="I125" s="3310"/>
      <c r="AA125" s="684"/>
    </row>
    <row r="126" spans="1:27" ht="18.75" customHeight="1">
      <c r="A126" s="3299" t="str">
        <f>IF(项目基本情况!B9="房地产市场价值","",MID(E111,3,LEN(E111)-2))</f>
        <v/>
      </c>
      <c r="B126" s="3299"/>
      <c r="C126" s="3299"/>
      <c r="D126" s="3332" t="str">
        <f>H111</f>
        <v>——</v>
      </c>
      <c r="E126" s="3333"/>
      <c r="F126" s="3333"/>
      <c r="G126" s="3333"/>
      <c r="H126" s="3333"/>
      <c r="I126" s="3334"/>
      <c r="AA126" s="684"/>
    </row>
    <row r="127" spans="1:27" ht="18.75" customHeight="1">
      <c r="A127" s="3268" t="s">
        <v>1452</v>
      </c>
      <c r="B127" s="3268"/>
      <c r="C127" s="3268"/>
      <c r="D127" s="3308" t="e">
        <f>NUMBERSTRING(INT(D126*10000),2)&amp;"元整"</f>
        <v>#VALUE!</v>
      </c>
      <c r="E127" s="3309"/>
      <c r="F127" s="3309"/>
      <c r="G127" s="3309"/>
      <c r="H127" s="3309"/>
      <c r="I127" s="3310"/>
      <c r="AA127" s="684"/>
    </row>
    <row r="128" spans="1:27" ht="21.75" customHeight="1">
      <c r="A128" s="3315" t="s">
        <v>1453</v>
      </c>
      <c r="B128" s="3315"/>
      <c r="C128" s="3315"/>
      <c r="D128" s="3315"/>
      <c r="E128" s="3315"/>
      <c r="F128" s="3315"/>
      <c r="G128" s="3315"/>
      <c r="H128" s="3315"/>
      <c r="I128" s="3315"/>
      <c r="AA128" s="684"/>
    </row>
    <row r="129" spans="1:35" ht="21.75" customHeight="1">
      <c r="A129" s="1687" t="s">
        <v>1454</v>
      </c>
      <c r="B129" s="1688"/>
      <c r="C129" s="1689" t="s">
        <v>1455</v>
      </c>
      <c r="D129" s="1690"/>
      <c r="E129" s="1690"/>
      <c r="F129" s="1690"/>
      <c r="G129" s="1690"/>
      <c r="H129" s="1691"/>
      <c r="I129" s="1692"/>
      <c r="AA129" s="684"/>
    </row>
    <row r="130" spans="1:35" ht="21.75" customHeight="1">
      <c r="A130" s="1693">
        <v>1</v>
      </c>
      <c r="B130" s="1694"/>
      <c r="C130" s="1694"/>
      <c r="D130" s="688"/>
      <c r="E130" s="688"/>
      <c r="F130" s="688"/>
      <c r="G130" s="688"/>
      <c r="H130" s="687"/>
      <c r="I130" s="1695"/>
      <c r="AA130" s="684"/>
    </row>
    <row r="131" spans="1:35" ht="21.75" customHeight="1">
      <c r="A131" s="1693">
        <v>2</v>
      </c>
      <c r="B131" s="1694"/>
      <c r="C131" s="1694"/>
      <c r="D131" s="688"/>
      <c r="E131" s="688"/>
      <c r="F131" s="688"/>
      <c r="G131" s="688"/>
      <c r="H131" s="687"/>
      <c r="I131" s="1695"/>
      <c r="AA131" s="684"/>
    </row>
    <row r="132" spans="1:35" ht="21.75" customHeight="1">
      <c r="A132" s="1693">
        <v>3</v>
      </c>
      <c r="B132" s="1694"/>
      <c r="C132" s="1694"/>
      <c r="D132" s="688"/>
      <c r="E132" s="688"/>
      <c r="F132" s="688"/>
      <c r="G132" s="688"/>
      <c r="H132" s="687"/>
      <c r="I132" s="1695"/>
      <c r="AA132" s="684"/>
    </row>
    <row r="133" spans="1:35" ht="21.75" customHeight="1">
      <c r="A133" s="1696"/>
      <c r="B133" s="1697"/>
      <c r="C133" s="1697"/>
      <c r="D133" s="1698"/>
      <c r="E133" s="1698"/>
      <c r="F133" s="1698"/>
      <c r="G133" s="1698"/>
      <c r="H133" s="1699"/>
      <c r="I133" s="1700"/>
    </row>
    <row r="134" spans="1:35" ht="21.75" customHeight="1">
      <c r="A134" s="1694"/>
      <c r="B134" s="1694"/>
      <c r="C134" s="1694"/>
      <c r="D134" s="688"/>
      <c r="E134" s="688"/>
      <c r="F134" s="688"/>
      <c r="G134" s="688"/>
      <c r="H134" s="687"/>
      <c r="I134" s="684"/>
    </row>
    <row r="135" spans="1:35" ht="21.75" customHeight="1">
      <c r="A135" s="684"/>
      <c r="B135" s="684"/>
      <c r="C135" s="684"/>
      <c r="D135" s="684"/>
      <c r="E135" s="684"/>
      <c r="F135" s="1701" t="s">
        <v>1456</v>
      </c>
      <c r="G135" s="1702"/>
      <c r="H135" s="1702"/>
      <c r="I135" s="1703" t="s">
        <v>1457</v>
      </c>
    </row>
    <row r="136" spans="1:35" ht="21.75" customHeight="1">
      <c r="A136" s="684"/>
      <c r="B136" s="1704"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2"/>
      <c r="C138" s="1702"/>
      <c r="D138" s="1702"/>
      <c r="E138" s="1702"/>
      <c r="F138" s="1702"/>
      <c r="G138" s="1702"/>
      <c r="H138" s="1702"/>
      <c r="I138" s="1703" t="s">
        <v>1459</v>
      </c>
    </row>
    <row r="139" spans="1:35" ht="21.75" customHeight="1">
      <c r="A139" s="684"/>
      <c r="B139" s="1704" t="s">
        <v>1460</v>
      </c>
      <c r="C139" s="684"/>
      <c r="D139" s="684"/>
      <c r="E139" s="684"/>
      <c r="F139" s="684"/>
      <c r="G139" s="684"/>
      <c r="H139" s="684"/>
      <c r="I139" s="684"/>
    </row>
    <row r="140" spans="1:35" ht="21.75" customHeight="1">
      <c r="A140" s="684"/>
      <c r="B140" s="1704"/>
      <c r="C140" s="684"/>
      <c r="D140" s="684"/>
      <c r="E140" s="684"/>
      <c r="F140" s="684"/>
      <c r="G140" s="684"/>
      <c r="H140" s="684"/>
      <c r="I140" s="684"/>
    </row>
    <row r="141" spans="1:35" ht="21.75" customHeight="1">
      <c r="A141" s="684"/>
      <c r="B141" s="1702"/>
      <c r="C141" s="1702"/>
      <c r="D141" s="1702"/>
      <c r="E141" s="1702"/>
      <c r="F141" s="1702"/>
      <c r="G141" s="1702"/>
      <c r="H141" s="1702"/>
      <c r="I141" s="1703" t="s">
        <v>1459</v>
      </c>
    </row>
    <row r="142" spans="1:35" ht="21.75" customHeight="1">
      <c r="A142" s="684"/>
      <c r="B142" s="1704"/>
      <c r="C142" s="1705"/>
      <c r="D142" s="1706"/>
      <c r="E142" s="1706"/>
      <c r="F142" s="1610"/>
      <c r="G142" s="684"/>
      <c r="H142" s="684"/>
      <c r="I142" s="684"/>
    </row>
    <row r="143" spans="1:35" s="122" customFormat="1" ht="21.75" customHeight="1">
      <c r="A143" s="684"/>
      <c r="B143" s="1704"/>
      <c r="C143" s="1705"/>
      <c r="D143" s="1706"/>
      <c r="E143" s="1706"/>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9"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9"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9"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9"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9"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9"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9"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9"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9"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9"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9"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9"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9"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9"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9"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9"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9"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9"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9"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9"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9"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9"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9"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9"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9"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9"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9"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9"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9"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9"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9"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9"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9"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9"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9"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9"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9"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9"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9"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9"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9"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9"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9"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9"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9"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9"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9"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9"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9"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9"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9"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9"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9"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9"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9"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9"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9"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9"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9"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9"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9"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9"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9"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9"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9"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9"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9"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9"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9"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9"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9"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9"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9"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9"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9"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9"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9"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9"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9"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9"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9"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9"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9"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9"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9"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9"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9"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9"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9"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9"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9"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9"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9"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9"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9"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9"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9"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9"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9"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9"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9"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9"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9"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9"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C5:D7">
    <cfRule type="cellIs" dxfId="171" priority="10" stopIfTrue="1" operator="equal">
      <formula>25</formula>
    </cfRule>
  </conditionalFormatting>
  <conditionalFormatting sqref="C8:D13">
    <cfRule type="cellIs" dxfId="170" priority="8" stopIfTrue="1" operator="equal">
      <formula>15</formula>
    </cfRule>
  </conditionalFormatting>
  <conditionalFormatting sqref="C14:D16">
    <cfRule type="cellIs" dxfId="169" priority="6" stopIfTrue="1" operator="equal">
      <formula>30</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3C399-222A-4CB7-BCF9-04DBAC913E7B}">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673</v>
      </c>
      <c r="C1" s="190"/>
      <c r="D1" s="190"/>
      <c r="E1" s="190"/>
      <c r="F1" s="190"/>
      <c r="G1" s="1058" t="e">
        <f>MATCH(B1,'数据-取费表'!A6:A16,0)+5</f>
        <v>#N/A</v>
      </c>
    </row>
    <row r="2" spans="1:9" s="192" customFormat="1" ht="18" customHeight="1">
      <c r="A2" s="193" t="s">
        <v>685</v>
      </c>
      <c r="B2" s="194" t="e">
        <f ca="1">IF(D2="——",C52,C52-E2)</f>
        <v>#DIV/0!</v>
      </c>
      <c r="C2" s="191" t="s">
        <v>1463</v>
      </c>
      <c r="D2" s="1707" t="s">
        <v>43</v>
      </c>
      <c r="E2" s="1085" t="e">
        <f ca="1">SUMIF(INDIRECT("'"&amp;G2&amp;"'"&amp;"!A:A"),"承租人权益价值",INDIRECT("'"&amp;G2&amp;"'"&amp;"!c:c"))</f>
        <v>#REF!</v>
      </c>
      <c r="F2" s="1708" t="s">
        <v>1463</v>
      </c>
      <c r="G2" s="1709"/>
    </row>
    <row r="3" spans="1:9" s="192" customFormat="1" ht="18" customHeight="1" thickBot="1">
      <c r="A3" s="195" t="s">
        <v>686</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t="e">
        <f ca="1">C6+C7+C8</f>
        <v>#DIV/0!</v>
      </c>
      <c r="D5" s="203" t="s">
        <v>1469</v>
      </c>
      <c r="E5" s="204" t="s">
        <v>1470</v>
      </c>
      <c r="F5" s="204" t="s">
        <v>1471</v>
      </c>
      <c r="G5" s="205"/>
    </row>
    <row r="6" spans="1:9" s="206" customFormat="1" ht="13.5" customHeight="1">
      <c r="A6" s="728" t="s">
        <v>346</v>
      </c>
      <c r="B6" s="207" t="s">
        <v>1473</v>
      </c>
      <c r="C6" s="208" t="e">
        <f>ROUND(('基准地价修正-商业'!V2+'基准地价修正-商业'!V3+'基准地价修正-商业'!V4+'基准地价修正-商业'!V5)/10000,0)</f>
        <v>#DIV/0!</v>
      </c>
      <c r="D6" s="209"/>
      <c r="E6" s="210"/>
      <c r="F6" s="210"/>
      <c r="G6" s="211"/>
    </row>
    <row r="7" spans="1:9" s="206" customFormat="1" ht="13.5" customHeight="1">
      <c r="A7" s="728" t="s">
        <v>347</v>
      </c>
      <c r="B7" s="207" t="s">
        <v>1475</v>
      </c>
      <c r="C7" s="212" t="e">
        <f>ROUND(C6*F7,0)</f>
        <v>#DIV/0!</v>
      </c>
      <c r="D7" s="212"/>
      <c r="E7" s="210"/>
      <c r="F7" s="213">
        <f>IF(项目基本情况!B8="出让",0,'数据-取费表'!B48+'数据-取费表'!B49)</f>
        <v>3.0499999999999999E-2</v>
      </c>
      <c r="G7" s="211"/>
    </row>
    <row r="8" spans="1:9" s="215" customFormat="1">
      <c r="A8" s="728" t="s">
        <v>348</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#DIV/0!</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1038" t="e">
        <f ca="1">ROUND(IF('数据-取费表'!B22&lt;=1,C5*F22*'数据-取费表'!B23,C5*(POWER((1+F22),'数据-取费表'!B23)-1)),0)</f>
        <v>#DIV/0!</v>
      </c>
      <c r="D23" s="230"/>
      <c r="E23" s="230"/>
      <c r="F23" s="231"/>
      <c r="G23" s="232" t="s">
        <v>1504</v>
      </c>
    </row>
    <row r="24" spans="1:7" s="206" customFormat="1" ht="13.5" customHeight="1">
      <c r="A24" s="730" t="s">
        <v>347</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348</v>
      </c>
      <c r="B25" s="207" t="s">
        <v>1509</v>
      </c>
      <c r="C25" s="1038" t="e">
        <f ca="1">ROUND(IF('数据-取费表'!B22&lt;=1,C20*F22*'数据-取费表'!B23/2,C20*(POWER((1+F22),'数据-取费表'!B23/2)-1)),0)</f>
        <v>#DIV/0!</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#DIV/0!</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ROUND(IF('数据-取费表'!B22&lt;=1,C33*F22*'数据-取费表'!B21/2,C33*(POWER((1+F22),'数据-取费表'!B21/2)-1)),0)</f>
        <v>#N/A</v>
      </c>
      <c r="D42" s="230"/>
      <c r="E42" s="230"/>
      <c r="F42" s="231"/>
      <c r="G42" s="3348" t="s">
        <v>1544</v>
      </c>
    </row>
    <row r="43" spans="1:7" ht="13.5" customHeight="1">
      <c r="A43" s="730" t="s">
        <v>347</v>
      </c>
      <c r="B43" s="207" t="s">
        <v>1506</v>
      </c>
      <c r="C43" s="230" t="e">
        <f ca="1">ROUND(IF('数据-取费表'!B22&lt;=1,C39*F22*'数据-取费表'!B21/2,C39*(POWER((1+F22),'数据-取费表'!B21/2)-1)),0)</f>
        <v>#N/A</v>
      </c>
      <c r="D43" s="230"/>
      <c r="E43" s="230"/>
      <c r="F43" s="231"/>
      <c r="G43" s="3349"/>
    </row>
    <row r="44" spans="1:7" ht="13.5" customHeight="1">
      <c r="A44" s="730" t="s">
        <v>348</v>
      </c>
      <c r="B44" s="207" t="s">
        <v>1509</v>
      </c>
      <c r="C44" s="230">
        <f ca="1">ROUND(IF('数据-取费表'!B22&lt;=1,C40*F22*'数据-取费表'!B21/2,C40*(POWER((1+F22),'数据-取费表'!B21/2)-1)),4)</f>
        <v>5.9999999999999995E-4</v>
      </c>
      <c r="D44" s="230"/>
      <c r="E44" s="230"/>
      <c r="F44" s="231"/>
      <c r="G44" s="3350"/>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421F2236-0C6A-4CA2-8330-4DACB8A32F58}">
      <formula1>"需扣减承租人权益,——"</formula1>
    </dataValidation>
    <dataValidation type="list" allowBlank="1" showInputMessage="1" showErrorMessage="1" sqref="G2" xr:uid="{2F3481AC-3AD8-47B2-BB5A-CAF47044DD99}">
      <formula1>估价方法</formula1>
    </dataValidation>
    <dataValidation type="list" allowBlank="1" showInputMessage="1" showErrorMessage="1" sqref="G9" xr:uid="{5F4ED062-3929-43CC-B8B5-8699DEAF954E}">
      <formula1>"部分缴纳,全部缴纳"</formula1>
    </dataValidation>
    <dataValidation type="list" allowBlank="1" showInputMessage="1" showErrorMessage="1" sqref="B1" xr:uid="{A5F144F9-4610-49A4-89C0-3AA665387681}">
      <formula1>项目类型</formula1>
    </dataValidation>
    <dataValidation type="list" allowBlank="1" showInputMessage="1" showErrorMessage="1" sqref="G19" xr:uid="{97DA1F4A-E522-4A95-9980-B31238277D05}">
      <formula1>"已包含在土地取得成本中,未包含在土地取得成本中"</formula1>
    </dataValidation>
    <dataValidation type="list" allowBlank="1" showInputMessage="1" showErrorMessage="1" sqref="G8" xr:uid="{5D3ED040-5409-46BE-B20F-6EFCFDD04A25}">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9" customWidth="1"/>
    <col min="2" max="9" width="10" style="789" customWidth="1"/>
    <col min="10" max="16384" width="9" style="789"/>
  </cols>
  <sheetData>
    <row r="36" spans="1:9">
      <c r="A36" s="788" t="s">
        <v>371</v>
      </c>
      <c r="B36" s="788" t="s">
        <v>372</v>
      </c>
    </row>
    <row r="37" spans="1:9" ht="27.75" customHeight="1">
      <c r="A37" s="788"/>
      <c r="B37" s="3166" t="str">
        <f>项目基本情况!B1</f>
        <v>房地产市场价值预评估</v>
      </c>
      <c r="C37" s="3166"/>
      <c r="D37" s="3166"/>
      <c r="E37" s="3166"/>
      <c r="F37" s="3166"/>
      <c r="G37" s="3166"/>
      <c r="H37" s="3166"/>
      <c r="I37" s="3166"/>
    </row>
    <row r="38" spans="1:9">
      <c r="A38" s="790"/>
      <c r="B38" s="790"/>
    </row>
    <row r="39" spans="1:9">
      <c r="A39" s="788" t="s">
        <v>371</v>
      </c>
      <c r="B39" s="788" t="s">
        <v>373</v>
      </c>
    </row>
    <row r="40" spans="1:9">
      <c r="A40" s="788"/>
      <c r="B40" s="1374">
        <f>项目基本情况!B5</f>
        <v>0</v>
      </c>
    </row>
    <row r="41" spans="1:9">
      <c r="A41" s="788"/>
      <c r="B41" s="788"/>
    </row>
    <row r="42" spans="1:9">
      <c r="A42" s="788" t="s">
        <v>371</v>
      </c>
      <c r="B42" s="788" t="s">
        <v>374</v>
      </c>
    </row>
    <row r="43" spans="1:9">
      <c r="A43" s="788"/>
      <c r="B43" s="1374" t="s">
        <v>375</v>
      </c>
    </row>
    <row r="44" spans="1:9">
      <c r="A44" s="788"/>
      <c r="B44" s="788"/>
    </row>
    <row r="45" spans="1:9">
      <c r="A45" s="788" t="s">
        <v>371</v>
      </c>
      <c r="B45" s="788" t="s">
        <v>376</v>
      </c>
    </row>
    <row r="46" spans="1:9" s="788" customFormat="1" ht="12.75">
      <c r="B46" s="1374" t="str">
        <f>项目基本情况!K4</f>
        <v>（注册号：0)、（注册号：0)</v>
      </c>
    </row>
    <row r="47" spans="1:9">
      <c r="A47" s="788"/>
      <c r="B47" s="788" t="str">
        <f>项目基本情况!K5</f>
        <v>（注册号：0)、（注册号：0)</v>
      </c>
    </row>
    <row r="48" spans="1:9">
      <c r="A48" s="788" t="s">
        <v>371</v>
      </c>
      <c r="B48" s="788"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673</v>
      </c>
      <c r="C1" s="1713" t="s">
        <v>1563</v>
      </c>
      <c r="D1" s="190"/>
      <c r="E1" s="190"/>
      <c r="F1" s="190"/>
      <c r="G1" s="1058" t="e">
        <f>MATCH(B1,'数据-取费表'!A6:A16,0)+5</f>
        <v>#N/A</v>
      </c>
      <c r="H1" s="994" t="str">
        <f>IF(ISERROR(FIND("住宅",B1)),"非住宅","住宅")</f>
        <v>非住宅</v>
      </c>
    </row>
    <row r="2" spans="1:8" s="192" customFormat="1" ht="18" customHeight="1">
      <c r="A2" s="193" t="s">
        <v>1462</v>
      </c>
      <c r="B2" s="3114" t="e">
        <f ca="1">ROUND(IF(D2="——",C52/10000,C52/10000-E2),4)</f>
        <v>#DIV/0!</v>
      </c>
      <c r="C2" s="191" t="s">
        <v>1463</v>
      </c>
      <c r="D2" s="1707" t="s">
        <v>43</v>
      </c>
      <c r="E2" s="1085" t="e">
        <f ca="1">SUMIF(INDIRECT("'"&amp;G2&amp;"'"&amp;"!A:A"),"承租人权益价值",INDIRECT("'"&amp;G2&amp;"'"&amp;"!c:c"))</f>
        <v>#REF!</v>
      </c>
      <c r="F2" s="1708" t="s">
        <v>1463</v>
      </c>
      <c r="G2" s="1709"/>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t="e">
        <f ca="1">C6+C7+C8</f>
        <v>#DIV/0!</v>
      </c>
      <c r="D5" s="203" t="s">
        <v>1469</v>
      </c>
      <c r="E5" s="204" t="s">
        <v>1470</v>
      </c>
      <c r="F5" s="204" t="s">
        <v>1471</v>
      </c>
      <c r="G5" s="205"/>
    </row>
    <row r="6" spans="1:8" s="206" customFormat="1" ht="13.5" customHeight="1">
      <c r="A6" s="728" t="s">
        <v>1472</v>
      </c>
      <c r="B6" s="207" t="s">
        <v>1473</v>
      </c>
      <c r="C6" s="208" t="e">
        <f>'基准地价修正-商业'!V2+'基准地价修正-商业'!V3+'基准地价修正-商业'!V4+'基准地价修正-商业'!V5</f>
        <v>#DIV/0!</v>
      </c>
      <c r="D6" s="209"/>
      <c r="E6" s="210"/>
      <c r="F6" s="210"/>
      <c r="G6" s="211"/>
    </row>
    <row r="7" spans="1:8" s="206" customFormat="1" ht="13.5" customHeight="1">
      <c r="A7" s="728" t="s">
        <v>1474</v>
      </c>
      <c r="B7" s="207" t="s">
        <v>1475</v>
      </c>
      <c r="C7" s="212" t="e">
        <f>ROUND(C6*F7,0)</f>
        <v>#DIV/0!</v>
      </c>
      <c r="D7" s="212"/>
      <c r="E7" s="210"/>
      <c r="F7" s="213">
        <f>IF(项目基本情况!B8="出让",0,'数据-取费表'!B48+'数据-取费表'!B49)</f>
        <v>3.0499999999999999E-2</v>
      </c>
      <c r="G7" s="211"/>
    </row>
    <row r="8" spans="1:8" s="215" customFormat="1">
      <c r="A8" s="728" t="s">
        <v>1476</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120</v>
      </c>
      <c r="F19" s="223"/>
      <c r="G19" s="1710" t="s">
        <v>3435</v>
      </c>
    </row>
    <row r="20" spans="1:7" s="206" customFormat="1" ht="13.5" customHeight="1">
      <c r="A20" s="247" t="s">
        <v>1574</v>
      </c>
      <c r="B20" s="202" t="s">
        <v>1575</v>
      </c>
      <c r="C20" s="224" t="e">
        <f ca="1">ROUND((C5+C19)*F20,0)</f>
        <v>#DIV/0!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#DIV/0!</v>
      </c>
      <c r="D22" s="227">
        <f ca="1">C26</f>
        <v>5.9999999999999995E-4</v>
      </c>
      <c r="E22" s="228" t="s">
        <v>1579</v>
      </c>
      <c r="F22" s="229">
        <f ca="1">'数据-取费表'!B40</f>
        <v>0.03</v>
      </c>
      <c r="G22" s="226" t="str">
        <f>IF('数据-取费表'!B22&lt;=1,"单利计息","复利计息")</f>
        <v>复利计息</v>
      </c>
    </row>
    <row r="23" spans="1:7" s="206" customFormat="1" ht="13.5" customHeight="1">
      <c r="A23" s="730" t="s">
        <v>1472</v>
      </c>
      <c r="B23" s="207" t="s">
        <v>1583</v>
      </c>
      <c r="C23" s="230" t="e">
        <f ca="1">ROUND(IF('数据-取费表'!B22&lt;=1,C5*F22*'数据-取费表'!B22,C5*(POWER((1+F22),'数据-取费表'!B22)-1)),0)</f>
        <v>#DIV/0!</v>
      </c>
      <c r="D23" s="230"/>
      <c r="E23" s="230"/>
      <c r="F23" s="231"/>
      <c r="G23" s="232" t="s">
        <v>1584</v>
      </c>
    </row>
    <row r="24" spans="1:7" s="206" customFormat="1" ht="13.5" customHeight="1">
      <c r="A24" s="730"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0" t="s">
        <v>1476</v>
      </c>
      <c r="B25" s="207" t="s">
        <v>1587</v>
      </c>
      <c r="C25" s="230" t="e">
        <f ca="1">ROUND(IF('数据-取费表'!B22&lt;=1,C20*F22*'数据-取费表'!B22/2,C20*(POWER((1+F22),'数据-取费表'!B22/2)-1)),0)</f>
        <v>#DIV/0!</v>
      </c>
      <c r="D25" s="230"/>
      <c r="E25" s="233"/>
      <c r="F25" s="231"/>
      <c r="G25" s="234" t="s">
        <v>1588</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#DIV/0!</v>
      </c>
      <c r="D27" s="227" t="e">
        <f ca="1">C29</f>
        <v>#N/A</v>
      </c>
      <c r="E27" s="228" t="s">
        <v>1514</v>
      </c>
      <c r="F27" s="238" t="e">
        <f ca="1">IF(B1="",'数据-取费表'!Q16,INDIRECT("'数据-取费表'!q"&amp;$G$1))</f>
        <v>#N/A</v>
      </c>
      <c r="G27" s="239" t="s">
        <v>1515</v>
      </c>
    </row>
    <row r="28" spans="1:7" s="206" customFormat="1" ht="13.5" customHeight="1">
      <c r="A28" s="730" t="s">
        <v>346</v>
      </c>
      <c r="B28" s="240" t="s">
        <v>1516</v>
      </c>
      <c r="C28" s="241" t="e">
        <f ca="1">ROUND((C5+C19+C20)*F27,0)</f>
        <v>#DIV/0!</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1543</v>
      </c>
      <c r="C42" s="230" t="e">
        <f ca="1">ROUND(IF('数据-取费表'!B22&lt;=1,C33*F22*'数据-取费表'!B20/2,C33*(POWER((1+F22),'数据-取费表'!B20/2)-1)),0)</f>
        <v>#N/A</v>
      </c>
      <c r="D42" s="230"/>
      <c r="E42" s="230"/>
      <c r="F42" s="231"/>
      <c r="G42" s="3348" t="s">
        <v>1591</v>
      </c>
    </row>
    <row r="43" spans="1:7" ht="13.5" customHeight="1">
      <c r="A43" s="730" t="s">
        <v>347</v>
      </c>
      <c r="B43" s="207" t="s">
        <v>1545</v>
      </c>
      <c r="C43" s="230" t="e">
        <f ca="1">ROUND(IF('数据-取费表'!B22&lt;=1,C39*F22*'数据-取费表'!B20/2,C39*(POWER((1+F22),'数据-取费表'!B20/2)-1)),0)</f>
        <v>#N/A</v>
      </c>
      <c r="D43" s="230"/>
      <c r="E43" s="230"/>
      <c r="F43" s="231"/>
      <c r="G43" s="3349"/>
    </row>
    <row r="44" spans="1:7" ht="13.5" customHeight="1">
      <c r="A44" s="730" t="s">
        <v>348</v>
      </c>
      <c r="B44" s="207" t="s">
        <v>1546</v>
      </c>
      <c r="C44" s="230">
        <f ca="1">ROUND(IF('数据-取费表'!B22&lt;=1,C40*F22*'数据-取费表'!B20/2,C40*(POWER((1+F22),'数据-取费表'!B20/2)-1)),4)</f>
        <v>5.9999999999999995E-4</v>
      </c>
      <c r="D44" s="230"/>
      <c r="E44" s="230"/>
      <c r="F44" s="231"/>
      <c r="G44" s="3350"/>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1" customWidth="1"/>
    <col min="3" max="3" width="10.375" style="770" customWidth="1"/>
    <col min="4" max="4" width="9.875" style="731" customWidth="1"/>
    <col min="5" max="5" width="9.5" style="687" customWidth="1"/>
    <col min="6" max="6" width="10.125" style="731" customWidth="1"/>
    <col min="7" max="7" width="10.75" style="731" customWidth="1"/>
    <col min="8" max="8" width="10" style="731" customWidth="1"/>
    <col min="9" max="11" width="9.5" style="731" customWidth="1"/>
    <col min="12" max="12" width="9" style="731" customWidth="1"/>
    <col min="13" max="13" width="10.5" style="731" bestFit="1" customWidth="1"/>
    <col min="14" max="254" width="9" style="731" customWidth="1"/>
    <col min="255" max="16384" width="6.625" style="731"/>
  </cols>
  <sheetData>
    <row r="1" spans="1:33" ht="20.25">
      <c r="A1" s="188" t="s">
        <v>1594</v>
      </c>
      <c r="B1" s="121"/>
      <c r="C1" s="1106"/>
      <c r="D1" s="1105"/>
      <c r="E1" s="2560"/>
      <c r="F1" s="2560"/>
      <c r="G1" s="2441"/>
      <c r="H1" s="2560"/>
      <c r="I1" s="2560"/>
      <c r="J1" s="2560"/>
      <c r="K1" s="2561">
        <f>MATCH(C1,'数据-取费表'!A6:A16,0)+5</f>
        <v>7</v>
      </c>
    </row>
    <row r="2" spans="1:33" ht="18" customHeight="1">
      <c r="A2" s="193" t="s">
        <v>1462</v>
      </c>
      <c r="B2" s="196">
        <f ca="1">C32</f>
        <v>-3</v>
      </c>
      <c r="C2" s="268" t="s">
        <v>1595</v>
      </c>
      <c r="D2" s="268"/>
      <c r="E2" s="2560"/>
      <c r="F2" s="2560"/>
      <c r="G2" s="2560"/>
      <c r="H2" s="2560"/>
      <c r="I2" s="2560"/>
      <c r="J2" s="2560"/>
      <c r="K2" s="2560"/>
    </row>
    <row r="3" spans="1:33" ht="18" customHeight="1" thickBot="1">
      <c r="A3" s="195" t="s">
        <v>1464</v>
      </c>
      <c r="B3" s="196">
        <f ca="1">ROUND(B2*10000/IF(C1="",'数据-汇总表'!E3,INDIRECT("'数据-取费表'!K"&amp;$K$1)),0)</f>
        <v>-194</v>
      </c>
      <c r="C3" s="268" t="s">
        <v>1596</v>
      </c>
      <c r="D3" s="268"/>
      <c r="E3" s="2560"/>
      <c r="F3" s="2560"/>
      <c r="G3" s="2560"/>
      <c r="H3" s="2560"/>
      <c r="I3" s="2560"/>
      <c r="J3" s="2560"/>
      <c r="K3" s="2560"/>
    </row>
    <row r="4" spans="1:33" s="735" customFormat="1" ht="16.5" customHeight="1">
      <c r="A4" s="732" t="s">
        <v>1597</v>
      </c>
      <c r="B4" s="733"/>
      <c r="C4" s="771">
        <f>SUM(C8:K8)</f>
        <v>0</v>
      </c>
      <c r="D4" s="733"/>
      <c r="E4" s="733"/>
      <c r="F4" s="733"/>
      <c r="G4" s="733"/>
      <c r="H4" s="733"/>
      <c r="I4" s="733"/>
      <c r="J4" s="733"/>
      <c r="K4" s="734"/>
    </row>
    <row r="5" spans="1:33" s="739" customFormat="1" ht="15">
      <c r="A5" s="736" t="s">
        <v>1598</v>
      </c>
      <c r="B5" s="737" t="s">
        <v>1599</v>
      </c>
      <c r="C5" s="1714"/>
      <c r="D5" s="1714"/>
      <c r="E5" s="1714"/>
      <c r="F5" s="1714"/>
      <c r="G5" s="1714"/>
      <c r="H5" s="1714"/>
      <c r="I5" s="1714"/>
      <c r="J5" s="1714"/>
      <c r="K5" s="1714"/>
      <c r="L5" s="738"/>
      <c r="M5" s="738"/>
      <c r="N5" s="738"/>
      <c r="O5" s="738"/>
      <c r="P5" s="738"/>
      <c r="Q5" s="738"/>
      <c r="R5" s="738"/>
      <c r="S5" s="738"/>
      <c r="T5" s="738"/>
      <c r="U5" s="738"/>
      <c r="V5" s="738"/>
      <c r="W5" s="738"/>
      <c r="X5" s="738"/>
      <c r="Y5" s="738"/>
      <c r="Z5" s="738"/>
      <c r="AA5" s="738"/>
      <c r="AB5" s="738"/>
      <c r="AC5" s="738"/>
      <c r="AD5" s="738"/>
      <c r="AE5" s="738"/>
      <c r="AF5" s="738"/>
      <c r="AG5" s="738"/>
    </row>
    <row r="6" spans="1:33" s="122" customFormat="1" ht="13.5" customHeight="1">
      <c r="A6" s="740" t="s">
        <v>357</v>
      </c>
      <c r="B6" s="123" t="s">
        <v>1600</v>
      </c>
      <c r="C6" s="741"/>
      <c r="D6" s="741"/>
      <c r="E6" s="741"/>
      <c r="F6" s="741"/>
      <c r="G6" s="741"/>
      <c r="H6" s="741"/>
      <c r="I6" s="741"/>
      <c r="J6" s="741"/>
      <c r="K6" s="742"/>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0"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5" t="s">
        <v>1603</v>
      </c>
      <c r="B8" s="156" t="s">
        <v>1604</v>
      </c>
      <c r="C8" s="772"/>
      <c r="D8" s="772"/>
      <c r="E8" s="772"/>
      <c r="F8" s="773"/>
      <c r="G8" s="773"/>
      <c r="H8" s="773"/>
      <c r="I8" s="773"/>
      <c r="J8" s="773"/>
      <c r="K8" s="774"/>
      <c r="L8" s="684"/>
      <c r="M8" s="684"/>
      <c r="N8" s="684"/>
      <c r="O8" s="684"/>
      <c r="P8" s="684"/>
      <c r="Q8" s="684"/>
      <c r="R8" s="684"/>
      <c r="S8" s="684"/>
      <c r="T8" s="684"/>
      <c r="U8" s="684"/>
      <c r="V8" s="684"/>
      <c r="W8" s="684"/>
      <c r="X8" s="684"/>
      <c r="Y8" s="684"/>
      <c r="Z8" s="684"/>
      <c r="AA8" s="684"/>
      <c r="AB8" s="684"/>
      <c r="AC8" s="684"/>
      <c r="AD8" s="684"/>
      <c r="AE8" s="684"/>
      <c r="AF8" s="684"/>
      <c r="AG8" s="684"/>
    </row>
    <row r="9" spans="1:33" s="735" customFormat="1" ht="16.5" customHeight="1">
      <c r="A9" s="732" t="s">
        <v>1605</v>
      </c>
      <c r="B9" s="733"/>
      <c r="C9" s="733"/>
      <c r="D9" s="733"/>
      <c r="E9" s="733"/>
      <c r="F9" s="733"/>
      <c r="G9" s="733"/>
      <c r="H9" s="733"/>
      <c r="I9" s="733"/>
      <c r="J9" s="733"/>
      <c r="K9" s="734"/>
    </row>
    <row r="10" spans="1:33" s="747" customFormat="1" ht="13.5" customHeight="1">
      <c r="A10" s="736" t="s">
        <v>1606</v>
      </c>
      <c r="B10" s="5" t="s">
        <v>1607</v>
      </c>
      <c r="C10" s="743" t="s">
        <v>1608</v>
      </c>
      <c r="D10" s="744" t="s">
        <v>1609</v>
      </c>
      <c r="E10" s="744" t="s">
        <v>1610</v>
      </c>
      <c r="F10" s="744" t="s">
        <v>1611</v>
      </c>
      <c r="G10" s="5"/>
      <c r="H10" s="745"/>
      <c r="I10" s="745"/>
      <c r="J10" s="745"/>
      <c r="K10" s="746"/>
    </row>
    <row r="11" spans="1:33" s="751" customFormat="1" ht="13.5" customHeight="1">
      <c r="A11" s="748" t="s">
        <v>635</v>
      </c>
      <c r="B11" s="749" t="s">
        <v>1612</v>
      </c>
      <c r="C11" s="271">
        <f ca="1">IF(C1="",'数据-取费表'!P16,INDIRECT("'数据-取费表'!p"&amp;$K$1)+INDIRECT("'数据-取费表'!ar"&amp;$K$1))</f>
        <v>0</v>
      </c>
      <c r="D11" s="750"/>
      <c r="E11" s="138"/>
      <c r="F11" s="760">
        <f ca="1">1-IF('数据-取费表'!B24=0,1,IF(C1="",'数据-取费表'!N16,INDIRECT("'数据-取费表'!n"&amp;$K$1)))</f>
        <v>0</v>
      </c>
      <c r="G11" s="5"/>
      <c r="H11" s="745"/>
      <c r="I11" s="745"/>
      <c r="J11" s="745"/>
      <c r="K11" s="746"/>
    </row>
    <row r="12" spans="1:33" s="751" customFormat="1" ht="13.5" customHeight="1">
      <c r="A12" s="748" t="s">
        <v>636</v>
      </c>
      <c r="B12" s="749" t="s">
        <v>1613</v>
      </c>
      <c r="C12" s="21">
        <f ca="1">ROUND(C11*F12,0)</f>
        <v>0</v>
      </c>
      <c r="D12" s="750"/>
      <c r="E12" s="138"/>
      <c r="F12" s="760">
        <f>'数据-取费表'!B33</f>
        <v>0.03</v>
      </c>
      <c r="G12" s="5" t="s">
        <v>1614</v>
      </c>
      <c r="H12" s="745"/>
      <c r="I12" s="745"/>
      <c r="J12" s="745"/>
      <c r="K12" s="746"/>
    </row>
    <row r="13" spans="1:33" s="751" customFormat="1" ht="13.5" customHeight="1">
      <c r="A13" s="748" t="s">
        <v>637</v>
      </c>
      <c r="B13" s="749" t="s">
        <v>1615</v>
      </c>
      <c r="C13" s="21">
        <f ca="1">ROUND(IF(C1="",SUMIF('数据-取费表'!C:C,"住宅",'数据-取费表'!P:P)*F13,IF(INDIRECT("'数据-取费表'!c"&amp;$K$1)="住宅",INDIRECT("'数据-取费表'!P"&amp;$K$1)*F13,0)),0)</f>
        <v>0</v>
      </c>
      <c r="D13" s="792"/>
      <c r="E13" s="138"/>
      <c r="F13" s="760">
        <f>'数据-取费表'!B34</f>
        <v>0.05</v>
      </c>
      <c r="G13" s="5" t="s">
        <v>1616</v>
      </c>
      <c r="H13" s="745"/>
      <c r="I13" s="745"/>
      <c r="J13" s="745"/>
      <c r="K13" s="746"/>
    </row>
    <row r="14" spans="1:33" s="753" customFormat="1" ht="13.5" customHeight="1">
      <c r="A14" s="748" t="s">
        <v>638</v>
      </c>
      <c r="B14" s="749" t="s">
        <v>1617</v>
      </c>
      <c r="C14" s="21">
        <f ca="1">ROUND(D14*E14*F11/10000,0)</f>
        <v>0</v>
      </c>
      <c r="D14" s="792">
        <f ca="1">IF(C1="",'数据-汇总表'!E3,INDIRECT("'数据-取费表'!K"&amp;$K$1)+INDIRECT("'数据-取费表'!S"&amp;$K$1))</f>
        <v>154.79</v>
      </c>
      <c r="E14" s="21">
        <f>'数据-取费表'!B35</f>
        <v>120</v>
      </c>
      <c r="F14" s="752"/>
      <c r="G14" s="5" t="s">
        <v>1618</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1619</v>
      </c>
      <c r="C15" s="759">
        <f ca="1">ROUND(C11*F15,0)</f>
        <v>0</v>
      </c>
      <c r="D15" s="754"/>
      <c r="E15" s="759"/>
      <c r="F15" s="760">
        <f>'数据-取费表'!B36</f>
        <v>1.4999999999999999E-2</v>
      </c>
      <c r="G15" s="123" t="s">
        <v>1620</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1621</v>
      </c>
      <c r="C16" s="759">
        <f ca="1">SUM(C11:C15)</f>
        <v>0</v>
      </c>
      <c r="D16" s="754"/>
      <c r="E16" s="759"/>
      <c r="F16" s="760"/>
      <c r="G16" s="123"/>
      <c r="H16" s="1103"/>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1622</v>
      </c>
      <c r="C17" s="21">
        <f ca="1">ROUND(D17*E17/10000,0)</f>
        <v>0</v>
      </c>
      <c r="D17" s="792">
        <f ca="1">D14</f>
        <v>154.79</v>
      </c>
      <c r="E17" s="21">
        <f>'数据-取费表'!B32</f>
        <v>0</v>
      </c>
      <c r="F17" s="754"/>
      <c r="G17" s="123" t="s">
        <v>1623</v>
      </c>
      <c r="H17" s="1103"/>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1624</v>
      </c>
      <c r="C18" s="21">
        <f ca="1">C19+C20-IF(C1="",'数据-取费表'!B29,IF(G18="已全部缴纳",C19+C20,H18))</f>
        <v>3</v>
      </c>
      <c r="D18" s="792"/>
      <c r="E18" s="21"/>
      <c r="F18" s="752"/>
      <c r="G18" s="1716"/>
      <c r="H18" s="1102"/>
      <c r="I18" s="1717" t="s">
        <v>1625</v>
      </c>
      <c r="J18" s="755"/>
      <c r="K18" s="756"/>
    </row>
    <row r="19" spans="1:33" s="751" customFormat="1" ht="13.5" customHeight="1">
      <c r="A19" s="748" t="s">
        <v>360</v>
      </c>
      <c r="B19" s="749" t="s">
        <v>1626</v>
      </c>
      <c r="C19" s="21">
        <f ca="1">ROUND(D19*E19/10000,0)</f>
        <v>3</v>
      </c>
      <c r="D19" s="792">
        <f ca="1">IF(C1="",'数据-汇总表'!E5,IF(INDIRECT("'数据-取费表'!c"&amp;$K$1)="住宅",INDIRECT("'数据-取费表'!k"&amp;$K$1),0))</f>
        <v>154.79</v>
      </c>
      <c r="E19" s="21">
        <f>'数据-取费表'!B27</f>
        <v>170</v>
      </c>
      <c r="F19" s="752"/>
      <c r="G19" s="12"/>
      <c r="H19" s="1104"/>
      <c r="I19" s="757"/>
      <c r="J19" s="757"/>
      <c r="K19" s="758"/>
    </row>
    <row r="20" spans="1:33" s="751" customFormat="1" ht="13.5" customHeight="1">
      <c r="A20" s="748" t="s">
        <v>361</v>
      </c>
      <c r="B20" s="749" t="s">
        <v>1627</v>
      </c>
      <c r="C20" s="21">
        <f ca="1">ROUND(D20*E20/10000,0)</f>
        <v>0</v>
      </c>
      <c r="D20" s="792">
        <f ca="1">IF(C1="",'数据-汇总表'!E6,IF(INDIRECT("'数据-取费表'!c"&amp;$K$1)="住宅",INDIRECT("'数据-取费表'!s"&amp;$K$1),INDIRECT("'数据-取费表'!k"&amp;$K$1)+INDIRECT("'数据-取费表'!s"&amp;$K$1)))</f>
        <v>0</v>
      </c>
      <c r="E20" s="21">
        <f>'数据-取费表'!B28</f>
        <v>0</v>
      </c>
      <c r="F20" s="752"/>
      <c r="G20" s="12"/>
      <c r="H20" s="757"/>
      <c r="I20" s="757"/>
      <c r="J20" s="757"/>
      <c r="K20" s="758"/>
    </row>
    <row r="21" spans="1:33" s="751" customFormat="1" ht="13.5" customHeight="1">
      <c r="A21" s="740" t="s">
        <v>357</v>
      </c>
      <c r="B21" s="761" t="s">
        <v>1628</v>
      </c>
      <c r="C21" s="762">
        <f ca="1">C16+C17+C18</f>
        <v>3</v>
      </c>
      <c r="D21" s="763"/>
      <c r="E21" s="273"/>
      <c r="F21" s="273"/>
      <c r="G21" s="123" t="s">
        <v>1629</v>
      </c>
      <c r="H21" s="755"/>
      <c r="I21" s="755"/>
      <c r="J21" s="755"/>
      <c r="K21" s="756"/>
    </row>
    <row r="22" spans="1:33" s="751" customFormat="1" ht="13.5" customHeight="1">
      <c r="A22" s="740" t="s">
        <v>1601</v>
      </c>
      <c r="B22" s="761" t="s">
        <v>1630</v>
      </c>
      <c r="C22" s="762">
        <f ca="1">ROUND(C21*F22,0)</f>
        <v>0</v>
      </c>
      <c r="D22" s="273"/>
      <c r="E22" s="273"/>
      <c r="F22" s="764">
        <f>'数据-取费表'!B37</f>
        <v>0.02</v>
      </c>
      <c r="G22" s="5" t="s">
        <v>1631</v>
      </c>
      <c r="H22" s="745"/>
      <c r="I22" s="745"/>
      <c r="J22" s="745"/>
      <c r="K22" s="746"/>
    </row>
    <row r="23" spans="1:33" s="751" customFormat="1" ht="13.5" customHeight="1">
      <c r="A23" s="740" t="s">
        <v>1603</v>
      </c>
      <c r="B23" s="761" t="s">
        <v>1632</v>
      </c>
      <c r="C23" s="762">
        <f ca="1">ROUND(C4*F23*F11,0)</f>
        <v>0</v>
      </c>
      <c r="D23" s="273"/>
      <c r="E23" s="273"/>
      <c r="F23" s="764">
        <f>'数据-取费表'!B38</f>
        <v>0.02</v>
      </c>
      <c r="G23" s="5" t="s">
        <v>1633</v>
      </c>
      <c r="H23" s="745"/>
      <c r="I23" s="745"/>
      <c r="J23" s="745"/>
      <c r="K23" s="746"/>
    </row>
    <row r="24" spans="1:33" s="751" customFormat="1" ht="13.5" customHeight="1">
      <c r="A24" s="740" t="s">
        <v>1634</v>
      </c>
      <c r="B24" s="761" t="s">
        <v>1635</v>
      </c>
      <c r="C24" s="272">
        <f>ROUND(F24/(1+'数据-取费表'!C42),4)</f>
        <v>2.9000000000000001E-2</v>
      </c>
      <c r="D24" s="273" t="s">
        <v>12</v>
      </c>
      <c r="E24" s="273"/>
      <c r="F24" s="764">
        <f>IF(项目基本情况!B8="出让",0,'数据-取费表'!B48+'数据-取费表'!B49)</f>
        <v>3.0499999999999999E-2</v>
      </c>
      <c r="G24" s="5" t="s">
        <v>1636</v>
      </c>
      <c r="H24" s="766"/>
      <c r="I24" s="766"/>
      <c r="J24" s="766"/>
      <c r="K24" s="55"/>
    </row>
    <row r="25" spans="1:33" s="751" customFormat="1" ht="13.5" customHeight="1">
      <c r="A25" s="740" t="s">
        <v>1637</v>
      </c>
      <c r="B25" s="763" t="s">
        <v>1638</v>
      </c>
      <c r="C25" s="1039">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1639</v>
      </c>
      <c r="C26" s="1040">
        <f ca="1">ROUND(IF('数据-取费表'!B22&lt;=1,(1+C24)*F25*'数据-取费表'!B24,(1+C24)*(POWER((1+F25),'数据-取费表'!B24)-1)),4)</f>
        <v>0</v>
      </c>
      <c r="D26" s="276"/>
      <c r="E26" s="277"/>
      <c r="F26" s="278"/>
      <c r="G26" s="1718"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1640</v>
      </c>
      <c r="C27" s="1041">
        <f ca="1">ROUND(IF('数据-取费表'!B22&lt;=1,(C21+C22+C23)*F25*'数据-取费表'!B24/2,(C21+C22+C23)*(POWER((1+F25),'数据-取费表'!B24/2)-1)),0)</f>
        <v>0</v>
      </c>
      <c r="D27" s="276"/>
      <c r="E27" s="277"/>
      <c r="F27" s="278"/>
      <c r="G27" s="1718" t="str">
        <f>IF('数据-取费表'!B22&lt;=1,"（1）-（3）项×年利率×建设期÷2","（1）-（3）项×((1+年利率)^(建设期÷2)-1)")</f>
        <v>（1）-（3）项×((1+年利率)^(建设期÷2)-1)</v>
      </c>
      <c r="H27" s="755"/>
      <c r="I27" s="755"/>
      <c r="J27" s="755"/>
      <c r="K27" s="756"/>
    </row>
    <row r="28" spans="1:33" s="281" customFormat="1" ht="13.5" customHeight="1">
      <c r="A28" s="740" t="s">
        <v>1641</v>
      </c>
      <c r="B28" s="1719" t="s">
        <v>1642</v>
      </c>
      <c r="C28" s="279">
        <f ca="1">C30</f>
        <v>0</v>
      </c>
      <c r="D28" s="272">
        <f ca="1">C29</f>
        <v>0</v>
      </c>
      <c r="E28" s="274" t="s">
        <v>12</v>
      </c>
      <c r="F28" s="280">
        <f ca="1">IF(C1="",'数据-取费表'!Q16,INDIRECT("'数据-取费表'!q"&amp;$K$1))</f>
        <v>0.1</v>
      </c>
      <c r="G28" s="765"/>
      <c r="H28" s="766"/>
      <c r="I28" s="766"/>
      <c r="J28" s="766"/>
      <c r="K28" s="55"/>
    </row>
    <row r="29" spans="1:33" s="283" customFormat="1" ht="13.5" customHeight="1">
      <c r="A29" s="748" t="s">
        <v>358</v>
      </c>
      <c r="B29" s="769" t="s">
        <v>1643</v>
      </c>
      <c r="C29" s="276">
        <f ca="1">ROUND((1+C24)*F28*'数据-取费表'!B24/'数据-取费表'!B20,4)</f>
        <v>0</v>
      </c>
      <c r="D29" s="276"/>
      <c r="E29" s="277"/>
      <c r="F29" s="282"/>
      <c r="G29" s="123" t="s">
        <v>1644</v>
      </c>
      <c r="H29" s="755"/>
      <c r="I29" s="755"/>
      <c r="J29" s="755"/>
      <c r="K29" s="756"/>
    </row>
    <row r="30" spans="1:33" s="283" customFormat="1" ht="13.5" customHeight="1">
      <c r="A30" s="748" t="s">
        <v>359</v>
      </c>
      <c r="B30" s="769" t="s">
        <v>1645</v>
      </c>
      <c r="C30" s="284">
        <f ca="1">ROUND((C21+C22+C23)*F28,0)</f>
        <v>0</v>
      </c>
      <c r="D30" s="276"/>
      <c r="E30" s="277"/>
      <c r="F30" s="282"/>
      <c r="G30" s="123"/>
      <c r="H30" s="755"/>
      <c r="I30" s="755"/>
      <c r="J30" s="755"/>
      <c r="K30" s="756"/>
    </row>
    <row r="31" spans="1:33" s="751" customFormat="1" ht="13.5" customHeight="1" thickBot="1">
      <c r="A31" s="1720" t="s">
        <v>1646</v>
      </c>
      <c r="B31" s="779" t="s">
        <v>1647</v>
      </c>
      <c r="C31" s="780">
        <f>ROUND(C4*F31/(1+'数据-取费表'!C42),0)</f>
        <v>0</v>
      </c>
      <c r="D31" s="781"/>
      <c r="E31" s="782"/>
      <c r="F31" s="783">
        <f>'数据-取费表'!B41</f>
        <v>5.6000000000000001E-2</v>
      </c>
      <c r="G31" s="784" t="s">
        <v>1648</v>
      </c>
      <c r="H31" s="785"/>
      <c r="I31" s="785"/>
      <c r="J31" s="785"/>
      <c r="K31" s="786"/>
    </row>
    <row r="32" spans="1:33" s="747" customFormat="1" ht="13.5" customHeight="1" thickBot="1">
      <c r="A32" s="449" t="s">
        <v>1649</v>
      </c>
      <c r="B32" s="775"/>
      <c r="C32" s="776">
        <f ca="1">ROUND((C4-C21-C22-C23-C25-C28-C31)/(1+C24+D25+D28),0)</f>
        <v>-3</v>
      </c>
      <c r="D32" s="775"/>
      <c r="E32" s="775"/>
      <c r="F32" s="775"/>
      <c r="G32" s="777" t="s">
        <v>1650</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FA080-3547-469D-878D-5C637A947A3C}">
  <sheetPr>
    <tabColor rgb="FF92D050"/>
  </sheetPr>
  <dimension ref="A1:AK83"/>
  <sheetViews>
    <sheetView view="pageBreakPreview" zoomScale="85" zoomScaleNormal="70" zoomScaleSheetLayoutView="85" workbookViewId="0">
      <selection activeCell="C36" sqref="C3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3401</v>
      </c>
      <c r="D1" s="1267" t="s">
        <v>43</v>
      </c>
      <c r="E1" s="1268" t="s">
        <v>678</v>
      </c>
      <c r="F1" s="995">
        <f ca="1">J53</f>
        <v>70</v>
      </c>
      <c r="G1" s="1282">
        <f>MATCH(C1,'数据-取费表'!A6:A16,0)+5</f>
        <v>6</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f ca="1">ROUND(D2/10000,4)</f>
        <v>70.682299999999998</v>
      </c>
      <c r="C2" s="1285" t="s">
        <v>805</v>
      </c>
      <c r="D2" s="1371">
        <f ca="1">C40+J29+L46</f>
        <v>706823</v>
      </c>
      <c r="E2" s="1291" t="s">
        <v>880</v>
      </c>
      <c r="F2" s="1292"/>
      <c r="G2" s="2471"/>
      <c r="H2" s="2461"/>
      <c r="I2" s="2461"/>
      <c r="J2" s="2461"/>
      <c r="K2" s="2462"/>
      <c r="L2" s="2461"/>
      <c r="M2" s="2461"/>
    </row>
    <row r="3" spans="1:37" ht="18" customHeight="1" thickBot="1">
      <c r="A3" s="1293" t="s">
        <v>806</v>
      </c>
      <c r="B3" s="1294">
        <f ca="1">IF(ISERROR(D2/F43),0,ROUND(D2/F43,0))</f>
        <v>4566</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f ca="1">C6+C10+C12</f>
        <v>18383</v>
      </c>
      <c r="D5" s="1269" t="s">
        <v>693</v>
      </c>
      <c r="E5" s="1004"/>
      <c r="F5" s="1005"/>
      <c r="G5" s="1288"/>
      <c r="H5" s="291">
        <v>1</v>
      </c>
      <c r="I5" s="292" t="s">
        <v>692</v>
      </c>
      <c r="J5" s="1003">
        <f ca="1">J6+J10+J12</f>
        <v>0</v>
      </c>
      <c r="K5" s="1269" t="s">
        <v>693</v>
      </c>
      <c r="L5" s="1004"/>
      <c r="M5" s="1005"/>
    </row>
    <row r="6" spans="1:37" ht="18" customHeight="1">
      <c r="A6" s="1002" t="s">
        <v>398</v>
      </c>
      <c r="B6" s="3351" t="s">
        <v>694</v>
      </c>
      <c r="C6" s="1007">
        <f ca="1">ROUND(F6*F8*F7*(1-F9),0)</f>
        <v>18360</v>
      </c>
      <c r="D6" s="147" t="s">
        <v>2106</v>
      </c>
      <c r="E6" s="294" t="s">
        <v>696</v>
      </c>
      <c r="F6" s="295">
        <f ca="1">INDIRECT("'数据-取费表'!u"&amp;$G$1)</f>
        <v>1700</v>
      </c>
      <c r="G6" s="1288"/>
      <c r="H6" s="1002" t="s">
        <v>398</v>
      </c>
      <c r="I6" s="3351" t="s">
        <v>694</v>
      </c>
      <c r="J6" s="293">
        <f ca="1">ROUND(M6*M8*M7*(1-M9),0)</f>
        <v>0</v>
      </c>
      <c r="K6" s="1280" t="s">
        <v>2107</v>
      </c>
      <c r="L6" s="294" t="s">
        <v>696</v>
      </c>
      <c r="M6" s="295">
        <f ca="1">INDIRECT("'数据-取费表'!z"&amp;$G$1)</f>
        <v>0</v>
      </c>
    </row>
    <row r="7" spans="1:37" ht="18" customHeight="1">
      <c r="A7" s="1006"/>
      <c r="B7" s="3352"/>
      <c r="C7" s="1008"/>
      <c r="D7" s="299"/>
      <c r="E7" s="1009" t="s">
        <v>697</v>
      </c>
      <c r="F7" s="295">
        <f ca="1">IF(INDIRECT("'数据-取费表'!ah"&amp;$G$1)="",INDIRECT("'数据-取费表'!k"&amp;$G$1),INDIRECT("'数据-取费表'!ah"&amp;$G$1))</f>
        <v>1</v>
      </c>
      <c r="G7" s="1288"/>
      <c r="H7" s="296"/>
      <c r="I7" s="3352"/>
      <c r="J7" s="298"/>
      <c r="K7" s="299"/>
      <c r="L7" s="294" t="s">
        <v>697</v>
      </c>
      <c r="M7" s="295">
        <f ca="1">F7</f>
        <v>1</v>
      </c>
    </row>
    <row r="8" spans="1:37" ht="18" customHeight="1">
      <c r="A8" s="296"/>
      <c r="B8" s="3352"/>
      <c r="C8" s="298"/>
      <c r="D8" s="299"/>
      <c r="E8" s="294" t="s">
        <v>698</v>
      </c>
      <c r="F8" s="295">
        <f ca="1">INDIRECT("'数据-取费表'!ai"&amp;$G$1)</f>
        <v>12</v>
      </c>
      <c r="G8" s="1288"/>
      <c r="H8" s="296"/>
      <c r="I8" s="3352"/>
      <c r="J8" s="298"/>
      <c r="K8" s="299"/>
      <c r="L8" s="294" t="s">
        <v>698</v>
      </c>
      <c r="M8" s="295">
        <f ca="1">INDIRECT("'数据-取费表'!ai"&amp;$G$1)</f>
        <v>12</v>
      </c>
    </row>
    <row r="9" spans="1:37" ht="18" customHeight="1">
      <c r="A9" s="296"/>
      <c r="B9" s="3353"/>
      <c r="C9" s="298"/>
      <c r="D9" s="299"/>
      <c r="E9" s="294" t="s">
        <v>699</v>
      </c>
      <c r="F9" s="304">
        <f ca="1">INDIRECT("'数据-取费表'!w"&amp;$G$1)</f>
        <v>0.1</v>
      </c>
      <c r="G9" s="1288"/>
      <c r="H9" s="296"/>
      <c r="I9" s="3353"/>
      <c r="J9" s="298"/>
      <c r="K9" s="299"/>
      <c r="L9" s="305" t="s">
        <v>699</v>
      </c>
      <c r="M9" s="306">
        <f ca="1">INDIRECT("'数据-取费表'!ab"&amp;$G$1)</f>
        <v>0</v>
      </c>
    </row>
    <row r="10" spans="1:37" ht="18" customHeight="1">
      <c r="A10" s="1002" t="s">
        <v>402</v>
      </c>
      <c r="B10" s="1270" t="s">
        <v>700</v>
      </c>
      <c r="C10" s="308">
        <f ca="1">ROUND(IF(F10="押一",C6/12*F11,IF(F10="押二",C6/12*2*F11,IF(F10="押三",C6/12*3*F11,C11*F11))),0)</f>
        <v>23</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f ca="1">ROUND(C29*F13,0)</f>
        <v>255208</v>
      </c>
      <c r="D13" s="1014" t="s">
        <v>705</v>
      </c>
      <c r="E13" s="1014" t="s">
        <v>706</v>
      </c>
      <c r="F13" s="1015">
        <f ca="1">INDIRECT("'数据-取费表'!y"&amp;$G$1)</f>
        <v>0.75</v>
      </c>
      <c r="G13" s="1288"/>
      <c r="H13" s="1012">
        <v>2</v>
      </c>
      <c r="I13" s="1013" t="s">
        <v>704</v>
      </c>
      <c r="J13" s="1001">
        <f ca="1">ROUND(J14*J15,0)</f>
        <v>0</v>
      </c>
      <c r="K13" s="1020" t="s">
        <v>705</v>
      </c>
      <c r="L13" s="1295"/>
      <c r="M13" s="1296"/>
    </row>
    <row r="14" spans="1:37" ht="18" customHeight="1">
      <c r="A14" s="924" t="s">
        <v>397</v>
      </c>
      <c r="B14" s="294" t="s">
        <v>707</v>
      </c>
      <c r="C14" s="310">
        <f ca="1">ROUND(INDIRECT("'数据-取费表'!l"&amp;$G$1)*F43+'数据-取费表'!L14*INDIRECT("'数据-取费表'!S"&amp;$G$1),0)</f>
        <v>232185</v>
      </c>
      <c r="D14" s="1253" t="s">
        <v>708</v>
      </c>
      <c r="E14" s="1251"/>
      <c r="F14" s="311"/>
      <c r="G14" s="1288"/>
      <c r="H14" s="924" t="s">
        <v>398</v>
      </c>
      <c r="I14" s="294" t="s">
        <v>709</v>
      </c>
      <c r="J14" s="21">
        <f ca="1">C29</f>
        <v>340277</v>
      </c>
      <c r="K14" s="12"/>
      <c r="L14" s="755"/>
      <c r="M14" s="756"/>
    </row>
    <row r="15" spans="1:37" s="1300" customFormat="1" ht="18" customHeight="1" thickBot="1">
      <c r="A15" s="924" t="s">
        <v>399</v>
      </c>
      <c r="B15" s="294" t="s">
        <v>710</v>
      </c>
      <c r="C15" s="21">
        <f ca="1">ROUND(C14*F15,0)</f>
        <v>6966</v>
      </c>
      <c r="D15" s="312" t="s">
        <v>711</v>
      </c>
      <c r="E15" s="312" t="s">
        <v>712</v>
      </c>
      <c r="F15" s="313">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f ca="1">ROUND(INDIRECT("'数据-取费表'!l"&amp;$G$1)*F43*F16,0)</f>
        <v>11609</v>
      </c>
      <c r="D16" s="294" t="s">
        <v>711</v>
      </c>
      <c r="E16" s="294" t="s">
        <v>712</v>
      </c>
      <c r="F16" s="314">
        <f ca="1">IF(INDIRECT("'数据-取费表'!c"&amp;$G$1)="住宅",'数据-取费表'!B34,0)</f>
        <v>0.05</v>
      </c>
      <c r="G16" s="1288"/>
      <c r="H16" s="1012" t="s">
        <v>393</v>
      </c>
      <c r="I16" s="1013" t="s">
        <v>714</v>
      </c>
      <c r="J16" s="302">
        <f ca="1">ROUND(J17+J22+J23+J24,0)</f>
        <v>681</v>
      </c>
      <c r="K16" s="1020" t="s">
        <v>715</v>
      </c>
      <c r="L16" s="1021"/>
      <c r="M16" s="1005"/>
    </row>
    <row r="17" spans="1:37" s="1300" customFormat="1" ht="18" customHeight="1">
      <c r="A17" s="924" t="s">
        <v>681</v>
      </c>
      <c r="B17" s="294" t="s">
        <v>716</v>
      </c>
      <c r="C17" s="21">
        <f ca="1">ROUND(F17*(F43+INDIRECT("'数据-取费表'!S"&amp;$G$1)),0)</f>
        <v>18575</v>
      </c>
      <c r="D17" s="294" t="s">
        <v>717</v>
      </c>
      <c r="E17" s="294" t="s">
        <v>718</v>
      </c>
      <c r="F17" s="23">
        <f>'数据-取费表'!B35</f>
        <v>120</v>
      </c>
      <c r="G17" s="1299"/>
      <c r="H17" s="924" t="s">
        <v>398</v>
      </c>
      <c r="I17" s="294" t="s">
        <v>719</v>
      </c>
      <c r="J17" s="2134">
        <f ca="1">ROUND(IF(AND(项目基本情况!B11="自然人",项目基本情况!B10="北京市"),J6*M17/(1+'数据-取费表'!C42),J18+J19+J20),0)</f>
        <v>0</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f ca="1">ROUND(C14*F18,0)</f>
        <v>3483</v>
      </c>
      <c r="D18" s="294" t="s">
        <v>711</v>
      </c>
      <c r="E18" s="294" t="s">
        <v>712</v>
      </c>
      <c r="F18" s="314">
        <f>'数据-取费表'!B36</f>
        <v>1.4999999999999999E-2</v>
      </c>
      <c r="G18" s="1299"/>
      <c r="H18" s="924" t="s">
        <v>397</v>
      </c>
      <c r="I18" s="294" t="s">
        <v>723</v>
      </c>
      <c r="J18" s="21">
        <f ca="1">ROUND(J6*M18/(1+'数据-取费表'!C42),0)</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f ca="1">SUM(C14:C18)</f>
        <v>272818</v>
      </c>
      <c r="D19" s="123" t="s">
        <v>726</v>
      </c>
      <c r="E19" s="1265"/>
      <c r="F19" s="23"/>
      <c r="G19" s="1288"/>
      <c r="H19" s="924" t="s">
        <v>399</v>
      </c>
      <c r="I19" s="294" t="s">
        <v>727</v>
      </c>
      <c r="J19" s="21">
        <f ca="1">IF(K19="按租金收入计税",ROUND(J6*M19/(1+'数据-取费表'!C42),0),ROUND(C29*M19*0.7,0))</f>
        <v>0</v>
      </c>
      <c r="K19" s="1274" t="s">
        <v>3331</v>
      </c>
      <c r="L19" s="294" t="s">
        <v>712</v>
      </c>
      <c r="M19" s="314">
        <f>IF(K19="按租金收入计税",'数据-取费表'!B51,'数据-取费表'!B50)</f>
        <v>0.12</v>
      </c>
    </row>
    <row r="20" spans="1:37" s="1300" customFormat="1" ht="18" customHeight="1">
      <c r="A20" s="924" t="s">
        <v>402</v>
      </c>
      <c r="B20" s="294" t="s">
        <v>728</v>
      </c>
      <c r="C20" s="21">
        <f ca="1">ROUND(C19*F20,0)</f>
        <v>5456</v>
      </c>
      <c r="D20" s="315" t="s">
        <v>729</v>
      </c>
      <c r="E20" s="294" t="s">
        <v>712</v>
      </c>
      <c r="F20" s="314">
        <f>'数据-取费表'!B37</f>
        <v>0.02</v>
      </c>
      <c r="G20" s="1299"/>
      <c r="H20" s="924" t="s">
        <v>680</v>
      </c>
      <c r="I20" s="147" t="s">
        <v>730</v>
      </c>
      <c r="J20" s="22">
        <f ca="1">ROUND(M20*M21,0)</f>
        <v>0</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f ca="1">ROUND(J14*M22,0)</f>
        <v>681</v>
      </c>
      <c r="K22" s="1252" t="s">
        <v>739</v>
      </c>
      <c r="L22" s="294" t="s">
        <v>712</v>
      </c>
      <c r="M22" s="320">
        <f ca="1">INDIRECT("'数据-取费表'!Ak"&amp;$G$1)</f>
        <v>2E-3</v>
      </c>
    </row>
    <row r="23" spans="1:37" s="1300" customFormat="1" ht="18" customHeight="1">
      <c r="A23" s="924" t="s">
        <v>397</v>
      </c>
      <c r="B23" s="294" t="s">
        <v>740</v>
      </c>
      <c r="C23" s="21">
        <f ca="1">IF('数据-取费表'!B22&lt;=1,ROUND(C19*F24*F23/2,0)+ROUND(C20*F24*F23/2,0),ROUND(C19*(POWER((1+F24),F23/2)-1),0)+ROUND(C20*(POWER((1+F24),F23/2)-1),0))</f>
        <v>8349</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f ca="1">ROUND(J13*M23,0)</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f ca="1">ROUND(J5*M24,0)</f>
        <v>0</v>
      </c>
      <c r="K24" s="1025" t="s">
        <v>748</v>
      </c>
      <c r="L24" s="1023" t="s">
        <v>712</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f ca="1">J5-J16</f>
        <v>-681</v>
      </c>
      <c r="K25" s="1028" t="s">
        <v>753</v>
      </c>
      <c r="L25" s="1029"/>
      <c r="M25" s="1030"/>
    </row>
    <row r="26" spans="1:37" ht="18" customHeight="1">
      <c r="A26" s="924" t="s">
        <v>397</v>
      </c>
      <c r="B26" s="294" t="s">
        <v>754</v>
      </c>
      <c r="C26" s="21">
        <f ca="1">ROUND((C19+C20)*F26,0)</f>
        <v>27827</v>
      </c>
      <c r="D26" s="315" t="s">
        <v>755</v>
      </c>
      <c r="E26" s="305" t="s">
        <v>756</v>
      </c>
      <c r="F26" s="304">
        <f ca="1">INDIRECT("'数据-取费表'!q"&amp;$G$1)</f>
        <v>0.1</v>
      </c>
      <c r="G26" s="1288"/>
      <c r="H26" s="291" t="s">
        <v>395</v>
      </c>
      <c r="I26" s="292" t="s">
        <v>757</v>
      </c>
      <c r="J26" s="293">
        <f ca="1">IF(J5&lt;&gt;0,ROUND(J25*(1-((1+M28)/(1+M26))^M27)/(M26-M28),0),0)</f>
        <v>0</v>
      </c>
      <c r="K26" s="316" t="s">
        <v>758</v>
      </c>
      <c r="L26" s="294" t="s">
        <v>759</v>
      </c>
      <c r="M26" s="304">
        <f ca="1">INDIRECT("'数据-取费表'!I"&amp;$G$1)</f>
        <v>0.02</v>
      </c>
    </row>
    <row r="27" spans="1:37" ht="18" customHeight="1">
      <c r="A27" s="924" t="s">
        <v>399</v>
      </c>
      <c r="B27" s="294" t="s">
        <v>760</v>
      </c>
      <c r="C27" s="21">
        <f ca="1">ROUND(F21*F26,4)</f>
        <v>2E-3</v>
      </c>
      <c r="D27" s="315" t="s">
        <v>761</v>
      </c>
      <c r="E27" s="312"/>
      <c r="F27" s="313"/>
      <c r="G27" s="1288"/>
      <c r="H27" s="296"/>
      <c r="I27" s="297"/>
      <c r="J27" s="298"/>
      <c r="K27" s="323" t="s">
        <v>762</v>
      </c>
      <c r="L27" s="294" t="s">
        <v>763</v>
      </c>
      <c r="M27" s="324">
        <f ca="1">INDIRECT("'数据-取费表'!ag"&amp;$G$1)</f>
        <v>0</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340277</v>
      </c>
      <c r="D29" s="1025"/>
      <c r="E29" s="1023"/>
      <c r="F29" s="1026"/>
      <c r="G29" s="1299"/>
      <c r="H29" s="325" t="s">
        <v>396</v>
      </c>
      <c r="I29" s="326" t="s">
        <v>768</v>
      </c>
      <c r="J29" s="327">
        <f ca="1">ROUND(J26/(1+F40)^F41,0)</f>
        <v>0</v>
      </c>
      <c r="K29" s="328" t="s">
        <v>769</v>
      </c>
      <c r="L29" s="329"/>
      <c r="M29" s="330">
        <f ca="1">INDIRECT("'数据-取费表'!k"&amp;$G$1)</f>
        <v>154.79</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f ca="1">ROUND(C31+C36+C37+C38,0)</f>
        <v>4197</v>
      </c>
      <c r="D30" s="1020" t="s">
        <v>715</v>
      </c>
      <c r="E30" s="1021"/>
      <c r="F30" s="1005"/>
      <c r="G30" s="1288"/>
      <c r="H30" s="2463"/>
      <c r="I30" s="1301"/>
      <c r="J30" s="1302"/>
      <c r="K30" s="121"/>
      <c r="L30" s="2464"/>
      <c r="M30" s="2465"/>
    </row>
    <row r="31" spans="1:37" ht="18" customHeight="1">
      <c r="A31" s="924" t="s">
        <v>398</v>
      </c>
      <c r="B31" s="294" t="s">
        <v>719</v>
      </c>
      <c r="C31" s="2134">
        <f ca="1">ROUND(IF(AND(项目基本情况!B11="自然人",项目基本情况!B10="北京市"),C6*F31/(1+'数据-取费表'!C42),C32+C33+C34),0)</f>
        <v>3077</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f ca="1">IF(项目基本情况!B11="自然人","——",ROUND(C6*F32/(1+'数据-取费表'!C42),0))</f>
        <v>979</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f ca="1">IF(项目基本情况!B11="自然人","——",IF(D33="按租金收入计税",ROUND(C6*F33/(1+'数据-取费表'!C42),0),IF(D33="按房产原值计税",ROUND(C29*F33*0.7,0),INDIRECT("'数据-取费表'!Aj"&amp;$G$1))))</f>
        <v>2098</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f ca="1">IF(项目基本情况!B11="自然人","——",ROUND(F34*F35,0))</f>
        <v>0</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f ca="1">INDIRECT("'数据-取费表'!r"&amp;$G$1)</f>
        <v>0</v>
      </c>
      <c r="G35" s="1288"/>
      <c r="H35" s="2463"/>
      <c r="I35" s="1301"/>
      <c r="J35" s="1302"/>
      <c r="K35" s="2467"/>
      <c r="L35" s="2466"/>
      <c r="M35" s="2466"/>
    </row>
    <row r="36" spans="1:18" ht="18" customHeight="1">
      <c r="A36" s="1035" t="s">
        <v>402</v>
      </c>
      <c r="B36" s="294" t="s">
        <v>738</v>
      </c>
      <c r="C36" s="21">
        <f ca="1">ROUND(C29*F36,0)</f>
        <v>681</v>
      </c>
      <c r="D36" s="1252" t="s">
        <v>771</v>
      </c>
      <c r="E36" s="294" t="s">
        <v>712</v>
      </c>
      <c r="F36" s="320">
        <f ca="1">INDIRECT("'数据-取费表'!Ak"&amp;$G$1)</f>
        <v>2E-3</v>
      </c>
      <c r="G36" s="1288"/>
      <c r="H36" s="2466"/>
      <c r="I36" s="1301"/>
      <c r="J36" s="1302"/>
      <c r="K36" s="2323"/>
      <c r="L36" s="2466"/>
      <c r="M36" s="2466"/>
    </row>
    <row r="37" spans="1:18" ht="18" customHeight="1">
      <c r="A37" s="924" t="s">
        <v>437</v>
      </c>
      <c r="B37" s="294" t="s">
        <v>742</v>
      </c>
      <c r="C37" s="21">
        <f ca="1">ROUND(C13*F37,0)</f>
        <v>255</v>
      </c>
      <c r="D37" s="1252" t="s">
        <v>743</v>
      </c>
      <c r="E37" s="294" t="s">
        <v>712</v>
      </c>
      <c r="F37" s="321">
        <f ca="1">INDIRECT("'数据-取费表'!Al"&amp;$G$1)</f>
        <v>1E-3</v>
      </c>
      <c r="G37" s="1288"/>
      <c r="H37" s="2466"/>
      <c r="I37" s="1301"/>
      <c r="J37" s="1302"/>
      <c r="K37" s="2323"/>
      <c r="L37" s="2466"/>
      <c r="M37" s="2466"/>
    </row>
    <row r="38" spans="1:18" ht="18" customHeight="1" thickBot="1">
      <c r="A38" s="1022" t="s">
        <v>683</v>
      </c>
      <c r="B38" s="1023" t="s">
        <v>728</v>
      </c>
      <c r="C38" s="1024">
        <f ca="1">ROUND(C5*F38,0)</f>
        <v>184</v>
      </c>
      <c r="D38" s="1025" t="s">
        <v>748</v>
      </c>
      <c r="E38" s="1023" t="s">
        <v>712</v>
      </c>
      <c r="F38" s="1019">
        <f ca="1">INDIRECT("'数据-取费表'!Am"&amp;$G$1)</f>
        <v>0.01</v>
      </c>
      <c r="G38" s="1288"/>
      <c r="H38" s="2466"/>
      <c r="I38" s="1301"/>
      <c r="J38" s="1302"/>
      <c r="K38" s="2464"/>
      <c r="L38" s="2466"/>
      <c r="M38" s="2466"/>
    </row>
    <row r="39" spans="1:18" ht="24.6" customHeight="1" thickTop="1">
      <c r="A39" s="1012" t="s">
        <v>394</v>
      </c>
      <c r="B39" s="1027" t="s">
        <v>752</v>
      </c>
      <c r="C39" s="302">
        <f ca="1">C5-C30</f>
        <v>14186</v>
      </c>
      <c r="D39" s="1028" t="s">
        <v>753</v>
      </c>
      <c r="E39" s="1029"/>
      <c r="F39" s="1030"/>
      <c r="G39" s="1288"/>
      <c r="H39" s="2466"/>
      <c r="I39" s="1301"/>
      <c r="J39" s="1302"/>
      <c r="K39" s="2464"/>
      <c r="L39" s="2466"/>
      <c r="M39" s="2466"/>
    </row>
    <row r="40" spans="1:18" ht="18" customHeight="1">
      <c r="A40" s="291" t="s">
        <v>395</v>
      </c>
      <c r="B40" s="292" t="s">
        <v>774</v>
      </c>
      <c r="C40" s="293">
        <f ca="1">ROUND(C39*(1-((1+F42)/(1+F40))^F41)/(F40-F42),0)</f>
        <v>706823</v>
      </c>
      <c r="D40" s="316" t="s">
        <v>758</v>
      </c>
      <c r="E40" s="294" t="s">
        <v>759</v>
      </c>
      <c r="F40" s="304">
        <f ca="1">INDIRECT("'数据-取费表'!I"&amp;$G$1)</f>
        <v>0.02</v>
      </c>
      <c r="G40" s="1288"/>
      <c r="H40" s="1362"/>
      <c r="I40" s="1301"/>
      <c r="J40" s="1302"/>
      <c r="K40" s="2464"/>
      <c r="L40" s="1362"/>
      <c r="M40" s="1362"/>
    </row>
    <row r="41" spans="1:18" ht="18" customHeight="1">
      <c r="A41" s="296"/>
      <c r="B41" s="297"/>
      <c r="C41" s="298"/>
      <c r="D41" s="323" t="s">
        <v>775</v>
      </c>
      <c r="E41" s="294" t="s">
        <v>763</v>
      </c>
      <c r="F41" s="324">
        <f ca="1">IF(INDIRECT("'数据-取费表'!af"&amp;$G$1)=0,INDIRECT("'数据-取费表'!ae"&amp;$G$1),INDIRECT("'数据-取费表'!af"&amp;$G$1))</f>
        <v>70</v>
      </c>
      <c r="G41" s="1288"/>
      <c r="H41" s="121"/>
      <c r="I41" s="1301"/>
      <c r="J41" s="1302"/>
      <c r="K41" s="2323"/>
      <c r="L41" s="121"/>
      <c r="M41" s="121"/>
    </row>
    <row r="42" spans="1:18" ht="18" customHeight="1">
      <c r="A42" s="300"/>
      <c r="B42" s="301"/>
      <c r="C42" s="302"/>
      <c r="D42" s="319"/>
      <c r="E42" s="294" t="s">
        <v>766</v>
      </c>
      <c r="F42" s="304">
        <f ca="1">INDIRECT("'数据-取费表'!v"&amp;$G$1)</f>
        <v>0.01</v>
      </c>
      <c r="G42" s="1288"/>
      <c r="H42" s="121"/>
      <c r="I42" s="1301"/>
      <c r="J42" s="1302"/>
      <c r="K42" s="2323"/>
      <c r="L42" s="121"/>
      <c r="M42" s="121"/>
    </row>
    <row r="43" spans="1:18" ht="18" customHeight="1" thickBot="1">
      <c r="A43" s="325" t="s">
        <v>396</v>
      </c>
      <c r="B43" s="326" t="s">
        <v>776</v>
      </c>
      <c r="C43" s="327">
        <f ca="1">ROUND(C40/F43,0)</f>
        <v>4566</v>
      </c>
      <c r="D43" s="328" t="s">
        <v>777</v>
      </c>
      <c r="E43" s="329" t="s">
        <v>778</v>
      </c>
      <c r="F43" s="330">
        <f ca="1">INDIRECT("'数据-取费表'!k"&amp;$G$1)</f>
        <v>154.79</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f ca="1">ROUND((C68-C40)/10000,4)</f>
        <v>-74.1922</v>
      </c>
      <c r="D45" s="3121" t="s">
        <v>3348</v>
      </c>
      <c r="E45" s="1303"/>
      <c r="F45" s="1303"/>
      <c r="O45" s="1306" t="s">
        <v>808</v>
      </c>
      <c r="P45" s="1362"/>
      <c r="Q45" s="1362"/>
      <c r="R45" s="1362"/>
    </row>
    <row r="46" spans="1:18" s="1288" customFormat="1" ht="13.5" thickBot="1">
      <c r="A46" s="1307" t="s">
        <v>809</v>
      </c>
      <c r="C46" s="1308">
        <f ca="1">ROUND(C45,0)</f>
        <v>-74</v>
      </c>
      <c r="D46" s="1309" t="str">
        <f>C2</f>
        <v>万元</v>
      </c>
      <c r="I46" s="1310" t="s">
        <v>810</v>
      </c>
      <c r="J46" s="1311"/>
      <c r="K46" s="1312"/>
      <c r="L46" s="1313">
        <f>IF(M47="住宅",0,IF(L48&gt;J51,L60,J60))</f>
        <v>0</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f ca="1">INDIRECT("'数据-取费表'!d"&amp;$G$1)</f>
        <v>70</v>
      </c>
      <c r="M47" s="1284" t="str">
        <f>IF(ISNUMBER(FIND("住宅",C1)),"住宅","非住宅")</f>
        <v>住宅</v>
      </c>
      <c r="O47" s="1321" t="s">
        <v>403</v>
      </c>
      <c r="P47" s="1322" t="s">
        <v>817</v>
      </c>
      <c r="Q47" s="1323">
        <f ca="1">C40+J29</f>
        <v>706823</v>
      </c>
      <c r="R47" s="1323" t="s">
        <v>818</v>
      </c>
    </row>
    <row r="48" spans="1:18" s="1288" customFormat="1" ht="28.5" thickBot="1">
      <c r="A48" s="1043" t="s">
        <v>438</v>
      </c>
      <c r="B48" s="292" t="s">
        <v>692</v>
      </c>
      <c r="C48" s="1264">
        <f ca="1">C49+C53+C55</f>
        <v>0</v>
      </c>
      <c r="D48" s="1045"/>
      <c r="E48" s="1046"/>
      <c r="F48" s="904"/>
      <c r="G48" s="681"/>
      <c r="H48" s="682"/>
      <c r="I48" s="1324" t="s">
        <v>819</v>
      </c>
      <c r="J48" s="1325" t="s">
        <v>3448</v>
      </c>
      <c r="K48" s="1326" t="s">
        <v>820</v>
      </c>
      <c r="L48" s="1327">
        <f ca="1">INDIRECT("'数据-取费表'!f"&amp;$G$1)</f>
        <v>70</v>
      </c>
      <c r="O48" s="1321" t="s">
        <v>404</v>
      </c>
      <c r="P48" s="1322" t="s">
        <v>821</v>
      </c>
      <c r="Q48" s="1323" t="str">
        <f ca="1">J60</f>
        <v>0</v>
      </c>
      <c r="R48" s="1323" t="s">
        <v>822</v>
      </c>
    </row>
    <row r="49" spans="1:18" s="1288" customFormat="1" ht="13.5" thickBot="1">
      <c r="A49" s="917" t="s">
        <v>439</v>
      </c>
      <c r="B49" s="1275" t="s">
        <v>779</v>
      </c>
      <c r="C49" s="1047">
        <f ca="1">ROUND(F49*F51*F50*(1-F52),0)</f>
        <v>0</v>
      </c>
      <c r="D49" s="988" t="s">
        <v>695</v>
      </c>
      <c r="E49" s="1276" t="s">
        <v>780</v>
      </c>
      <c r="F49" s="993"/>
      <c r="H49" s="682"/>
      <c r="I49" s="1324" t="s">
        <v>823</v>
      </c>
      <c r="J49" s="1328">
        <v>2022</v>
      </c>
      <c r="K49" s="1326" t="s">
        <v>824</v>
      </c>
      <c r="L49" s="1329"/>
      <c r="O49" s="1330" t="s">
        <v>405</v>
      </c>
      <c r="P49" s="1322" t="s">
        <v>825</v>
      </c>
      <c r="Q49" s="1323">
        <f ca="1">C29</f>
        <v>340277</v>
      </c>
      <c r="R49" s="1323" t="s">
        <v>818</v>
      </c>
    </row>
    <row r="50" spans="1:18" s="1288" customFormat="1" ht="13.5" thickBot="1">
      <c r="A50" s="918"/>
      <c r="B50" s="921"/>
      <c r="C50" s="922"/>
      <c r="D50" s="895"/>
      <c r="E50" s="989" t="s">
        <v>697</v>
      </c>
      <c r="F50" s="990">
        <f ca="1">F7</f>
        <v>1</v>
      </c>
      <c r="H50" s="682"/>
      <c r="I50" s="1324" t="s">
        <v>826</v>
      </c>
      <c r="J50" s="1331">
        <f>SUMPRODUCT((I63:I65=J47)*(J62:L62=J48)*(J63:L65))</f>
        <v>60</v>
      </c>
      <c r="K50" s="1326" t="s">
        <v>827</v>
      </c>
      <c r="L50" s="1329"/>
      <c r="M50" s="1332"/>
      <c r="O50" s="1330" t="s">
        <v>406</v>
      </c>
      <c r="P50" s="1322" t="s">
        <v>828</v>
      </c>
      <c r="Q50" s="1333" t="e">
        <f ca="1">J58</f>
        <v>#VALUE!</v>
      </c>
      <c r="R50" s="1323"/>
    </row>
    <row r="51" spans="1:18" s="1288" customFormat="1" ht="13.5" thickBot="1">
      <c r="A51" s="919"/>
      <c r="B51" s="921"/>
      <c r="C51" s="922"/>
      <c r="D51" s="895"/>
      <c r="E51" s="923" t="s">
        <v>698</v>
      </c>
      <c r="F51" s="295">
        <f ca="1">F8</f>
        <v>12</v>
      </c>
      <c r="I51" s="1334" t="s">
        <v>829</v>
      </c>
      <c r="J51" s="1327">
        <f>IF(J49="",J50,J49+J50-YEAR('数据-取费表'!B2))</f>
        <v>57</v>
      </c>
      <c r="K51" s="1335" t="s">
        <v>830</v>
      </c>
      <c r="L51" s="1336">
        <f ca="1">ROUND(-PV(INDIRECT("'数据-取费表'!h"&amp;$G$1),J51,(C39-C13*C76),0),0)</f>
        <v>61710</v>
      </c>
      <c r="M51" s="1337"/>
      <c r="O51" s="1330" t="s">
        <v>407</v>
      </c>
      <c r="P51" s="1322" t="s">
        <v>831</v>
      </c>
      <c r="Q51" s="1333">
        <f>J52</f>
        <v>0.05</v>
      </c>
      <c r="R51" s="1323"/>
    </row>
    <row r="52" spans="1:18" s="1288" customFormat="1" ht="13.5" thickBot="1">
      <c r="A52" s="919"/>
      <c r="B52" s="921"/>
      <c r="C52" s="922"/>
      <c r="D52" s="895"/>
      <c r="E52" s="923" t="s">
        <v>699</v>
      </c>
      <c r="F52" s="987"/>
      <c r="I52" s="1338" t="s">
        <v>832</v>
      </c>
      <c r="J52" s="1339">
        <f>'数据-取费表'!J6</f>
        <v>0.05</v>
      </c>
      <c r="K52" s="1338" t="s">
        <v>833</v>
      </c>
      <c r="L52" s="1339"/>
      <c r="O52" s="1330" t="s">
        <v>408</v>
      </c>
      <c r="P52" s="1322" t="s">
        <v>834</v>
      </c>
      <c r="Q52" s="1323">
        <f ca="1">J53</f>
        <v>70</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f ca="1">IF(M47="住宅",IF(D1="——",MAX(J51,L48),MAX(J51,L48-'数据-取费表'!B24)),IF(D1="——",MIN(J51,L48),MIN(J51,L48-'数据-取费表'!B24)))</f>
        <v>70</v>
      </c>
      <c r="K53" s="3354" t="s">
        <v>837</v>
      </c>
      <c r="L53" s="3355"/>
      <c r="O53" s="1321" t="s">
        <v>409</v>
      </c>
      <c r="P53" s="1322" t="s">
        <v>838</v>
      </c>
      <c r="Q53" s="1323">
        <f ca="1">Q47+Q48</f>
        <v>706823</v>
      </c>
      <c r="R53" s="1323" t="s">
        <v>410</v>
      </c>
    </row>
    <row r="54" spans="1:18" s="1288" customFormat="1" ht="13.5" thickBot="1">
      <c r="A54" s="917"/>
      <c r="B54" s="1373" t="s">
        <v>891</v>
      </c>
      <c r="C54" s="901"/>
      <c r="D54" s="150"/>
      <c r="E54" s="1278"/>
      <c r="F54" s="1341"/>
      <c r="I54" s="134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#VALUE!</v>
      </c>
      <c r="K55" s="1346" t="s">
        <v>841</v>
      </c>
      <c r="L55" s="1347"/>
      <c r="O55" s="1314" t="s">
        <v>811</v>
      </c>
      <c r="P55" s="1315" t="s">
        <v>812</v>
      </c>
      <c r="Q55" s="1316" t="s">
        <v>813</v>
      </c>
      <c r="R55" s="1316" t="s">
        <v>814</v>
      </c>
    </row>
    <row r="56" spans="1:18" s="1288" customFormat="1" ht="36" customHeight="1" thickTop="1" thickBot="1">
      <c r="A56" s="899">
        <v>2</v>
      </c>
      <c r="B56" s="900" t="s">
        <v>704</v>
      </c>
      <c r="C56" s="224">
        <f ca="1">C13</f>
        <v>255208</v>
      </c>
      <c r="D56" s="1348"/>
      <c r="E56" s="1349"/>
      <c r="F56" s="1341"/>
      <c r="I56" s="1350" t="s">
        <v>842</v>
      </c>
      <c r="J56" s="1351" t="s">
        <v>3449</v>
      </c>
      <c r="K56" s="1324" t="s">
        <v>843</v>
      </c>
      <c r="L56" s="1327">
        <f ca="1">IF(L48&lt;J51,"——",L48-J51)</f>
        <v>13</v>
      </c>
      <c r="O56" s="1321" t="s">
        <v>403</v>
      </c>
      <c r="P56" s="1322" t="s">
        <v>817</v>
      </c>
      <c r="Q56" s="1323">
        <f ca="1">C40+J29</f>
        <v>706823</v>
      </c>
      <c r="R56" s="1323" t="s">
        <v>818</v>
      </c>
    </row>
    <row r="57" spans="1:18" s="1288" customFormat="1" ht="24.75" thickBot="1">
      <c r="A57" s="1352"/>
      <c r="B57" s="892" t="s">
        <v>767</v>
      </c>
      <c r="C57" s="230">
        <f ca="1">C29</f>
        <v>340277</v>
      </c>
      <c r="D57" s="1353"/>
      <c r="E57" s="1354"/>
      <c r="F57" s="1355"/>
      <c r="I57" s="1356" t="s">
        <v>844</v>
      </c>
      <c r="J57" s="1357" t="str">
        <f ca="1">IF(OR(M47="住宅",J51&lt;L48,J56="是"),"——",J51-L48)</f>
        <v>——</v>
      </c>
      <c r="K57" s="1324" t="s">
        <v>892</v>
      </c>
      <c r="L57" s="1327">
        <f ca="1">IF(L48&lt;J51,"——",IF(L55="比较法",L49,IF(L55="基准地价",L50,L51)))</f>
        <v>61710</v>
      </c>
      <c r="O57" s="1321" t="s">
        <v>404</v>
      </c>
      <c r="P57" s="1322" t="s">
        <v>846</v>
      </c>
      <c r="Q57" s="1323">
        <f ca="1">L60</f>
        <v>0</v>
      </c>
      <c r="R57" s="1323" t="s">
        <v>847</v>
      </c>
    </row>
    <row r="58" spans="1:18" s="1288" customFormat="1" ht="24.75" thickBot="1">
      <c r="A58" s="307" t="s">
        <v>393</v>
      </c>
      <c r="B58" s="900" t="s">
        <v>714</v>
      </c>
      <c r="C58" s="308">
        <f ca="1">ROUND(C59+C64+C65+C66,0)</f>
        <v>936</v>
      </c>
      <c r="D58" s="902" t="s">
        <v>715</v>
      </c>
      <c r="E58" s="903"/>
      <c r="F58" s="904"/>
      <c r="I58" s="1356" t="s">
        <v>848</v>
      </c>
      <c r="J58" s="1358" t="e">
        <f ca="1">IF(J55&lt;0.4,0.4,J55)</f>
        <v>#VALUE!</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4">
        <f ca="1">ROUND(IF(AND(项目基本情况!B11="自然人",项目基本情况!B10="北京市"),C49*F59/(1+'数据-取费表'!C42),C60+C61+C62),0)</f>
        <v>0</v>
      </c>
      <c r="D59" s="905" t="s">
        <v>720</v>
      </c>
      <c r="E59" s="906" t="s">
        <v>721</v>
      </c>
      <c r="F59" s="2133" t="str">
        <f>IF(项目基本情况!B11="企业","——",IF('数据-取费表'!B10="住宅",IF(F49*F50*F51/12/(1+'数据-取费表'!F30)&gt;100000,4%,2.5%),IF(F49*F50*F51/12/(1+'数据-取费表'!F30)&gt;100000,12%,7%)))</f>
        <v>——</v>
      </c>
      <c r="I59" s="1356" t="s">
        <v>851</v>
      </c>
      <c r="J59" s="1357" t="str">
        <f ca="1">IF(OR(M47="住宅",J51&lt;L48,J56="是"),"——",ROUND(C29*J58,0))</f>
        <v>——</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IF(项目基本情况!B11="自然人","——",ROUND(C48*F60/(1+'数据-取费表'!C42),0))</f>
        <v>0</v>
      </c>
      <c r="D60" s="906" t="s">
        <v>724</v>
      </c>
      <c r="E60" s="892" t="s">
        <v>712</v>
      </c>
      <c r="F60" s="322">
        <f t="shared" ref="F60:F66" si="0">F32</f>
        <v>5.6000000000000001E-2</v>
      </c>
      <c r="I60" s="1359" t="s">
        <v>853</v>
      </c>
      <c r="J60" s="1360" t="str">
        <f ca="1">IF(OR(M47="住宅",J51&lt;L48,J56="是"),"0",ROUND(J59/(1+J52)^J53,0))</f>
        <v>0</v>
      </c>
      <c r="K60" s="1361" t="s">
        <v>854</v>
      </c>
      <c r="L60" s="1360">
        <f ca="1">IF(OR(M47="住宅",L48&lt;J51),0,ROUND(L57*(L58/L59-1),0))</f>
        <v>0</v>
      </c>
      <c r="O60" s="1330" t="s">
        <v>407</v>
      </c>
      <c r="P60" s="1322" t="s">
        <v>855</v>
      </c>
      <c r="Q60" s="1323" t="e">
        <f ca="1">L58</f>
        <v>#DIV/0!</v>
      </c>
      <c r="R60" s="1323" t="s">
        <v>856</v>
      </c>
    </row>
    <row r="61" spans="1:18" s="1288" customFormat="1" ht="13.5" thickBot="1">
      <c r="A61" s="924" t="s">
        <v>781</v>
      </c>
      <c r="B61" s="892" t="s">
        <v>727</v>
      </c>
      <c r="C61" s="21">
        <f ca="1">IF(项目基本情况!B11="自然人","——",IF(D61="按租金收入计税",ROUND(C49*F61/(1+'数据-取费表'!C42),0),IF(D61="按房产原值计税",ROUND(C57*F61*0.7,0),INDIRECT("'数据-取费表'!Aj"&amp;$G$1))))</f>
        <v>0</v>
      </c>
      <c r="D61" s="1274" t="s">
        <v>3331</v>
      </c>
      <c r="E61" s="892"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730</v>
      </c>
      <c r="C62" s="22">
        <f ca="1">IF(项目基本情况!B11="自然人","——",ROUND(F62*F63,0))</f>
        <v>0</v>
      </c>
      <c r="D62" s="907" t="s">
        <v>731</v>
      </c>
      <c r="E62" s="892" t="s">
        <v>732</v>
      </c>
      <c r="F62" s="317">
        <f t="shared" si="0"/>
        <v>0</v>
      </c>
      <c r="I62" s="1363" t="s">
        <v>858</v>
      </c>
      <c r="J62" s="610" t="s">
        <v>859</v>
      </c>
      <c r="K62" s="610" t="s">
        <v>860</v>
      </c>
      <c r="L62" s="610" t="s">
        <v>861</v>
      </c>
      <c r="M62" s="1364" t="s">
        <v>862</v>
      </c>
      <c r="O62" s="1321" t="s">
        <v>409</v>
      </c>
      <c r="P62" s="1322" t="s">
        <v>838</v>
      </c>
      <c r="Q62" s="1323">
        <f ca="1">Q56+Q57</f>
        <v>706823</v>
      </c>
      <c r="R62" s="1323" t="s">
        <v>410</v>
      </c>
    </row>
    <row r="63" spans="1:18" s="1288" customFormat="1" ht="13.5" thickBot="1">
      <c r="A63" s="318"/>
      <c r="B63" s="898"/>
      <c r="C63" s="26"/>
      <c r="D63" s="908"/>
      <c r="E63" s="892" t="s">
        <v>736</v>
      </c>
      <c r="F63" s="295">
        <f t="shared" ca="1" si="0"/>
        <v>0</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f ca="1">ROUND(C57*F64,0)</f>
        <v>681</v>
      </c>
      <c r="D64" s="906" t="s">
        <v>771</v>
      </c>
      <c r="E64" s="892" t="s">
        <v>712</v>
      </c>
      <c r="F64" s="320">
        <f t="shared" ca="1" si="0"/>
        <v>2E-3</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f ca="1">ROUND(C56*F65,0)</f>
        <v>255</v>
      </c>
      <c r="D65" s="906" t="s">
        <v>743</v>
      </c>
      <c r="E65" s="892" t="s">
        <v>712</v>
      </c>
      <c r="F65" s="321">
        <f t="shared" ca="1" si="0"/>
        <v>1E-3</v>
      </c>
      <c r="I65" s="1363" t="s">
        <v>867</v>
      </c>
      <c r="J65" s="610">
        <v>40</v>
      </c>
      <c r="K65" s="610">
        <v>30</v>
      </c>
      <c r="L65" s="610">
        <v>50</v>
      </c>
      <c r="M65" s="1365">
        <v>0.02</v>
      </c>
      <c r="O65" s="1321" t="s">
        <v>403</v>
      </c>
      <c r="P65" s="1322" t="s">
        <v>817</v>
      </c>
      <c r="Q65" s="1323">
        <f ca="1">C40+J29</f>
        <v>706823</v>
      </c>
      <c r="R65" s="1323" t="s">
        <v>818</v>
      </c>
    </row>
    <row r="66" spans="1:18" s="1288" customFormat="1" ht="16.5" thickBot="1">
      <c r="A66" s="924" t="s">
        <v>793</v>
      </c>
      <c r="B66" s="892" t="s">
        <v>728</v>
      </c>
      <c r="C66" s="21">
        <f ca="1">ROUND(C48*F66,0)</f>
        <v>0</v>
      </c>
      <c r="D66" s="906" t="s">
        <v>748</v>
      </c>
      <c r="E66" s="892" t="s">
        <v>712</v>
      </c>
      <c r="F66" s="304">
        <f t="shared" ca="1" si="0"/>
        <v>0.01</v>
      </c>
      <c r="O66" s="1321" t="s">
        <v>404</v>
      </c>
      <c r="P66" s="1322" t="s">
        <v>846</v>
      </c>
      <c r="Q66" s="1323">
        <f ca="1">L60</f>
        <v>0</v>
      </c>
      <c r="R66" s="1323" t="s">
        <v>869</v>
      </c>
    </row>
    <row r="67" spans="1:18" s="1288" customFormat="1" ht="16.5" thickBot="1">
      <c r="A67" s="899" t="s">
        <v>394</v>
      </c>
      <c r="B67" s="909" t="s">
        <v>752</v>
      </c>
      <c r="C67" s="308">
        <f ca="1">C48-C58</f>
        <v>-936</v>
      </c>
      <c r="D67" s="905" t="s">
        <v>753</v>
      </c>
      <c r="E67" s="910"/>
      <c r="F67" s="911"/>
      <c r="O67" s="1330" t="s">
        <v>405</v>
      </c>
      <c r="P67" s="1322" t="s">
        <v>850</v>
      </c>
      <c r="Q67" s="1366">
        <f ca="1">L51</f>
        <v>61710</v>
      </c>
      <c r="R67" s="1323" t="s">
        <v>870</v>
      </c>
    </row>
    <row r="68" spans="1:18" s="1288" customFormat="1" ht="16.5" thickBot="1">
      <c r="A68" s="889" t="s">
        <v>395</v>
      </c>
      <c r="B68" s="890" t="s">
        <v>774</v>
      </c>
      <c r="C68" s="293">
        <f ca="1">ROUND(C67*(1-((1+F70)/(1+F68))^F69)/(F68-F70),0)</f>
        <v>-35099</v>
      </c>
      <c r="D68" s="907" t="s">
        <v>758</v>
      </c>
      <c r="E68" s="892" t="s">
        <v>759</v>
      </c>
      <c r="F68" s="304">
        <f ca="1">F40</f>
        <v>0.02</v>
      </c>
      <c r="O68" s="1330" t="s">
        <v>406</v>
      </c>
      <c r="P68" s="1367" t="s">
        <v>871</v>
      </c>
      <c r="Q68" s="1323">
        <f ca="1">ROUND(Q69-Q70*Q71,0)</f>
        <v>1426</v>
      </c>
      <c r="R68" s="1323" t="s">
        <v>414</v>
      </c>
    </row>
    <row r="69" spans="1:18" s="1288" customFormat="1" ht="13.5" thickBot="1">
      <c r="A69" s="893"/>
      <c r="B69" s="894"/>
      <c r="C69" s="298"/>
      <c r="D69" s="912" t="s">
        <v>762</v>
      </c>
      <c r="E69" s="892" t="s">
        <v>763</v>
      </c>
      <c r="F69" s="324">
        <f ca="1">F41</f>
        <v>70</v>
      </c>
      <c r="O69" s="1330" t="s">
        <v>411</v>
      </c>
      <c r="P69" s="1367" t="s">
        <v>872</v>
      </c>
      <c r="Q69" s="1323">
        <f ca="1">C39</f>
        <v>14186</v>
      </c>
      <c r="R69" s="1323" t="s">
        <v>818</v>
      </c>
    </row>
    <row r="70" spans="1:18" s="1288" customFormat="1" ht="13.5" thickBot="1">
      <c r="A70" s="896"/>
      <c r="B70" s="897"/>
      <c r="C70" s="302"/>
      <c r="D70" s="908"/>
      <c r="E70" s="892" t="s">
        <v>766</v>
      </c>
      <c r="F70" s="987"/>
      <c r="O70" s="1330" t="s">
        <v>412</v>
      </c>
      <c r="P70" s="1367" t="s">
        <v>873</v>
      </c>
      <c r="Q70" s="1323">
        <f ca="1">C13</f>
        <v>255208</v>
      </c>
      <c r="R70" s="1323" t="s">
        <v>818</v>
      </c>
    </row>
    <row r="71" spans="1:18" s="1288" customFormat="1" ht="13.5" thickBot="1">
      <c r="A71" s="913" t="s">
        <v>396</v>
      </c>
      <c r="B71" s="914" t="s">
        <v>776</v>
      </c>
      <c r="C71" s="327">
        <f ca="1">ROUND(C68/F71,0)</f>
        <v>-227</v>
      </c>
      <c r="D71" s="915" t="s">
        <v>777</v>
      </c>
      <c r="E71" s="916" t="s">
        <v>778</v>
      </c>
      <c r="F71" s="330">
        <f ca="1">F43</f>
        <v>154.79</v>
      </c>
      <c r="O71" s="1330" t="s">
        <v>413</v>
      </c>
      <c r="P71" s="1367" t="s">
        <v>874</v>
      </c>
      <c r="Q71" s="1333">
        <f ca="1">C76</f>
        <v>0.05</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12760</v>
      </c>
      <c r="D75" s="1288"/>
      <c r="E75" s="1288"/>
      <c r="F75" s="1288"/>
      <c r="K75" s="1305"/>
      <c r="L75" s="1288"/>
      <c r="O75" s="1321" t="s">
        <v>409</v>
      </c>
      <c r="P75" s="1322" t="s">
        <v>838</v>
      </c>
      <c r="Q75" s="1323">
        <f ca="1">Q65+Q66</f>
        <v>706823</v>
      </c>
      <c r="R75" s="1323" t="s">
        <v>410</v>
      </c>
    </row>
    <row r="76" spans="1:18">
      <c r="B76" s="333" t="s">
        <v>796</v>
      </c>
      <c r="C76" s="334">
        <f ca="1">INDIRECT("'数据-取费表'!j"&amp;$G$1)</f>
        <v>0.05</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0.10099999999999998</v>
      </c>
    </row>
    <row r="80" spans="1:18">
      <c r="B80" s="331" t="s">
        <v>800</v>
      </c>
      <c r="C80" s="266">
        <f ca="1">ROUND(C75/C39,3)</f>
        <v>0.89900000000000002</v>
      </c>
    </row>
    <row r="81" spans="2:3">
      <c r="B81" s="262" t="s">
        <v>801</v>
      </c>
      <c r="C81" s="230"/>
    </row>
    <row r="82" spans="2:3">
      <c r="B82" s="265" t="s">
        <v>802</v>
      </c>
      <c r="C82" s="267">
        <f ca="1">1-C83</f>
        <v>0.63900000000000001</v>
      </c>
    </row>
    <row r="83" spans="2:3">
      <c r="B83" s="265" t="s">
        <v>803</v>
      </c>
      <c r="C83" s="266">
        <f ca="1">ROUND(C13/C40,3)</f>
        <v>0.36099999999999999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67" priority="3">
      <formula>$F$10="自定义"</formula>
    </cfRule>
  </conditionalFormatting>
  <conditionalFormatting sqref="C54">
    <cfRule type="expression" dxfId="166" priority="1">
      <formula>$F$53="自定义"</formula>
    </cfRule>
  </conditionalFormatting>
  <conditionalFormatting sqref="I55 I60">
    <cfRule type="expression" dxfId="165" priority="5">
      <formula>$J$51&gt;$L$48</formula>
    </cfRule>
  </conditionalFormatting>
  <conditionalFormatting sqref="J11">
    <cfRule type="expression" dxfId="164" priority="2">
      <formula>$M$10="自定义"</formula>
    </cfRule>
  </conditionalFormatting>
  <conditionalFormatting sqref="K55 K60">
    <cfRule type="expression" dxfId="163" priority="4">
      <formula>$L$48&gt;$J$51</formula>
    </cfRule>
  </conditionalFormatting>
  <dataValidations count="9">
    <dataValidation type="list" allowBlank="1" showInputMessage="1" showErrorMessage="1" sqref="D1" xr:uid="{10F55716-4B52-46BA-87D7-2460FE138EAA}">
      <formula1>"在建（套用方法）,土地（套用方法）,——"</formula1>
    </dataValidation>
    <dataValidation type="list" allowBlank="1" showInputMessage="1" showErrorMessage="1" sqref="F10 F53 M10" xr:uid="{86940A11-503E-4FF7-A546-271E9EF15FC0}">
      <formula1>"押一,押二,押三,自定义"</formula1>
    </dataValidation>
    <dataValidation type="list" allowBlank="1" showInputMessage="1" showErrorMessage="1" sqref="K19" xr:uid="{8BC106C1-070F-43FC-9A3A-F6193BDC7187}">
      <formula1>"按租金收入计税,按房产原值计税"</formula1>
    </dataValidation>
    <dataValidation type="list" allowBlank="1" showInputMessage="1" showErrorMessage="1" sqref="D33 D61" xr:uid="{B3D580B1-FB08-4C38-8406-9D48BD447920}">
      <formula1>"按租金收入计税,按房产原值计税,按票据"</formula1>
    </dataValidation>
    <dataValidation type="list" allowBlank="1" showInputMessage="1" showErrorMessage="1" sqref="C1" xr:uid="{17A20CE9-AB4C-406B-893B-2EB8849C9E82}">
      <formula1>项目类型</formula1>
    </dataValidation>
    <dataValidation type="list" allowBlank="1" showInputMessage="1" showErrorMessage="1" sqref="J47" xr:uid="{5B8BC3B1-2DD7-4059-9E87-A7343592F9C8}">
      <formula1>"钢,钢混,砖混"</formula1>
    </dataValidation>
    <dataValidation type="list" allowBlank="1" showInputMessage="1" showErrorMessage="1" sqref="J48" xr:uid="{8A2274DA-CDB9-475C-89C4-3AC3A3BE5155}">
      <formula1>"非生产用房,生产用房,受腐蚀的生产用房"</formula1>
    </dataValidation>
    <dataValidation type="list" allowBlank="1" showInputMessage="1" showErrorMessage="1" sqref="J56" xr:uid="{E3BDCC42-8EBA-473C-AF45-326E7EC73A65}">
      <formula1>估价范围判定</formula1>
    </dataValidation>
    <dataValidation type="list" allowBlank="1" showInputMessage="1" showErrorMessage="1" sqref="L55" xr:uid="{16C063B9-1FA4-4891-B332-577DE75464EB}">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50485-106C-4025-832D-B241FA4DB40C}">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3437</v>
      </c>
      <c r="C1" s="190"/>
      <c r="D1" s="190"/>
      <c r="E1" s="190"/>
      <c r="F1" s="190"/>
      <c r="G1" s="1058" t="e">
        <f>MATCH(B1,'数据-取费表'!A6:A16,0)+5</f>
        <v>#N/A</v>
      </c>
    </row>
    <row r="2" spans="1:9" s="192" customFormat="1" ht="18" customHeight="1">
      <c r="A2" s="193" t="s">
        <v>685</v>
      </c>
      <c r="B2" s="194" t="e">
        <f ca="1">IF(D2="——",C52,C52-E2)</f>
        <v>#DIV/0!</v>
      </c>
      <c r="C2" s="191" t="s">
        <v>1463</v>
      </c>
      <c r="D2" s="1707" t="s">
        <v>43</v>
      </c>
      <c r="E2" s="1085" t="e">
        <f ca="1">SUMIF(INDIRECT("'"&amp;G2&amp;"'"&amp;"!A:A"),"承租人权益价值",INDIRECT("'"&amp;G2&amp;"'"&amp;"!c:c"))</f>
        <v>#REF!</v>
      </c>
      <c r="F2" s="1708" t="s">
        <v>1463</v>
      </c>
      <c r="G2" s="1709"/>
    </row>
    <row r="3" spans="1:9" s="192" customFormat="1" ht="18" customHeight="1" thickBot="1">
      <c r="A3" s="195" t="s">
        <v>686</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t="e">
        <f ca="1">C6+C7+C8</f>
        <v>#DIV/0!</v>
      </c>
      <c r="D5" s="203" t="s">
        <v>1469</v>
      </c>
      <c r="E5" s="204" t="s">
        <v>1470</v>
      </c>
      <c r="F5" s="204" t="s">
        <v>1471</v>
      </c>
      <c r="G5" s="205"/>
    </row>
    <row r="6" spans="1:9" s="206" customFormat="1" ht="13.5" customHeight="1">
      <c r="A6" s="728" t="s">
        <v>346</v>
      </c>
      <c r="B6" s="207" t="s">
        <v>1473</v>
      </c>
      <c r="C6" s="208" t="e">
        <f>ROUND('基准地价修正-商业'!I37/10000,0)</f>
        <v>#DIV/0!</v>
      </c>
      <c r="D6" s="209"/>
      <c r="E6" s="210"/>
      <c r="F6" s="210"/>
      <c r="G6" s="211"/>
    </row>
    <row r="7" spans="1:9" s="206" customFormat="1" ht="13.5" customHeight="1">
      <c r="A7" s="728" t="s">
        <v>347</v>
      </c>
      <c r="B7" s="207" t="s">
        <v>1475</v>
      </c>
      <c r="C7" s="212" t="e">
        <f>ROUND(C6*F7,0)</f>
        <v>#DIV/0!</v>
      </c>
      <c r="D7" s="212"/>
      <c r="E7" s="210"/>
      <c r="F7" s="213">
        <f>IF(项目基本情况!B8="出让",0,'数据-取费表'!B48+'数据-取费表'!B49)</f>
        <v>3.0499999999999999E-2</v>
      </c>
      <c r="G7" s="211"/>
    </row>
    <row r="8" spans="1:9" s="215" customFormat="1">
      <c r="A8" s="728" t="s">
        <v>348</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#DIV/0!</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1038" t="e">
        <f ca="1">ROUND(IF('数据-取费表'!B22&lt;=1,C5*F22*'数据-取费表'!B23,C5*(POWER((1+F22),'数据-取费表'!B23)-1)),0)</f>
        <v>#DIV/0!</v>
      </c>
      <c r="D23" s="230"/>
      <c r="E23" s="230"/>
      <c r="F23" s="231"/>
      <c r="G23" s="232" t="s">
        <v>1504</v>
      </c>
    </row>
    <row r="24" spans="1:7" s="206" customFormat="1" ht="13.5" customHeight="1">
      <c r="A24" s="730" t="s">
        <v>347</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348</v>
      </c>
      <c r="B25" s="207" t="s">
        <v>1509</v>
      </c>
      <c r="C25" s="1038" t="e">
        <f ca="1">ROUND(IF('数据-取费表'!B22&lt;=1,C20*F22*'数据-取费表'!B23/2,C20*(POWER((1+F22),'数据-取费表'!B23/2)-1)),0)</f>
        <v>#DIV/0!</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#DIV/0!</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ROUND(IF('数据-取费表'!B22&lt;=1,C33*F22*'数据-取费表'!B21/2,C33*(POWER((1+F22),'数据-取费表'!B21/2)-1)),0)</f>
        <v>#N/A</v>
      </c>
      <c r="D42" s="230"/>
      <c r="E42" s="230"/>
      <c r="F42" s="231"/>
      <c r="G42" s="3348" t="s">
        <v>1544</v>
      </c>
    </row>
    <row r="43" spans="1:7" ht="13.5" customHeight="1">
      <c r="A43" s="730" t="s">
        <v>347</v>
      </c>
      <c r="B43" s="207" t="s">
        <v>1506</v>
      </c>
      <c r="C43" s="230" t="e">
        <f ca="1">ROUND(IF('数据-取费表'!B22&lt;=1,C39*F22*'数据-取费表'!B21/2,C39*(POWER((1+F22),'数据-取费表'!B21/2)-1)),0)</f>
        <v>#N/A</v>
      </c>
      <c r="D43" s="230"/>
      <c r="E43" s="230"/>
      <c r="F43" s="231"/>
      <c r="G43" s="3349"/>
    </row>
    <row r="44" spans="1:7" ht="13.5" customHeight="1">
      <c r="A44" s="730" t="s">
        <v>348</v>
      </c>
      <c r="B44" s="207" t="s">
        <v>1509</v>
      </c>
      <c r="C44" s="230">
        <f ca="1">ROUND(IF('数据-取费表'!B22&lt;=1,C40*F22*'数据-取费表'!B21/2,C40*(POWER((1+F22),'数据-取费表'!B21/2)-1)),4)</f>
        <v>5.9999999999999995E-4</v>
      </c>
      <c r="D44" s="230"/>
      <c r="E44" s="230"/>
      <c r="F44" s="231"/>
      <c r="G44" s="3350"/>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A9B13360-1FE6-46D5-9882-EE7CC2DCAB7A}">
      <formula1>"已包含在土地购买价格中,未包含在土地购买价格中"</formula1>
    </dataValidation>
    <dataValidation type="list" allowBlank="1" showInputMessage="1" showErrorMessage="1" sqref="G19" xr:uid="{D7D610B1-FDD0-4E82-AB91-262E7F86D022}">
      <formula1>"已包含在土地取得成本中,未包含在土地取得成本中"</formula1>
    </dataValidation>
    <dataValidation type="list" allowBlank="1" showInputMessage="1" showErrorMessage="1" sqref="B1" xr:uid="{66DAB6CF-84F3-41AD-8C8A-8EF8EE928C16}">
      <formula1>项目类型</formula1>
    </dataValidation>
    <dataValidation type="list" allowBlank="1" showInputMessage="1" showErrorMessage="1" sqref="G9" xr:uid="{473E1BAE-9968-437B-8595-00690C26F5E7}">
      <formula1>"部分缴纳,全部缴纳"</formula1>
    </dataValidation>
    <dataValidation type="list" allowBlank="1" showInputMessage="1" showErrorMessage="1" sqref="G2" xr:uid="{84EAC7A9-A88F-4133-BED6-E79052EF92BA}">
      <formula1>估价方法</formula1>
    </dataValidation>
    <dataValidation type="list" allowBlank="1" showInputMessage="1" showErrorMessage="1" sqref="D2" xr:uid="{094062A7-EADE-45A4-83DB-81C07D52818B}">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CD1BB-5519-4DA0-834D-97ED1247FA4E}">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3437</v>
      </c>
      <c r="C1" s="1713" t="s">
        <v>1563</v>
      </c>
      <c r="D1" s="190"/>
      <c r="E1" s="190"/>
      <c r="F1" s="190"/>
      <c r="G1" s="1058" t="e">
        <f>MATCH(B1,'数据-取费表'!A6:A16,0)+5</f>
        <v>#N/A</v>
      </c>
      <c r="H1" s="994" t="str">
        <f>IF(ISERROR(FIND("住宅",B1)),"非住宅","住宅")</f>
        <v>非住宅</v>
      </c>
    </row>
    <row r="2" spans="1:8" s="192" customFormat="1" ht="18" customHeight="1">
      <c r="A2" s="193" t="s">
        <v>685</v>
      </c>
      <c r="B2" s="3114" t="e">
        <f ca="1">ROUND(IF(D2="——",C52/10000,C52/10000-E2),4)</f>
        <v>#DIV/0!</v>
      </c>
      <c r="C2" s="191" t="s">
        <v>1463</v>
      </c>
      <c r="D2" s="1707" t="s">
        <v>43</v>
      </c>
      <c r="E2" s="1085" t="e">
        <f ca="1">SUMIF(INDIRECT("'"&amp;G2&amp;"'"&amp;"!A:A"),"承租人权益价值",INDIRECT("'"&amp;G2&amp;"'"&amp;"!c:c"))</f>
        <v>#REF!</v>
      </c>
      <c r="F2" s="1708" t="s">
        <v>1463</v>
      </c>
      <c r="G2" s="1709"/>
    </row>
    <row r="3" spans="1:8" s="192" customFormat="1" ht="18" customHeight="1" thickBot="1">
      <c r="A3" s="195" t="s">
        <v>686</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#DIV/0!</v>
      </c>
      <c r="D5" s="203" t="s">
        <v>1469</v>
      </c>
      <c r="E5" s="204" t="s">
        <v>1470</v>
      </c>
      <c r="F5" s="204" t="s">
        <v>1471</v>
      </c>
      <c r="G5" s="205"/>
    </row>
    <row r="6" spans="1:8" s="206" customFormat="1" ht="13.5" customHeight="1">
      <c r="A6" s="728" t="s">
        <v>346</v>
      </c>
      <c r="B6" s="207" t="s">
        <v>1473</v>
      </c>
      <c r="C6" s="208" t="e">
        <f>'基准地价修正-商业'!I37</f>
        <v>#DIV/0!</v>
      </c>
      <c r="D6" s="209"/>
      <c r="E6" s="210"/>
      <c r="F6" s="210"/>
      <c r="G6" s="211"/>
    </row>
    <row r="7" spans="1:8" s="206" customFormat="1" ht="13.5" customHeight="1">
      <c r="A7" s="728" t="s">
        <v>347</v>
      </c>
      <c r="B7" s="207" t="s">
        <v>1475</v>
      </c>
      <c r="C7" s="212" t="e">
        <f>ROUND(C6*F7,0)</f>
        <v>#DIV/0!</v>
      </c>
      <c r="D7" s="212"/>
      <c r="E7" s="210"/>
      <c r="F7" s="213">
        <f>IF(项目基本情况!B8="出让",0,'数据-取费表'!B48+'数据-取费表'!B49)</f>
        <v>3.0499999999999999E-2</v>
      </c>
      <c r="G7" s="211"/>
    </row>
    <row r="8" spans="1:8" s="215" customFormat="1">
      <c r="A8" s="728" t="s">
        <v>348</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120</v>
      </c>
      <c r="F19" s="223"/>
      <c r="G19" s="1710" t="s">
        <v>3435</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#DIV/0!</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230" t="e">
        <f ca="1">ROUND(IF('数据-取费表'!B22&lt;=1,C5*F22*'数据-取费表'!B22,C5*(POWER((1+F22),'数据-取费表'!B22)-1)),0)</f>
        <v>#DIV/0!</v>
      </c>
      <c r="D23" s="230"/>
      <c r="E23" s="230"/>
      <c r="F23" s="231"/>
      <c r="G23" s="232" t="s">
        <v>1504</v>
      </c>
    </row>
    <row r="24" spans="1:7" s="206" customFormat="1" ht="13.5" customHeight="1">
      <c r="A24" s="730"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0" t="s">
        <v>348</v>
      </c>
      <c r="B25" s="207" t="s">
        <v>1509</v>
      </c>
      <c r="C25" s="230" t="e">
        <f ca="1">ROUND(IF('数据-取费表'!B22&lt;=1,C20*F22*'数据-取费表'!B22/2,C20*(POWER((1+F22),'数据-取费表'!B22/2)-1)),0)</f>
        <v>#DIV/0!</v>
      </c>
      <c r="D25" s="230"/>
      <c r="E25" s="233"/>
      <c r="F25" s="231"/>
      <c r="G25" s="234" t="s">
        <v>1510</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ROUND((C5+C19+C20)*F27,0)</f>
        <v>#DIV/0!</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ROUND(IF('数据-取费表'!B22&lt;=1,C33*F22*'数据-取费表'!B20/2,C33*(POWER((1+F22),'数据-取费表'!B20/2)-1)),0)</f>
        <v>#N/A</v>
      </c>
      <c r="D42" s="230"/>
      <c r="E42" s="230"/>
      <c r="F42" s="231"/>
      <c r="G42" s="3348" t="s">
        <v>1591</v>
      </c>
    </row>
    <row r="43" spans="1:7" ht="13.5" customHeight="1">
      <c r="A43" s="730" t="s">
        <v>347</v>
      </c>
      <c r="B43" s="207" t="s">
        <v>1506</v>
      </c>
      <c r="C43" s="230" t="e">
        <f ca="1">ROUND(IF('数据-取费表'!B22&lt;=1,C39*F22*'数据-取费表'!B20/2,C39*(POWER((1+F22),'数据-取费表'!B20/2)-1)),0)</f>
        <v>#N/A</v>
      </c>
      <c r="D43" s="230"/>
      <c r="E43" s="230"/>
      <c r="F43" s="231"/>
      <c r="G43" s="3349"/>
    </row>
    <row r="44" spans="1:7" ht="13.5" customHeight="1">
      <c r="A44" s="730" t="s">
        <v>348</v>
      </c>
      <c r="B44" s="207" t="s">
        <v>1509</v>
      </c>
      <c r="C44" s="230">
        <f ca="1">ROUND(IF('数据-取费表'!B22&lt;=1,C40*F22*'数据-取费表'!B20/2,C40*(POWER((1+F22),'数据-取费表'!B20/2)-1)),4)</f>
        <v>5.9999999999999995E-4</v>
      </c>
      <c r="D44" s="230"/>
      <c r="E44" s="230"/>
      <c r="F44" s="231"/>
      <c r="G44" s="3350"/>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CEE4C1A2-0A5E-4B04-939E-595DA36915AE}">
      <formula1>"需扣减承租人权益,——"</formula1>
    </dataValidation>
    <dataValidation type="list" allowBlank="1" showInputMessage="1" showErrorMessage="1" sqref="G2" xr:uid="{93DDF2A9-3A22-4713-A0C6-FA367F45A658}">
      <formula1>估价方法</formula1>
    </dataValidation>
    <dataValidation type="list" allowBlank="1" showInputMessage="1" showErrorMessage="1" sqref="B1" xr:uid="{12928049-92D3-45AB-BB2E-B6567F93FF45}">
      <formula1>项目类型</formula1>
    </dataValidation>
    <dataValidation type="list" allowBlank="1" showInputMessage="1" showErrorMessage="1" sqref="G19" xr:uid="{49B9028F-2653-4F38-A359-3A262C6D391B}">
      <formula1>"已包含在土地取得成本中,未包含在土地取得成本中"</formula1>
    </dataValidation>
    <dataValidation type="list" allowBlank="1" showInputMessage="1" showErrorMessage="1" sqref="G8" xr:uid="{5BDB84AD-69A5-4796-A9B9-C9698BB38E14}">
      <formula1>"已包含在土地购买价格中,未包含在土地购买价格中"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62E07-4DEB-4E42-BD4A-743BD640584B}">
  <sheetPr>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3437</v>
      </c>
      <c r="D1" s="1267" t="s">
        <v>43</v>
      </c>
      <c r="E1" s="1268" t="s">
        <v>678</v>
      </c>
      <c r="F1" s="995" t="e">
        <f ca="1">J53</f>
        <v>#N/A</v>
      </c>
      <c r="G1" s="1282"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t="e">
        <f ca="1">ROUND(D2/10000,4)</f>
        <v>#N/A</v>
      </c>
      <c r="C2" s="1285" t="s">
        <v>805</v>
      </c>
      <c r="D2" s="1371" t="e">
        <f ca="1">C40+J29+L46</f>
        <v>#N/A</v>
      </c>
      <c r="E2" s="1291" t="s">
        <v>880</v>
      </c>
      <c r="F2" s="1292"/>
      <c r="G2" s="2471"/>
      <c r="H2" s="2461"/>
      <c r="I2" s="2461"/>
      <c r="J2" s="2461"/>
      <c r="K2" s="2462"/>
      <c r="L2" s="2461"/>
      <c r="M2" s="2461"/>
    </row>
    <row r="3" spans="1:37" ht="18" customHeight="1" thickBot="1">
      <c r="A3" s="1293" t="s">
        <v>806</v>
      </c>
      <c r="B3" s="1294">
        <f ca="1">IF(ISERROR(D2/F43),0,ROUND(D2/F43,0))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t="e">
        <f ca="1">C6+C10+C12</f>
        <v>#N/A</v>
      </c>
      <c r="D5" s="1269" t="s">
        <v>693</v>
      </c>
      <c r="E5" s="1004"/>
      <c r="F5" s="1005"/>
      <c r="G5" s="1288"/>
      <c r="H5" s="291">
        <v>1</v>
      </c>
      <c r="I5" s="292" t="s">
        <v>692</v>
      </c>
      <c r="J5" s="1003" t="e">
        <f ca="1">J6+J10+J12</f>
        <v>#N/A</v>
      </c>
      <c r="K5" s="1269" t="s">
        <v>693</v>
      </c>
      <c r="L5" s="1004"/>
      <c r="M5" s="1005"/>
    </row>
    <row r="6" spans="1:37" ht="18" customHeight="1">
      <c r="A6" s="1002" t="s">
        <v>398</v>
      </c>
      <c r="B6" s="3351" t="s">
        <v>694</v>
      </c>
      <c r="C6" s="1007" t="e">
        <f ca="1">ROUND(F6*F8*F7*(1-F9),0)</f>
        <v>#N/A</v>
      </c>
      <c r="D6" s="147" t="s">
        <v>2106</v>
      </c>
      <c r="E6" s="294" t="s">
        <v>696</v>
      </c>
      <c r="F6" s="295" t="e">
        <f ca="1">INDIRECT("'数据-取费表'!u"&amp;$G$1)</f>
        <v>#N/A</v>
      </c>
      <c r="G6" s="1288"/>
      <c r="H6" s="1002" t="s">
        <v>398</v>
      </c>
      <c r="I6" s="3351" t="s">
        <v>694</v>
      </c>
      <c r="J6" s="293" t="e">
        <f ca="1">ROUND(M6*M8*M7*(1-M9),0)</f>
        <v>#N/A</v>
      </c>
      <c r="K6" s="1280" t="s">
        <v>2107</v>
      </c>
      <c r="L6" s="294" t="s">
        <v>696</v>
      </c>
      <c r="M6" s="295" t="e">
        <f ca="1">INDIRECT("'数据-取费表'!z"&amp;$G$1)</f>
        <v>#N/A</v>
      </c>
    </row>
    <row r="7" spans="1:37" ht="18" customHeight="1">
      <c r="A7" s="1006"/>
      <c r="B7" s="3352"/>
      <c r="C7" s="1008"/>
      <c r="D7" s="299"/>
      <c r="E7" s="1009" t="s">
        <v>697</v>
      </c>
      <c r="F7" s="295" t="e">
        <f ca="1">IF(INDIRECT("'数据-取费表'!ah"&amp;$G$1)="",INDIRECT("'数据-取费表'!k"&amp;$G$1),INDIRECT("'数据-取费表'!ah"&amp;$G$1))</f>
        <v>#N/A</v>
      </c>
      <c r="G7" s="1288"/>
      <c r="H7" s="296"/>
      <c r="I7" s="3352"/>
      <c r="J7" s="298"/>
      <c r="K7" s="299"/>
      <c r="L7" s="294" t="s">
        <v>697</v>
      </c>
      <c r="M7" s="295" t="e">
        <f ca="1">F7</f>
        <v>#N/A</v>
      </c>
    </row>
    <row r="8" spans="1:37" ht="18" customHeight="1">
      <c r="A8" s="296"/>
      <c r="B8" s="3352"/>
      <c r="C8" s="298"/>
      <c r="D8" s="299"/>
      <c r="E8" s="294" t="s">
        <v>698</v>
      </c>
      <c r="F8" s="295" t="e">
        <f ca="1">INDIRECT("'数据-取费表'!ai"&amp;$G$1)</f>
        <v>#N/A</v>
      </c>
      <c r="G8" s="1288"/>
      <c r="H8" s="296"/>
      <c r="I8" s="3352"/>
      <c r="J8" s="298"/>
      <c r="K8" s="299"/>
      <c r="L8" s="294" t="s">
        <v>698</v>
      </c>
      <c r="M8" s="295" t="e">
        <f ca="1">INDIRECT("'数据-取费表'!ai"&amp;$G$1)</f>
        <v>#N/A</v>
      </c>
    </row>
    <row r="9" spans="1:37" ht="18" customHeight="1">
      <c r="A9" s="296"/>
      <c r="B9" s="3353"/>
      <c r="C9" s="298"/>
      <c r="D9" s="299"/>
      <c r="E9" s="294" t="s">
        <v>699</v>
      </c>
      <c r="F9" s="304" t="e">
        <f ca="1">INDIRECT("'数据-取费表'!w"&amp;$G$1)</f>
        <v>#N/A</v>
      </c>
      <c r="G9" s="1288"/>
      <c r="H9" s="296"/>
      <c r="I9" s="3353"/>
      <c r="J9" s="298"/>
      <c r="K9" s="299"/>
      <c r="L9" s="305" t="s">
        <v>699</v>
      </c>
      <c r="M9" s="306" t="e">
        <f ca="1">INDIRECT("'数据-取费表'!ab"&amp;$G$1)</f>
        <v>#N/A</v>
      </c>
    </row>
    <row r="10" spans="1:37" ht="18" customHeight="1">
      <c r="A10" s="1002" t="s">
        <v>402</v>
      </c>
      <c r="B10" s="1270" t="s">
        <v>700</v>
      </c>
      <c r="C10" s="308" t="e">
        <f ca="1">ROUND(IF(F10="押一",C6/12*F11,IF(F10="押二",C6/12*2*F11,IF(F10="押三",C6/12*3*F11,C11*F11))),0)</f>
        <v>#N/A</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t="e">
        <f ca="1">ROUND(C29*F13,0)</f>
        <v>#N/A</v>
      </c>
      <c r="D13" s="1014" t="s">
        <v>705</v>
      </c>
      <c r="E13" s="1014" t="s">
        <v>706</v>
      </c>
      <c r="F13" s="1015" t="e">
        <f ca="1">INDIRECT("'数据-取费表'!y"&amp;$G$1)</f>
        <v>#N/A</v>
      </c>
      <c r="G13" s="1288"/>
      <c r="H13" s="1012">
        <v>2</v>
      </c>
      <c r="I13" s="1013" t="s">
        <v>704</v>
      </c>
      <c r="J13" s="1001" t="e">
        <f ca="1">ROUND(J14*J15,0)</f>
        <v>#N/A</v>
      </c>
      <c r="K13" s="1020" t="s">
        <v>705</v>
      </c>
      <c r="L13" s="1295"/>
      <c r="M13" s="1296"/>
    </row>
    <row r="14" spans="1:37" ht="18" customHeight="1">
      <c r="A14" s="924" t="s">
        <v>397</v>
      </c>
      <c r="B14" s="294" t="s">
        <v>707</v>
      </c>
      <c r="C14" s="310" t="e">
        <f ca="1">ROUND(INDIRECT("'数据-取费表'!l"&amp;$G$1)*F43+'数据-取费表'!L14*INDIRECT("'数据-取费表'!S"&amp;$G$1),0)</f>
        <v>#N/A</v>
      </c>
      <c r="D14" s="1253" t="s">
        <v>708</v>
      </c>
      <c r="E14" s="1251"/>
      <c r="F14" s="311"/>
      <c r="G14" s="1288"/>
      <c r="H14" s="924" t="s">
        <v>398</v>
      </c>
      <c r="I14" s="294" t="s">
        <v>709</v>
      </c>
      <c r="J14" s="21" t="e">
        <f ca="1">C29</f>
        <v>#N/A</v>
      </c>
      <c r="K14" s="12"/>
      <c r="L14" s="755"/>
      <c r="M14" s="756"/>
    </row>
    <row r="15" spans="1:37" s="1300" customFormat="1" ht="18" customHeight="1" thickBot="1">
      <c r="A15" s="924" t="s">
        <v>399</v>
      </c>
      <c r="B15" s="294" t="s">
        <v>710</v>
      </c>
      <c r="C15" s="21" t="e">
        <f ca="1">ROUND(C14*F15,0)</f>
        <v>#N/A</v>
      </c>
      <c r="D15" s="312" t="s">
        <v>711</v>
      </c>
      <c r="E15" s="312" t="s">
        <v>712</v>
      </c>
      <c r="F15" s="313">
        <f>'数据-取费表'!B33</f>
        <v>0.03</v>
      </c>
      <c r="G15" s="1299"/>
      <c r="H15" s="1022" t="s">
        <v>402</v>
      </c>
      <c r="I15" s="1023" t="s">
        <v>706</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t="e">
        <f ca="1">ROUND(INDIRECT("'数据-取费表'!l"&amp;$G$1)*F43*F16,0)</f>
        <v>#N/A</v>
      </c>
      <c r="D16" s="294" t="s">
        <v>711</v>
      </c>
      <c r="E16" s="294" t="s">
        <v>712</v>
      </c>
      <c r="F16" s="314" t="e">
        <f ca="1">IF(INDIRECT("'数据-取费表'!c"&amp;$G$1)="住宅",'数据-取费表'!B34,0)</f>
        <v>#N/A</v>
      </c>
      <c r="G16" s="1288"/>
      <c r="H16" s="1012" t="s">
        <v>393</v>
      </c>
      <c r="I16" s="1013" t="s">
        <v>714</v>
      </c>
      <c r="J16" s="302" t="e">
        <f ca="1">ROUND(J17+J22+J23+J24,0)</f>
        <v>#N/A</v>
      </c>
      <c r="K16" s="1020" t="s">
        <v>715</v>
      </c>
      <c r="L16" s="1021"/>
      <c r="M16" s="1005"/>
    </row>
    <row r="17" spans="1:37" s="1300" customFormat="1" ht="18" customHeight="1">
      <c r="A17" s="924" t="s">
        <v>681</v>
      </c>
      <c r="B17" s="294" t="s">
        <v>716</v>
      </c>
      <c r="C17" s="21" t="e">
        <f ca="1">ROUND(F17*(F43+INDIRECT("'数据-取费表'!S"&amp;$G$1)),0)</f>
        <v>#N/A</v>
      </c>
      <c r="D17" s="294" t="s">
        <v>717</v>
      </c>
      <c r="E17" s="294" t="s">
        <v>718</v>
      </c>
      <c r="F17" s="23">
        <f>'数据-取费表'!B35</f>
        <v>120</v>
      </c>
      <c r="G17" s="1299"/>
      <c r="H17" s="924" t="s">
        <v>398</v>
      </c>
      <c r="I17" s="294" t="s">
        <v>719</v>
      </c>
      <c r="J17" s="2134" t="e">
        <f ca="1">ROUND(IF(AND(项目基本情况!B11="自然人",项目基本情况!B10="北京市"),J6*M17/(1+'数据-取费表'!C42),J18+J19+J20),0)</f>
        <v>#N/A</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t="e">
        <f ca="1">ROUND(C14*F18,0)</f>
        <v>#N/A</v>
      </c>
      <c r="D18" s="294" t="s">
        <v>711</v>
      </c>
      <c r="E18" s="294" t="s">
        <v>712</v>
      </c>
      <c r="F18" s="314">
        <f>'数据-取费表'!B36</f>
        <v>1.4999999999999999E-2</v>
      </c>
      <c r="G18" s="1299"/>
      <c r="H18" s="924" t="s">
        <v>397</v>
      </c>
      <c r="I18" s="294" t="s">
        <v>723</v>
      </c>
      <c r="J18" s="21" t="e">
        <f ca="1">ROUND(J6*M18/(1+'数据-取费表'!C42),0)</f>
        <v>#N/A</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t="e">
        <f ca="1">SUM(C14:C18)</f>
        <v>#N/A</v>
      </c>
      <c r="D19" s="123" t="s">
        <v>726</v>
      </c>
      <c r="E19" s="1265"/>
      <c r="F19" s="23"/>
      <c r="G19" s="1288"/>
      <c r="H19" s="924" t="s">
        <v>399</v>
      </c>
      <c r="I19" s="294" t="s">
        <v>727</v>
      </c>
      <c r="J19" s="21" t="e">
        <f ca="1">IF(K19="按租金收入计税",ROUND(J6*M19/(1+'数据-取费表'!C42),0),ROUND(C29*M19*0.7,0))</f>
        <v>#N/A</v>
      </c>
      <c r="K19" s="1274" t="s">
        <v>3331</v>
      </c>
      <c r="L19" s="294" t="s">
        <v>712</v>
      </c>
      <c r="M19" s="314">
        <f>IF(K19="按租金收入计税",'数据-取费表'!B51,'数据-取费表'!B50)</f>
        <v>0.12</v>
      </c>
    </row>
    <row r="20" spans="1:37" s="1300" customFormat="1" ht="18" customHeight="1">
      <c r="A20" s="924" t="s">
        <v>402</v>
      </c>
      <c r="B20" s="294" t="s">
        <v>728</v>
      </c>
      <c r="C20" s="21" t="e">
        <f ca="1">ROUND(C19*F20,0)</f>
        <v>#N/A</v>
      </c>
      <c r="D20" s="315" t="s">
        <v>729</v>
      </c>
      <c r="E20" s="294" t="s">
        <v>712</v>
      </c>
      <c r="F20" s="314">
        <f>'数据-取费表'!B37</f>
        <v>0.02</v>
      </c>
      <c r="G20" s="1299"/>
      <c r="H20" s="924" t="s">
        <v>680</v>
      </c>
      <c r="I20" s="147" t="s">
        <v>730</v>
      </c>
      <c r="J20" s="22" t="e">
        <f ca="1">ROUND(M20*M21,0)</f>
        <v>#N/A</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t="e">
        <f ca="1">ROUND(J14*M22,0)</f>
        <v>#N/A</v>
      </c>
      <c r="K22" s="1252" t="s">
        <v>739</v>
      </c>
      <c r="L22" s="294" t="s">
        <v>712</v>
      </c>
      <c r="M22" s="320" t="e">
        <f ca="1">INDIRECT("'数据-取费表'!Ak"&amp;$G$1)</f>
        <v>#N/A</v>
      </c>
    </row>
    <row r="23" spans="1:37" s="1300" customFormat="1" ht="18" customHeight="1">
      <c r="A23" s="924"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t="e">
        <f ca="1">ROUND(J13*M23,0)</f>
        <v>#N/A</v>
      </c>
      <c r="K23" s="1252" t="s">
        <v>743</v>
      </c>
      <c r="L23" s="294" t="s">
        <v>712</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t="e">
        <f ca="1">ROUND(J5*M24,0)</f>
        <v>#N/A</v>
      </c>
      <c r="K24" s="1025" t="s">
        <v>748</v>
      </c>
      <c r="L24" s="1023" t="s">
        <v>712</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t="e">
        <f ca="1">J5-J16</f>
        <v>#N/A</v>
      </c>
      <c r="K25" s="1028" t="s">
        <v>753</v>
      </c>
      <c r="L25" s="1029"/>
      <c r="M25" s="1030"/>
    </row>
    <row r="26" spans="1:37" ht="18" customHeight="1">
      <c r="A26" s="924" t="s">
        <v>397</v>
      </c>
      <c r="B26" s="294" t="s">
        <v>754</v>
      </c>
      <c r="C26" s="21" t="e">
        <f ca="1">ROUND((C19+C20)*F26,0)</f>
        <v>#N/A</v>
      </c>
      <c r="D26" s="315" t="s">
        <v>755</v>
      </c>
      <c r="E26" s="305" t="s">
        <v>756</v>
      </c>
      <c r="F26" s="304" t="e">
        <f ca="1">INDIRECT("'数据-取费表'!q"&amp;$G$1)</f>
        <v>#N/A</v>
      </c>
      <c r="G26" s="1288"/>
      <c r="H26" s="291" t="s">
        <v>395</v>
      </c>
      <c r="I26" s="292" t="s">
        <v>757</v>
      </c>
      <c r="J26" s="293" t="e">
        <f ca="1">IF(J5&lt;&gt;0,ROUND(J25*(1-((1+M28)/(1+M26))^M27)/(M26-M28),0),0)</f>
        <v>#N/A</v>
      </c>
      <c r="K26" s="316" t="s">
        <v>758</v>
      </c>
      <c r="L26" s="294" t="s">
        <v>759</v>
      </c>
      <c r="M26" s="304" t="e">
        <f ca="1">INDIRECT("'数据-取费表'!I"&amp;$G$1)</f>
        <v>#N/A</v>
      </c>
    </row>
    <row r="27" spans="1:37" ht="18" customHeight="1">
      <c r="A27" s="924" t="s">
        <v>399</v>
      </c>
      <c r="B27" s="294" t="s">
        <v>760</v>
      </c>
      <c r="C27" s="21" t="e">
        <f ca="1">ROUND(F21*F26,4)</f>
        <v>#N/A</v>
      </c>
      <c r="D27" s="315" t="s">
        <v>761</v>
      </c>
      <c r="E27" s="312"/>
      <c r="F27" s="313"/>
      <c r="G27" s="1288"/>
      <c r="H27" s="296"/>
      <c r="I27" s="297"/>
      <c r="J27" s="298"/>
      <c r="K27" s="323" t="s">
        <v>762</v>
      </c>
      <c r="L27" s="294" t="s">
        <v>763</v>
      </c>
      <c r="M27" s="324" t="e">
        <f ca="1">INDIRECT("'数据-取费表'!ag"&amp;$G$1)</f>
        <v>#N/A</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t="e">
        <f ca="1">ROUND((C19+C20+C23+C26)/(1-F21-C24-C27-C28),0)</f>
        <v>#N/A</v>
      </c>
      <c r="D29" s="1025"/>
      <c r="E29" s="1023"/>
      <c r="F29" s="1026"/>
      <c r="G29" s="1299"/>
      <c r="H29" s="325" t="s">
        <v>396</v>
      </c>
      <c r="I29" s="326" t="s">
        <v>768</v>
      </c>
      <c r="J29" s="327" t="e">
        <f ca="1">ROUND(J26/(1+F40)^F41,0)</f>
        <v>#N/A</v>
      </c>
      <c r="K29" s="328" t="s">
        <v>769</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t="e">
        <f ca="1">ROUND(C31+C36+C37+C38,0)</f>
        <v>#N/A</v>
      </c>
      <c r="D30" s="1020" t="s">
        <v>715</v>
      </c>
      <c r="E30" s="1021"/>
      <c r="F30" s="1005"/>
      <c r="G30" s="1288"/>
      <c r="H30" s="2463"/>
      <c r="I30" s="1301"/>
      <c r="J30" s="1302"/>
      <c r="K30" s="121"/>
      <c r="L30" s="2464"/>
      <c r="M30" s="2465"/>
    </row>
    <row r="31" spans="1:37" ht="18" customHeight="1">
      <c r="A31" s="924" t="s">
        <v>398</v>
      </c>
      <c r="B31" s="294" t="s">
        <v>719</v>
      </c>
      <c r="C31" s="2134" t="e">
        <f ca="1">ROUND(IF(AND(项目基本情况!B11="自然人",项目基本情况!B10="北京市"),C6*F31/(1+'数据-取费表'!C42),C32+C33+C34),0)</f>
        <v>#N/A</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t="e">
        <f ca="1">IF(项目基本情况!B11="自然人","——",ROUND(C6*F32/(1+'数据-取费表'!C42),0))</f>
        <v>#N/A</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t="e">
        <f ca="1">IF(项目基本情况!B11="自然人","——",IF(D33="按租金收入计税",ROUND(C6*F33/(1+'数据-取费表'!C42),0),IF(D33="按房产原值计税",ROUND(C29*F33*0.7,0),INDIRECT("'数据-取费表'!Aj"&amp;$G$1))))</f>
        <v>#N/A</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t="e">
        <f ca="1">IF(项目基本情况!B11="自然人","——",ROUND(F34*F35,0))</f>
        <v>#N/A</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t="e">
        <f ca="1">INDIRECT("'数据-取费表'!r"&amp;$G$1)</f>
        <v>#N/A</v>
      </c>
      <c r="G35" s="1288"/>
      <c r="H35" s="2463"/>
      <c r="I35" s="1301"/>
      <c r="J35" s="1302"/>
      <c r="K35" s="2467"/>
      <c r="L35" s="2466"/>
      <c r="M35" s="2466"/>
    </row>
    <row r="36" spans="1:18" ht="18" customHeight="1">
      <c r="A36" s="1035" t="s">
        <v>402</v>
      </c>
      <c r="B36" s="294" t="s">
        <v>738</v>
      </c>
      <c r="C36" s="21" t="e">
        <f ca="1">ROUND(C29*F36,0)</f>
        <v>#N/A</v>
      </c>
      <c r="D36" s="1252" t="s">
        <v>771</v>
      </c>
      <c r="E36" s="294" t="s">
        <v>712</v>
      </c>
      <c r="F36" s="320" t="e">
        <f ca="1">INDIRECT("'数据-取费表'!Ak"&amp;$G$1)</f>
        <v>#N/A</v>
      </c>
      <c r="G36" s="1288"/>
      <c r="H36" s="2466"/>
      <c r="I36" s="1301"/>
      <c r="J36" s="1302"/>
      <c r="K36" s="2323"/>
      <c r="L36" s="2466"/>
      <c r="M36" s="2466"/>
    </row>
    <row r="37" spans="1:18" ht="18" customHeight="1">
      <c r="A37" s="924" t="s">
        <v>437</v>
      </c>
      <c r="B37" s="294" t="s">
        <v>742</v>
      </c>
      <c r="C37" s="21" t="e">
        <f ca="1">ROUND(C13*F37,0)</f>
        <v>#N/A</v>
      </c>
      <c r="D37" s="1252" t="s">
        <v>743</v>
      </c>
      <c r="E37" s="294" t="s">
        <v>712</v>
      </c>
      <c r="F37" s="321" t="e">
        <f ca="1">INDIRECT("'数据-取费表'!Al"&amp;$G$1)</f>
        <v>#N/A</v>
      </c>
      <c r="G37" s="1288"/>
      <c r="H37" s="2466"/>
      <c r="I37" s="1301"/>
      <c r="J37" s="1302"/>
      <c r="K37" s="2323"/>
      <c r="L37" s="2466"/>
      <c r="M37" s="2466"/>
    </row>
    <row r="38" spans="1:18" ht="18" customHeight="1" thickBot="1">
      <c r="A38" s="1022" t="s">
        <v>683</v>
      </c>
      <c r="B38" s="1023" t="s">
        <v>728</v>
      </c>
      <c r="C38" s="1024" t="e">
        <f ca="1">ROUND(C5*F38,0)</f>
        <v>#N/A</v>
      </c>
      <c r="D38" s="1025" t="s">
        <v>748</v>
      </c>
      <c r="E38" s="1023" t="s">
        <v>712</v>
      </c>
      <c r="F38" s="1019" t="e">
        <f ca="1">INDIRECT("'数据-取费表'!Am"&amp;$G$1)</f>
        <v>#N/A</v>
      </c>
      <c r="G38" s="1288"/>
      <c r="H38" s="2466"/>
      <c r="I38" s="1301"/>
      <c r="J38" s="1302"/>
      <c r="K38" s="2464"/>
      <c r="L38" s="2466"/>
      <c r="M38" s="2466"/>
    </row>
    <row r="39" spans="1:18" ht="24.6" customHeight="1" thickTop="1">
      <c r="A39" s="1012" t="s">
        <v>394</v>
      </c>
      <c r="B39" s="1027" t="s">
        <v>752</v>
      </c>
      <c r="C39" s="302" t="e">
        <f ca="1">C5-C30</f>
        <v>#N/A</v>
      </c>
      <c r="D39" s="1028" t="s">
        <v>753</v>
      </c>
      <c r="E39" s="1029"/>
      <c r="F39" s="1030"/>
      <c r="G39" s="1288"/>
      <c r="H39" s="2466"/>
      <c r="I39" s="1301"/>
      <c r="J39" s="1302"/>
      <c r="K39" s="2464"/>
      <c r="L39" s="2466"/>
      <c r="M39" s="2466"/>
    </row>
    <row r="40" spans="1:18" ht="18" customHeight="1">
      <c r="A40" s="291" t="s">
        <v>395</v>
      </c>
      <c r="B40" s="292" t="s">
        <v>774</v>
      </c>
      <c r="C40" s="293" t="e">
        <f ca="1">ROUND(C39*(1-((1+F42)/(1+F40))^F41)/(F40-F42),0)</f>
        <v>#N/A</v>
      </c>
      <c r="D40" s="316" t="s">
        <v>758</v>
      </c>
      <c r="E40" s="294" t="s">
        <v>759</v>
      </c>
      <c r="F40" s="304" t="e">
        <f ca="1">INDIRECT("'数据-取费表'!I"&amp;$G$1)</f>
        <v>#N/A</v>
      </c>
      <c r="G40" s="1288"/>
      <c r="H40" s="1362"/>
      <c r="I40" s="1301"/>
      <c r="J40" s="1302"/>
      <c r="K40" s="2464"/>
      <c r="L40" s="1362"/>
      <c r="M40" s="1362"/>
    </row>
    <row r="41" spans="1:18" ht="18" customHeight="1">
      <c r="A41" s="296"/>
      <c r="B41" s="297"/>
      <c r="C41" s="298"/>
      <c r="D41" s="323" t="s">
        <v>775</v>
      </c>
      <c r="E41" s="294" t="s">
        <v>763</v>
      </c>
      <c r="F41" s="324" t="e">
        <f ca="1">IF(INDIRECT("'数据-取费表'!af"&amp;$G$1)=0,INDIRECT("'数据-取费表'!ae"&amp;$G$1),INDIRECT("'数据-取费表'!af"&amp;$G$1))</f>
        <v>#N/A</v>
      </c>
      <c r="G41" s="1288"/>
      <c r="H41" s="121"/>
      <c r="I41" s="1301"/>
      <c r="J41" s="1302"/>
      <c r="K41" s="2323"/>
      <c r="L41" s="121"/>
      <c r="M41" s="121"/>
    </row>
    <row r="42" spans="1:18" ht="18" customHeight="1">
      <c r="A42" s="300"/>
      <c r="B42" s="301"/>
      <c r="C42" s="302"/>
      <c r="D42" s="319"/>
      <c r="E42" s="294" t="s">
        <v>766</v>
      </c>
      <c r="F42" s="304" t="e">
        <f ca="1">INDIRECT("'数据-取费表'!v"&amp;$G$1)</f>
        <v>#N/A</v>
      </c>
      <c r="G42" s="1288"/>
      <c r="H42" s="121"/>
      <c r="I42" s="1301"/>
      <c r="J42" s="1302"/>
      <c r="K42" s="2323"/>
      <c r="L42" s="121"/>
      <c r="M42" s="121"/>
    </row>
    <row r="43" spans="1:18" ht="18" customHeight="1" thickBot="1">
      <c r="A43" s="325" t="s">
        <v>396</v>
      </c>
      <c r="B43" s="326" t="s">
        <v>776</v>
      </c>
      <c r="C43" s="327" t="e">
        <f ca="1">ROUND(C40/F43,0)</f>
        <v>#N/A</v>
      </c>
      <c r="D43" s="328" t="s">
        <v>777</v>
      </c>
      <c r="E43" s="329" t="s">
        <v>778</v>
      </c>
      <c r="F43" s="330" t="e">
        <f ca="1">INDIRECT("'数据-取费表'!k"&amp;$G$1)</f>
        <v>#N/A</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#N/A</v>
      </c>
      <c r="D45" s="3121" t="s">
        <v>3348</v>
      </c>
      <c r="E45" s="1303"/>
      <c r="F45" s="1303"/>
      <c r="O45" s="1306" t="s">
        <v>808</v>
      </c>
      <c r="P45" s="1362"/>
      <c r="Q45" s="1362"/>
      <c r="R45" s="1362"/>
    </row>
    <row r="46" spans="1:18" s="1288" customFormat="1" ht="13.5" thickBot="1">
      <c r="A46" s="1307" t="s">
        <v>809</v>
      </c>
      <c r="C46" s="1308" t="e">
        <f ca="1">ROUND(C45,0)</f>
        <v>#N/A</v>
      </c>
      <c r="D46" s="1309" t="str">
        <f>C2</f>
        <v>万元</v>
      </c>
      <c r="I46" s="1310" t="s">
        <v>810</v>
      </c>
      <c r="J46" s="1311"/>
      <c r="K46" s="1312"/>
      <c r="L46" s="1313" t="e">
        <f ca="1">IF(M47="住宅",0,IF(L48&gt;J51,L60,J60))</f>
        <v>#N/A</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3" t="s">
        <v>438</v>
      </c>
      <c r="B48" s="292" t="s">
        <v>692</v>
      </c>
      <c r="C48" s="1264" t="e">
        <f ca="1">C49+C53+C55</f>
        <v>#N/A</v>
      </c>
      <c r="D48" s="1045"/>
      <c r="E48" s="1046"/>
      <c r="F48" s="904"/>
      <c r="G48" s="681"/>
      <c r="H48" s="682"/>
      <c r="I48" s="1324" t="s">
        <v>819</v>
      </c>
      <c r="J48" s="1325" t="s">
        <v>3448</v>
      </c>
      <c r="K48" s="1326" t="s">
        <v>820</v>
      </c>
      <c r="L48" s="1327" t="e">
        <f ca="1">INDIRECT("'数据-取费表'!f"&amp;$G$1)</f>
        <v>#N/A</v>
      </c>
      <c r="O48" s="1321" t="s">
        <v>404</v>
      </c>
      <c r="P48" s="1322" t="s">
        <v>821</v>
      </c>
      <c r="Q48" s="1323" t="e">
        <f ca="1">J60</f>
        <v>#N/A</v>
      </c>
      <c r="R48" s="1323" t="s">
        <v>822</v>
      </c>
    </row>
    <row r="49" spans="1:18" s="1288" customFormat="1" ht="13.5" thickBot="1">
      <c r="A49" s="917" t="s">
        <v>439</v>
      </c>
      <c r="B49" s="1275" t="s">
        <v>779</v>
      </c>
      <c r="C49" s="1047" t="e">
        <f ca="1">ROUND(F49*F51*F50*(1-F52),0)</f>
        <v>#N/A</v>
      </c>
      <c r="D49" s="988" t="s">
        <v>695</v>
      </c>
      <c r="E49" s="1276" t="s">
        <v>780</v>
      </c>
      <c r="F49" s="993"/>
      <c r="H49" s="682"/>
      <c r="I49" s="1324" t="s">
        <v>823</v>
      </c>
      <c r="J49" s="1328">
        <v>2022</v>
      </c>
      <c r="K49" s="1326" t="s">
        <v>824</v>
      </c>
      <c r="L49" s="1329"/>
      <c r="O49" s="1330" t="s">
        <v>405</v>
      </c>
      <c r="P49" s="1322" t="s">
        <v>825</v>
      </c>
      <c r="Q49" s="1323" t="e">
        <f ca="1">C29</f>
        <v>#N/A</v>
      </c>
      <c r="R49" s="1323" t="s">
        <v>818</v>
      </c>
    </row>
    <row r="50" spans="1:18" s="1288" customFormat="1" ht="13.5" thickBot="1">
      <c r="A50" s="918"/>
      <c r="B50" s="921"/>
      <c r="C50" s="922"/>
      <c r="D50" s="895"/>
      <c r="E50" s="989" t="s">
        <v>697</v>
      </c>
      <c r="F50" s="990" t="e">
        <f ca="1">F7</f>
        <v>#N/A</v>
      </c>
      <c r="H50" s="682"/>
      <c r="I50" s="1324" t="s">
        <v>826</v>
      </c>
      <c r="J50" s="1331">
        <f>SUMPRODUCT((I63:I65=J47)*(J62:L62=J48)*(J63:L65))</f>
        <v>60</v>
      </c>
      <c r="K50" s="1326" t="s">
        <v>827</v>
      </c>
      <c r="L50" s="1329"/>
      <c r="M50" s="1332"/>
      <c r="O50" s="1330" t="s">
        <v>406</v>
      </c>
      <c r="P50" s="1322" t="s">
        <v>828</v>
      </c>
      <c r="Q50" s="1333" t="e">
        <f ca="1">J58</f>
        <v>#N/A</v>
      </c>
      <c r="R50" s="1323"/>
    </row>
    <row r="51" spans="1:18" s="1288" customFormat="1" ht="13.5" thickBot="1">
      <c r="A51" s="919"/>
      <c r="B51" s="921"/>
      <c r="C51" s="922"/>
      <c r="D51" s="895"/>
      <c r="E51" s="923" t="s">
        <v>698</v>
      </c>
      <c r="F51" s="295" t="e">
        <f ca="1">F8</f>
        <v>#N/A</v>
      </c>
      <c r="I51" s="1334" t="s">
        <v>829</v>
      </c>
      <c r="J51" s="1327">
        <f>IF(J49="",J50,J49+J50-YEAR('数据-取费表'!B2))</f>
        <v>57</v>
      </c>
      <c r="K51" s="1335" t="s">
        <v>830</v>
      </c>
      <c r="L51" s="1336" t="e">
        <f ca="1">ROUND(-PV(INDIRECT("'数据-取费表'!h"&amp;$G$1),J51,(C39-C13*C76),0),0)</f>
        <v>#N/A</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f>'数据-取费表'!J11</f>
        <v>0</v>
      </c>
      <c r="K52" s="1338" t="s">
        <v>833</v>
      </c>
      <c r="L52" s="1339"/>
      <c r="O52" s="1330" t="s">
        <v>408</v>
      </c>
      <c r="P52" s="1322" t="s">
        <v>834</v>
      </c>
      <c r="Q52" s="1323" t="e">
        <f ca="1">J53</f>
        <v>#N/A</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t="e">
        <f ca="1">IF(M47="住宅",IF(D1="——",MAX(J51,L48),MAX(J51,L48-'数据-取费表'!B24)),IF(D1="——",MIN(J51,L48),MIN(J51,L48-'数据-取费表'!B24)))</f>
        <v>#N/A</v>
      </c>
      <c r="K53" s="3354" t="s">
        <v>837</v>
      </c>
      <c r="L53" s="3355"/>
      <c r="O53" s="1321" t="s">
        <v>409</v>
      </c>
      <c r="P53" s="1322" t="s">
        <v>838</v>
      </c>
      <c r="Q53" s="1323" t="e">
        <f ca="1">Q47+Q48</f>
        <v>#N/A</v>
      </c>
      <c r="R53" s="1323" t="s">
        <v>410</v>
      </c>
    </row>
    <row r="54" spans="1:18" s="1288" customFormat="1" ht="13.5" thickBot="1">
      <c r="A54" s="917"/>
      <c r="B54" s="1373" t="s">
        <v>891</v>
      </c>
      <c r="C54" s="901"/>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#N/A</v>
      </c>
      <c r="K55" s="1346" t="s">
        <v>841</v>
      </c>
      <c r="L55" s="1347"/>
      <c r="O55" s="1314" t="s">
        <v>811</v>
      </c>
      <c r="P55" s="1315" t="s">
        <v>812</v>
      </c>
      <c r="Q55" s="1316" t="s">
        <v>813</v>
      </c>
      <c r="R55" s="1316" t="s">
        <v>814</v>
      </c>
    </row>
    <row r="56" spans="1:18" s="1288" customFormat="1" ht="36" customHeight="1" thickTop="1" thickBot="1">
      <c r="A56" s="899">
        <v>2</v>
      </c>
      <c r="B56" s="900" t="s">
        <v>704</v>
      </c>
      <c r="C56" s="224" t="e">
        <f ca="1">C13</f>
        <v>#N/A</v>
      </c>
      <c r="D56" s="1348"/>
      <c r="E56" s="1349"/>
      <c r="F56" s="1341"/>
      <c r="I56" s="1350" t="s">
        <v>842</v>
      </c>
      <c r="J56" s="1351" t="s">
        <v>3449</v>
      </c>
      <c r="K56" s="1324" t="s">
        <v>843</v>
      </c>
      <c r="L56" s="1327" t="e">
        <f ca="1">IF(L48&lt;J51,"——",L48-J51)</f>
        <v>#N/A</v>
      </c>
      <c r="O56" s="1321" t="s">
        <v>403</v>
      </c>
      <c r="P56" s="1322" t="s">
        <v>817</v>
      </c>
      <c r="Q56" s="1323" t="e">
        <f ca="1">C40+J29</f>
        <v>#N/A</v>
      </c>
      <c r="R56" s="1323" t="s">
        <v>818</v>
      </c>
    </row>
    <row r="57" spans="1:18" s="1288" customFormat="1" ht="24.75" thickBot="1">
      <c r="A57" s="1352"/>
      <c r="B57" s="892" t="s">
        <v>767</v>
      </c>
      <c r="C57" s="230" t="e">
        <f ca="1">C29</f>
        <v>#N/A</v>
      </c>
      <c r="D57" s="1353"/>
      <c r="E57" s="1354"/>
      <c r="F57" s="1355"/>
      <c r="I57" s="1356" t="s">
        <v>844</v>
      </c>
      <c r="J57" s="1357" t="e">
        <f ca="1">IF(OR(M47="住宅",J51&lt;L48,J56="是"),"——",J51-L48)</f>
        <v>#N/A</v>
      </c>
      <c r="K57" s="1324" t="s">
        <v>892</v>
      </c>
      <c r="L57" s="1327" t="e">
        <f ca="1">IF(L48&lt;J51,"——",IF(L55="比较法",L49,IF(L55="基准地价",L50,L51)))</f>
        <v>#N/A</v>
      </c>
      <c r="O57" s="1321" t="s">
        <v>404</v>
      </c>
      <c r="P57" s="1322" t="s">
        <v>846</v>
      </c>
      <c r="Q57" s="1323" t="e">
        <f ca="1">L60</f>
        <v>#N/A</v>
      </c>
      <c r="R57" s="1323" t="s">
        <v>847</v>
      </c>
    </row>
    <row r="58" spans="1:18" s="1288" customFormat="1" ht="24.75" thickBot="1">
      <c r="A58" s="307" t="s">
        <v>393</v>
      </c>
      <c r="B58" s="900" t="s">
        <v>714</v>
      </c>
      <c r="C58" s="308" t="e">
        <f ca="1">ROUND(C59+C64+C65+C66,0)</f>
        <v>#N/A</v>
      </c>
      <c r="D58" s="902" t="s">
        <v>715</v>
      </c>
      <c r="E58" s="903"/>
      <c r="F58" s="904"/>
      <c r="I58" s="1356" t="s">
        <v>848</v>
      </c>
      <c r="J58" s="1358" t="e">
        <f ca="1">IF(J55&lt;0.4,0.4,J55)</f>
        <v>#N/A</v>
      </c>
      <c r="K58" s="1335" t="s">
        <v>895</v>
      </c>
      <c r="L58" s="1327" t="e">
        <f ca="1">ROUND(POWER(1+L52,L47-L48)*(POWER(1+L52,L48)-1)/(POWER(1+L52,L47)-1),4)</f>
        <v>#N/A</v>
      </c>
      <c r="O58" s="1330" t="s">
        <v>405</v>
      </c>
      <c r="P58" s="1322" t="s">
        <v>850</v>
      </c>
      <c r="Q58" s="1323">
        <f>IF(L55="比较法",L49,IF(L55="基准地价",L50,0))</f>
        <v>0</v>
      </c>
      <c r="R58" s="1323" t="s">
        <v>818</v>
      </c>
    </row>
    <row r="59" spans="1:18" s="1288" customFormat="1" ht="24.75" thickBot="1">
      <c r="A59" s="924" t="s">
        <v>398</v>
      </c>
      <c r="B59" s="892" t="s">
        <v>719</v>
      </c>
      <c r="C59" s="2134" t="e">
        <f ca="1">ROUND(IF(AND(项目基本情况!B11="自然人",项目基本情况!B10="北京市"),C49*F59/(1+'数据-取费表'!C42),C60+C61+C62),0)</f>
        <v>#N/A</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0" t="s">
        <v>406</v>
      </c>
      <c r="P59" s="1322" t="s">
        <v>852</v>
      </c>
      <c r="Q59" s="1333">
        <f>L52</f>
        <v>0</v>
      </c>
      <c r="R59" s="1323"/>
    </row>
    <row r="60" spans="1:18" s="1288" customFormat="1" ht="16.5" thickBot="1">
      <c r="A60" s="924" t="s">
        <v>397</v>
      </c>
      <c r="B60" s="892" t="s">
        <v>723</v>
      </c>
      <c r="C60" s="21" t="e">
        <f ca="1">IF(项目基本情况!B11="自然人","——",ROUND(C48*F60/(1+'数据-取费表'!C42),0))</f>
        <v>#N/A</v>
      </c>
      <c r="D60" s="906" t="s">
        <v>724</v>
      </c>
      <c r="E60" s="892" t="s">
        <v>712</v>
      </c>
      <c r="F60" s="322">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4" t="s">
        <v>781</v>
      </c>
      <c r="B61" s="892" t="s">
        <v>727</v>
      </c>
      <c r="C61" s="21" t="e">
        <f ca="1">IF(项目基本情况!B11="自然人","——",IF(D61="按租金收入计税",ROUND(C49*F61/(1+'数据-取费表'!C42),0),IF(D61="按房产原值计税",ROUND(C57*F61*0.7,0),INDIRECT("'数据-取费表'!Aj"&amp;$G$1))))</f>
        <v>#N/A</v>
      </c>
      <c r="D61" s="1274" t="s">
        <v>3331</v>
      </c>
      <c r="E61" s="892" t="s">
        <v>712</v>
      </c>
      <c r="F61" s="314">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4" t="s">
        <v>784</v>
      </c>
      <c r="B62" s="891" t="s">
        <v>730</v>
      </c>
      <c r="C62" s="22" t="e">
        <f ca="1">IF(项目基本情况!B11="自然人","——",ROUND(F62*F63,0))</f>
        <v>#N/A</v>
      </c>
      <c r="D62" s="907" t="s">
        <v>731</v>
      </c>
      <c r="E62" s="892" t="s">
        <v>732</v>
      </c>
      <c r="F62" s="317">
        <f t="shared" si="0"/>
        <v>0</v>
      </c>
      <c r="I62" s="1363" t="s">
        <v>858</v>
      </c>
      <c r="J62" s="610" t="s">
        <v>859</v>
      </c>
      <c r="K62" s="610" t="s">
        <v>860</v>
      </c>
      <c r="L62" s="610" t="s">
        <v>861</v>
      </c>
      <c r="M62" s="1364" t="s">
        <v>862</v>
      </c>
      <c r="O62" s="1321" t="s">
        <v>409</v>
      </c>
      <c r="P62" s="1322" t="s">
        <v>838</v>
      </c>
      <c r="Q62" s="1323" t="e">
        <f ca="1">Q56+Q57</f>
        <v>#N/A</v>
      </c>
      <c r="R62" s="1323" t="s">
        <v>410</v>
      </c>
    </row>
    <row r="63" spans="1:18" s="1288" customFormat="1" ht="13.5" thickBot="1">
      <c r="A63" s="318"/>
      <c r="B63" s="898"/>
      <c r="C63" s="26"/>
      <c r="D63" s="908"/>
      <c r="E63" s="892" t="s">
        <v>736</v>
      </c>
      <c r="F63" s="295" t="e">
        <f t="shared" ca="1" si="0"/>
        <v>#N/A</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t="e">
        <f ca="1">ROUND(C57*F64,0)</f>
        <v>#N/A</v>
      </c>
      <c r="D64" s="906" t="s">
        <v>771</v>
      </c>
      <c r="E64" s="892" t="s">
        <v>712</v>
      </c>
      <c r="F64" s="320" t="e">
        <f t="shared" ca="1" si="0"/>
        <v>#N/A</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t="e">
        <f ca="1">ROUND(C56*F65,0)</f>
        <v>#N/A</v>
      </c>
      <c r="D65" s="906" t="s">
        <v>743</v>
      </c>
      <c r="E65" s="892" t="s">
        <v>712</v>
      </c>
      <c r="F65" s="321" t="e">
        <f t="shared" ca="1" si="0"/>
        <v>#N/A</v>
      </c>
      <c r="I65" s="1363" t="s">
        <v>867</v>
      </c>
      <c r="J65" s="610">
        <v>40</v>
      </c>
      <c r="K65" s="610">
        <v>30</v>
      </c>
      <c r="L65" s="610">
        <v>50</v>
      </c>
      <c r="M65" s="1365">
        <v>0.02</v>
      </c>
      <c r="O65" s="1321" t="s">
        <v>403</v>
      </c>
      <c r="P65" s="1322" t="s">
        <v>817</v>
      </c>
      <c r="Q65" s="1323" t="e">
        <f ca="1">C40+J29</f>
        <v>#N/A</v>
      </c>
      <c r="R65" s="1323" t="s">
        <v>818</v>
      </c>
    </row>
    <row r="66" spans="1:18" s="1288" customFormat="1" ht="16.5" thickBot="1">
      <c r="A66" s="924" t="s">
        <v>793</v>
      </c>
      <c r="B66" s="892" t="s">
        <v>728</v>
      </c>
      <c r="C66" s="21" t="e">
        <f ca="1">ROUND(C48*F66,0)</f>
        <v>#N/A</v>
      </c>
      <c r="D66" s="906" t="s">
        <v>748</v>
      </c>
      <c r="E66" s="892" t="s">
        <v>712</v>
      </c>
      <c r="F66" s="304" t="e">
        <f t="shared" ca="1" si="0"/>
        <v>#N/A</v>
      </c>
      <c r="O66" s="1321" t="s">
        <v>404</v>
      </c>
      <c r="P66" s="1322" t="s">
        <v>846</v>
      </c>
      <c r="Q66" s="1323" t="e">
        <f ca="1">L60</f>
        <v>#N/A</v>
      </c>
      <c r="R66" s="1323" t="s">
        <v>869</v>
      </c>
    </row>
    <row r="67" spans="1:18" s="1288" customFormat="1" ht="16.5" thickBot="1">
      <c r="A67" s="899" t="s">
        <v>394</v>
      </c>
      <c r="B67" s="909" t="s">
        <v>752</v>
      </c>
      <c r="C67" s="308" t="e">
        <f ca="1">C48-C58</f>
        <v>#N/A</v>
      </c>
      <c r="D67" s="905" t="s">
        <v>753</v>
      </c>
      <c r="E67" s="910"/>
      <c r="F67" s="911"/>
      <c r="O67" s="1330" t="s">
        <v>405</v>
      </c>
      <c r="P67" s="1322" t="s">
        <v>850</v>
      </c>
      <c r="Q67" s="1366" t="e">
        <f ca="1">L51</f>
        <v>#N/A</v>
      </c>
      <c r="R67" s="1323" t="s">
        <v>870</v>
      </c>
    </row>
    <row r="68" spans="1:18" s="1288" customFormat="1" ht="16.5" thickBot="1">
      <c r="A68" s="889" t="s">
        <v>395</v>
      </c>
      <c r="B68" s="890" t="s">
        <v>774</v>
      </c>
      <c r="C68" s="293" t="e">
        <f ca="1">ROUND(C67*(1-((1+F70)/(1+F68))^F69)/(F68-F70),0)</f>
        <v>#N/A</v>
      </c>
      <c r="D68" s="907" t="s">
        <v>758</v>
      </c>
      <c r="E68" s="892" t="s">
        <v>759</v>
      </c>
      <c r="F68" s="304" t="e">
        <f ca="1">F40</f>
        <v>#N/A</v>
      </c>
      <c r="O68" s="1330" t="s">
        <v>406</v>
      </c>
      <c r="P68" s="1367" t="s">
        <v>871</v>
      </c>
      <c r="Q68" s="1323" t="e">
        <f ca="1">ROUND(Q69-Q70*Q71,0)</f>
        <v>#N/A</v>
      </c>
      <c r="R68" s="1323" t="s">
        <v>414</v>
      </c>
    </row>
    <row r="69" spans="1:18" s="1288" customFormat="1" ht="13.5" thickBot="1">
      <c r="A69" s="893"/>
      <c r="B69" s="894"/>
      <c r="C69" s="298"/>
      <c r="D69" s="912" t="s">
        <v>762</v>
      </c>
      <c r="E69" s="892" t="s">
        <v>763</v>
      </c>
      <c r="F69" s="324" t="e">
        <f ca="1">F41</f>
        <v>#N/A</v>
      </c>
      <c r="O69" s="1330" t="s">
        <v>411</v>
      </c>
      <c r="P69" s="1367" t="s">
        <v>872</v>
      </c>
      <c r="Q69" s="1323" t="e">
        <f ca="1">C39</f>
        <v>#N/A</v>
      </c>
      <c r="R69" s="1323" t="s">
        <v>818</v>
      </c>
    </row>
    <row r="70" spans="1:18" s="1288" customFormat="1" ht="13.5" thickBot="1">
      <c r="A70" s="896"/>
      <c r="B70" s="897"/>
      <c r="C70" s="302"/>
      <c r="D70" s="908"/>
      <c r="E70" s="892" t="s">
        <v>766</v>
      </c>
      <c r="F70" s="987"/>
      <c r="O70" s="1330" t="s">
        <v>412</v>
      </c>
      <c r="P70" s="1367" t="s">
        <v>873</v>
      </c>
      <c r="Q70" s="1323" t="e">
        <f ca="1">C13</f>
        <v>#N/A</v>
      </c>
      <c r="R70" s="1323" t="s">
        <v>818</v>
      </c>
    </row>
    <row r="71" spans="1:18" s="1288" customFormat="1" ht="13.5" thickBot="1">
      <c r="A71" s="913" t="s">
        <v>396</v>
      </c>
      <c r="B71" s="914" t="s">
        <v>776</v>
      </c>
      <c r="C71" s="327" t="e">
        <f ca="1">ROUND(C68/F71,0)</f>
        <v>#N/A</v>
      </c>
      <c r="D71" s="915" t="s">
        <v>777</v>
      </c>
      <c r="E71" s="916" t="s">
        <v>778</v>
      </c>
      <c r="F71" s="330" t="e">
        <f ca="1">F43</f>
        <v>#N/A</v>
      </c>
      <c r="O71" s="1330" t="s">
        <v>413</v>
      </c>
      <c r="P71" s="1367" t="s">
        <v>874</v>
      </c>
      <c r="Q71" s="1333" t="e">
        <f ca="1">C76</f>
        <v>#N/A</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#N/A</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1" t="s">
        <v>795</v>
      </c>
      <c r="C75" s="332" t="e">
        <f ca="1">ROUND(C13*C76,0)</f>
        <v>#N/A</v>
      </c>
      <c r="D75" s="1288"/>
      <c r="E75" s="1288"/>
      <c r="F75" s="1288"/>
      <c r="K75" s="1305"/>
      <c r="L75" s="1288"/>
      <c r="O75" s="1321" t="s">
        <v>409</v>
      </c>
      <c r="P75" s="1322" t="s">
        <v>838</v>
      </c>
      <c r="Q75" s="1323" t="e">
        <f ca="1">Q65+Q66</f>
        <v>#N/A</v>
      </c>
      <c r="R75" s="1323" t="s">
        <v>410</v>
      </c>
    </row>
    <row r="76" spans="1:18">
      <c r="B76" s="333" t="s">
        <v>796</v>
      </c>
      <c r="C76" s="334" t="e">
        <f ca="1">INDIRECT("'数据-取费表'!j"&amp;$G$1)</f>
        <v>#N/A</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62" priority="3">
      <formula>$F$10="自定义"</formula>
    </cfRule>
  </conditionalFormatting>
  <conditionalFormatting sqref="C54">
    <cfRule type="expression" dxfId="161" priority="1">
      <formula>$F$53="自定义"</formula>
    </cfRule>
  </conditionalFormatting>
  <conditionalFormatting sqref="I55 I60">
    <cfRule type="expression" dxfId="160" priority="5">
      <formula>$J$51&gt;$L$48</formula>
    </cfRule>
  </conditionalFormatting>
  <conditionalFormatting sqref="J11">
    <cfRule type="expression" dxfId="159" priority="2">
      <formula>$M$10="自定义"</formula>
    </cfRule>
  </conditionalFormatting>
  <conditionalFormatting sqref="K55 K60">
    <cfRule type="expression" dxfId="158" priority="4">
      <formula>$L$48&gt;$J$51</formula>
    </cfRule>
  </conditionalFormatting>
  <dataValidations count="9">
    <dataValidation type="list" allowBlank="1" showInputMessage="1" showErrorMessage="1" sqref="L55" xr:uid="{C077EA27-6020-42B1-8A64-D6FE5B805EF1}">
      <formula1>"比较法,基准地价,收益还原"</formula1>
    </dataValidation>
    <dataValidation type="list" allowBlank="1" showInputMessage="1" showErrorMessage="1" sqref="J56" xr:uid="{867B48CF-605B-4790-830A-5D624010B79D}">
      <formula1>估价范围判定</formula1>
    </dataValidation>
    <dataValidation type="list" allowBlank="1" showInputMessage="1" showErrorMessage="1" sqref="J48" xr:uid="{7050FEDD-5945-4A84-AEFD-9908DCE7AF4A}">
      <formula1>"非生产用房,生产用房,受腐蚀的生产用房"</formula1>
    </dataValidation>
    <dataValidation type="list" allowBlank="1" showInputMessage="1" showErrorMessage="1" sqref="J47" xr:uid="{8D72FFF1-5976-49A5-A9F4-ACC32B61D7A7}">
      <formula1>"钢,钢混,砖混"</formula1>
    </dataValidation>
    <dataValidation type="list" allowBlank="1" showInputMessage="1" showErrorMessage="1" sqref="C1" xr:uid="{5AB43AA0-E23F-4C24-AC8B-B5F578886920}">
      <formula1>项目类型</formula1>
    </dataValidation>
    <dataValidation type="list" allowBlank="1" showInputMessage="1" showErrorMessage="1" sqref="D33 D61" xr:uid="{4230F38D-5209-45C3-946F-8A9F430EC8FC}">
      <formula1>"按租金收入计税,按房产原值计税,按票据"</formula1>
    </dataValidation>
    <dataValidation type="list" allowBlank="1" showInputMessage="1" showErrorMessage="1" sqref="K19" xr:uid="{5DB0A3AF-5672-4F31-BDB7-4EAE009B60A4}">
      <formula1>"按租金收入计税,按房产原值计税"</formula1>
    </dataValidation>
    <dataValidation type="list" allowBlank="1" showInputMessage="1" showErrorMessage="1" sqref="F10 F53 M10" xr:uid="{C40CB190-8BF6-481F-8897-F14B06FCB195}">
      <formula1>"押一,押二,押三,自定义"</formula1>
    </dataValidation>
    <dataValidation type="list" allowBlank="1" showInputMessage="1" showErrorMessage="1" sqref="D1" xr:uid="{927E66D9-0CB6-4622-8805-7AD9F32E1D1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3DAE5-0127-41B3-83F9-19FE3B2046F2}">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3436</v>
      </c>
      <c r="C1" s="190"/>
      <c r="D1" s="190"/>
      <c r="E1" s="190"/>
      <c r="F1" s="190"/>
      <c r="G1" s="1058" t="e">
        <f>MATCH(B1,'数据-取费表'!A6:A16,0)+5</f>
        <v>#N/A</v>
      </c>
    </row>
    <row r="2" spans="1:9" s="192" customFormat="1" ht="18" customHeight="1">
      <c r="A2" s="193" t="s">
        <v>685</v>
      </c>
      <c r="B2" s="194" t="e">
        <f ca="1">IF(D2="——",C52,C52-E2)</f>
        <v>#DIV/0!</v>
      </c>
      <c r="C2" s="191" t="s">
        <v>1463</v>
      </c>
      <c r="D2" s="1707" t="s">
        <v>43</v>
      </c>
      <c r="E2" s="1085" t="e">
        <f ca="1">SUMIF(INDIRECT("'"&amp;G2&amp;"'"&amp;"!A:A"),"承租人权益价值",INDIRECT("'"&amp;G2&amp;"'"&amp;"!c:c"))</f>
        <v>#REF!</v>
      </c>
      <c r="F2" s="1708" t="s">
        <v>1463</v>
      </c>
      <c r="G2" s="1709"/>
    </row>
    <row r="3" spans="1:9" s="192" customFormat="1" ht="18" customHeight="1" thickBot="1">
      <c r="A3" s="195" t="s">
        <v>686</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t="e">
        <f ca="1">C6+C7+C8</f>
        <v>#DIV/0!</v>
      </c>
      <c r="D5" s="203" t="s">
        <v>1469</v>
      </c>
      <c r="E5" s="204" t="s">
        <v>1470</v>
      </c>
      <c r="F5" s="204" t="s">
        <v>1471</v>
      </c>
      <c r="G5" s="205"/>
    </row>
    <row r="6" spans="1:9" s="206" customFormat="1" ht="13.5" customHeight="1">
      <c r="A6" s="728" t="s">
        <v>346</v>
      </c>
      <c r="B6" s="207" t="s">
        <v>1473</v>
      </c>
      <c r="C6" s="208" t="e">
        <f>ROUND('基准地价修正 -办公'!I40/10000,0)</f>
        <v>#DIV/0!</v>
      </c>
      <c r="D6" s="209"/>
      <c r="E6" s="210"/>
      <c r="F6" s="210"/>
      <c r="G6" s="211"/>
    </row>
    <row r="7" spans="1:9" s="206" customFormat="1" ht="13.5" customHeight="1">
      <c r="A7" s="728" t="s">
        <v>347</v>
      </c>
      <c r="B7" s="207" t="s">
        <v>1475</v>
      </c>
      <c r="C7" s="212" t="e">
        <f>ROUND(C6*F7,0)</f>
        <v>#DIV/0!</v>
      </c>
      <c r="D7" s="212"/>
      <c r="E7" s="210"/>
      <c r="F7" s="213">
        <f>IF(项目基本情况!B8="出让",0,'数据-取费表'!B48+'数据-取费表'!B49)</f>
        <v>3.0499999999999999E-2</v>
      </c>
      <c r="G7" s="211"/>
    </row>
    <row r="8" spans="1:9" s="215" customFormat="1">
      <c r="A8" s="728" t="s">
        <v>348</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#DIV/0!</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1038" t="e">
        <f ca="1">ROUND(IF('数据-取费表'!B22&lt;=1,C5*F22*'数据-取费表'!B23,C5*(POWER((1+F22),'数据-取费表'!B23)-1)),0)</f>
        <v>#DIV/0!</v>
      </c>
      <c r="D23" s="230"/>
      <c r="E23" s="230"/>
      <c r="F23" s="231"/>
      <c r="G23" s="232" t="s">
        <v>1504</v>
      </c>
    </row>
    <row r="24" spans="1:7" s="206" customFormat="1" ht="13.5" customHeight="1">
      <c r="A24" s="730" t="s">
        <v>347</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348</v>
      </c>
      <c r="B25" s="207" t="s">
        <v>1509</v>
      </c>
      <c r="C25" s="1038" t="e">
        <f ca="1">ROUND(IF('数据-取费表'!B22&lt;=1,C20*F22*'数据-取费表'!B23/2,C20*(POWER((1+F22),'数据-取费表'!B23/2)-1)),0)</f>
        <v>#DIV/0!</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#DIV/0!</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ROUND(IF('数据-取费表'!B22&lt;=1,C33*F22*'数据-取费表'!B21/2,C33*(POWER((1+F22),'数据-取费表'!B21/2)-1)),0)</f>
        <v>#N/A</v>
      </c>
      <c r="D42" s="230"/>
      <c r="E42" s="230"/>
      <c r="F42" s="231"/>
      <c r="G42" s="3348" t="s">
        <v>1544</v>
      </c>
    </row>
    <row r="43" spans="1:7" ht="13.5" customHeight="1">
      <c r="A43" s="730" t="s">
        <v>347</v>
      </c>
      <c r="B43" s="207" t="s">
        <v>1506</v>
      </c>
      <c r="C43" s="230" t="e">
        <f ca="1">ROUND(IF('数据-取费表'!B22&lt;=1,C39*F22*'数据-取费表'!B21/2,C39*(POWER((1+F22),'数据-取费表'!B21/2)-1)),0)</f>
        <v>#N/A</v>
      </c>
      <c r="D43" s="230"/>
      <c r="E43" s="230"/>
      <c r="F43" s="231"/>
      <c r="G43" s="3349"/>
    </row>
    <row r="44" spans="1:7" ht="13.5" customHeight="1">
      <c r="A44" s="730" t="s">
        <v>348</v>
      </c>
      <c r="B44" s="207" t="s">
        <v>1509</v>
      </c>
      <c r="C44" s="230">
        <f ca="1">ROUND(IF('数据-取费表'!B22&lt;=1,C40*F22*'数据-取费表'!B21/2,C40*(POWER((1+F22),'数据-取费表'!B21/2)-1)),4)</f>
        <v>5.9999999999999995E-4</v>
      </c>
      <c r="D44" s="230"/>
      <c r="E44" s="230"/>
      <c r="F44" s="231"/>
      <c r="G44" s="3350"/>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6A613362-BF5C-45C8-82B5-BA8DA83199FD}">
      <formula1>"已包含在土地购买价格中,未包含在土地购买价格中"</formula1>
    </dataValidation>
    <dataValidation type="list" allowBlank="1" showInputMessage="1" showErrorMessage="1" sqref="G19" xr:uid="{0E588707-3B7C-45E2-86A2-DD3DC39A057E}">
      <formula1>"已包含在土地取得成本中,未包含在土地取得成本中"</formula1>
    </dataValidation>
    <dataValidation type="list" allowBlank="1" showInputMessage="1" showErrorMessage="1" sqref="B1" xr:uid="{90F12651-2CD0-49CE-9EFA-BE674F86A7AA}">
      <formula1>项目类型</formula1>
    </dataValidation>
    <dataValidation type="list" allowBlank="1" showInputMessage="1" showErrorMessage="1" sqref="G9" xr:uid="{553732F6-20E8-4A01-8D17-4A40C7A4FCEF}">
      <formula1>"部分缴纳,全部缴纳"</formula1>
    </dataValidation>
    <dataValidation type="list" allowBlank="1" showInputMessage="1" showErrorMessage="1" sqref="G2" xr:uid="{F406C4D9-BCD8-4C3F-A6B2-9F66C8A05BDA}">
      <formula1>估价方法</formula1>
    </dataValidation>
    <dataValidation type="list" allowBlank="1" showInputMessage="1" showErrorMessage="1" sqref="D2" xr:uid="{FAA8B336-30CB-40FE-9BB7-D3FC9E15AAD1}">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7BE49-57FF-413C-A342-12BE04F3EFD5}">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3436</v>
      </c>
      <c r="C1" s="1713" t="s">
        <v>1563</v>
      </c>
      <c r="D1" s="190"/>
      <c r="E1" s="190"/>
      <c r="F1" s="190"/>
      <c r="G1" s="1058" t="e">
        <f>MATCH(B1,'数据-取费表'!A6:A16,0)+5</f>
        <v>#N/A</v>
      </c>
      <c r="H1" s="994" t="str">
        <f>IF(ISERROR(FIND("住宅",B1)),"非住宅","住宅")</f>
        <v>非住宅</v>
      </c>
    </row>
    <row r="2" spans="1:8" s="192" customFormat="1" ht="18" customHeight="1">
      <c r="A2" s="193" t="s">
        <v>685</v>
      </c>
      <c r="B2" s="3114" t="e">
        <f ca="1">ROUND(IF(D2="——",C52/10000,C52/10000-E2),4)</f>
        <v>#DIV/0!</v>
      </c>
      <c r="C2" s="191" t="s">
        <v>1463</v>
      </c>
      <c r="D2" s="1707" t="s">
        <v>43</v>
      </c>
      <c r="E2" s="1085" t="e">
        <f ca="1">SUMIF(INDIRECT("'"&amp;G2&amp;"'"&amp;"!A:A"),"承租人权益价值",INDIRECT("'"&amp;G2&amp;"'"&amp;"!c:c"))</f>
        <v>#REF!</v>
      </c>
      <c r="F2" s="1708" t="s">
        <v>1463</v>
      </c>
      <c r="G2" s="1709"/>
    </row>
    <row r="3" spans="1:8" s="192" customFormat="1" ht="18" customHeight="1" thickBot="1">
      <c r="A3" s="195" t="s">
        <v>686</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#DIV/0!</v>
      </c>
      <c r="D5" s="203" t="s">
        <v>1469</v>
      </c>
      <c r="E5" s="204" t="s">
        <v>1470</v>
      </c>
      <c r="F5" s="204" t="s">
        <v>1471</v>
      </c>
      <c r="G5" s="205"/>
    </row>
    <row r="6" spans="1:8" s="206" customFormat="1" ht="13.5" customHeight="1">
      <c r="A6" s="728" t="s">
        <v>346</v>
      </c>
      <c r="B6" s="207" t="s">
        <v>1473</v>
      </c>
      <c r="C6" s="208" t="e">
        <f>'基准地价修正 -办公'!I40</f>
        <v>#DIV/0!</v>
      </c>
      <c r="D6" s="209"/>
      <c r="E6" s="210"/>
      <c r="F6" s="210"/>
      <c r="G6" s="211"/>
    </row>
    <row r="7" spans="1:8" s="206" customFormat="1" ht="13.5" customHeight="1">
      <c r="A7" s="728" t="s">
        <v>347</v>
      </c>
      <c r="B7" s="207" t="s">
        <v>1475</v>
      </c>
      <c r="C7" s="212" t="e">
        <f>ROUND(C6*F7,0)</f>
        <v>#DIV/0!</v>
      </c>
      <c r="D7" s="212"/>
      <c r="E7" s="210"/>
      <c r="F7" s="213">
        <f>IF(项目基本情况!B8="出让",0,'数据-取费表'!B48+'数据-取费表'!B49)</f>
        <v>3.0499999999999999E-2</v>
      </c>
      <c r="G7" s="211"/>
    </row>
    <row r="8" spans="1:8" s="215" customFormat="1">
      <c r="A8" s="728" t="s">
        <v>348</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120</v>
      </c>
      <c r="F19" s="223"/>
      <c r="G19" s="1710" t="s">
        <v>3435</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#DIV/0!</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230" t="e">
        <f ca="1">ROUND(IF('数据-取费表'!B22&lt;=1,C5*F22*'数据-取费表'!B22,C5*(POWER((1+F22),'数据-取费表'!B22)-1)),0)</f>
        <v>#DIV/0!</v>
      </c>
      <c r="D23" s="230"/>
      <c r="E23" s="230"/>
      <c r="F23" s="231"/>
      <c r="G23" s="232" t="s">
        <v>1504</v>
      </c>
    </row>
    <row r="24" spans="1:7" s="206" customFormat="1" ht="13.5" customHeight="1">
      <c r="A24" s="730"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0" t="s">
        <v>348</v>
      </c>
      <c r="B25" s="207" t="s">
        <v>1509</v>
      </c>
      <c r="C25" s="230" t="e">
        <f ca="1">ROUND(IF('数据-取费表'!B22&lt;=1,C20*F22*'数据-取费表'!B22/2,C20*(POWER((1+F22),'数据-取费表'!B22/2)-1)),0)</f>
        <v>#DIV/0!</v>
      </c>
      <c r="D25" s="230"/>
      <c r="E25" s="233"/>
      <c r="F25" s="231"/>
      <c r="G25" s="234" t="s">
        <v>1510</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ROUND((C5+C19+C20)*F27,0)</f>
        <v>#DIV/0!</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ROUND(IF('数据-取费表'!B22&lt;=1,C33*F22*'数据-取费表'!B20/2,C33*(POWER((1+F22),'数据-取费表'!B20/2)-1)),0)</f>
        <v>#N/A</v>
      </c>
      <c r="D42" s="230"/>
      <c r="E42" s="230"/>
      <c r="F42" s="231"/>
      <c r="G42" s="3348" t="s">
        <v>1591</v>
      </c>
    </row>
    <row r="43" spans="1:7" ht="13.5" customHeight="1">
      <c r="A43" s="730" t="s">
        <v>347</v>
      </c>
      <c r="B43" s="207" t="s">
        <v>1506</v>
      </c>
      <c r="C43" s="230" t="e">
        <f ca="1">ROUND(IF('数据-取费表'!B22&lt;=1,C39*F22*'数据-取费表'!B20/2,C39*(POWER((1+F22),'数据-取费表'!B20/2)-1)),0)</f>
        <v>#N/A</v>
      </c>
      <c r="D43" s="230"/>
      <c r="E43" s="230"/>
      <c r="F43" s="231"/>
      <c r="G43" s="3349"/>
    </row>
    <row r="44" spans="1:7" ht="13.5" customHeight="1">
      <c r="A44" s="730" t="s">
        <v>348</v>
      </c>
      <c r="B44" s="207" t="s">
        <v>1509</v>
      </c>
      <c r="C44" s="230">
        <f ca="1">ROUND(IF('数据-取费表'!B22&lt;=1,C40*F22*'数据-取费表'!B20/2,C40*(POWER((1+F22),'数据-取费表'!B20/2)-1)),4)</f>
        <v>5.9999999999999995E-4</v>
      </c>
      <c r="D44" s="230"/>
      <c r="E44" s="230"/>
      <c r="F44" s="231"/>
      <c r="G44" s="3350"/>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FA07A23F-AB07-4809-AA6C-E869BCD290F7}">
      <formula1>"需扣减承租人权益,——"</formula1>
    </dataValidation>
    <dataValidation type="list" allowBlank="1" showInputMessage="1" showErrorMessage="1" sqref="G2" xr:uid="{9923B401-4472-4CA4-96E9-BE0716BCF0A2}">
      <formula1>估价方法</formula1>
    </dataValidation>
    <dataValidation type="list" allowBlank="1" showInputMessage="1" showErrorMessage="1" sqref="B1" xr:uid="{D7EDCBE1-2979-43F1-A2AC-3A4821723549}">
      <formula1>项目类型</formula1>
    </dataValidation>
    <dataValidation type="list" allowBlank="1" showInputMessage="1" showErrorMessage="1" sqref="G19" xr:uid="{2860272B-7F61-409C-B6EE-80F734C3430C}">
      <formula1>"已包含在土地取得成本中,未包含在土地取得成本中"</formula1>
    </dataValidation>
    <dataValidation type="list" allowBlank="1" showInputMessage="1" showErrorMessage="1" sqref="G8" xr:uid="{DB68318F-7AE3-472E-9F32-8479C07D73F7}">
      <formula1>"已包含在土地购买价格中,未包含在土地购买价格中"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F5347-8112-4EB7-86CE-B693B5397022}">
  <sheetPr>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3436</v>
      </c>
      <c r="D1" s="1267" t="s">
        <v>43</v>
      </c>
      <c r="E1" s="1268" t="s">
        <v>678</v>
      </c>
      <c r="F1" s="995" t="e">
        <f ca="1">J53</f>
        <v>#N/A</v>
      </c>
      <c r="G1" s="1282"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t="e">
        <f ca="1">ROUND(D2/10000,4)</f>
        <v>#N/A</v>
      </c>
      <c r="C2" s="1285" t="s">
        <v>805</v>
      </c>
      <c r="D2" s="1371" t="e">
        <f ca="1">C40+J29+L46</f>
        <v>#N/A</v>
      </c>
      <c r="E2" s="1291" t="s">
        <v>880</v>
      </c>
      <c r="F2" s="1292"/>
      <c r="G2" s="2471"/>
      <c r="H2" s="2461"/>
      <c r="I2" s="2461"/>
      <c r="J2" s="2461"/>
      <c r="K2" s="2462"/>
      <c r="L2" s="2461"/>
      <c r="M2" s="2461"/>
    </row>
    <row r="3" spans="1:37" ht="18" customHeight="1" thickBot="1">
      <c r="A3" s="1293" t="s">
        <v>806</v>
      </c>
      <c r="B3" s="1294">
        <f ca="1">IF(ISERROR(D2/F43),0,ROUND(D2/F43,0))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t="e">
        <f ca="1">C6+C10+C12</f>
        <v>#N/A</v>
      </c>
      <c r="D5" s="1269" t="s">
        <v>693</v>
      </c>
      <c r="E5" s="1004"/>
      <c r="F5" s="1005"/>
      <c r="G5" s="1288"/>
      <c r="H5" s="291">
        <v>1</v>
      </c>
      <c r="I5" s="292" t="s">
        <v>692</v>
      </c>
      <c r="J5" s="1003" t="e">
        <f ca="1">J6+J10+J12</f>
        <v>#N/A</v>
      </c>
      <c r="K5" s="1269" t="s">
        <v>693</v>
      </c>
      <c r="L5" s="1004"/>
      <c r="M5" s="1005"/>
    </row>
    <row r="6" spans="1:37" ht="18" customHeight="1">
      <c r="A6" s="1002" t="s">
        <v>398</v>
      </c>
      <c r="B6" s="3351" t="s">
        <v>694</v>
      </c>
      <c r="C6" s="1007" t="e">
        <f ca="1">ROUND(F6*F8*F7*(1-F9),0)</f>
        <v>#N/A</v>
      </c>
      <c r="D6" s="147" t="s">
        <v>2106</v>
      </c>
      <c r="E6" s="294" t="s">
        <v>696</v>
      </c>
      <c r="F6" s="295" t="e">
        <f ca="1">INDIRECT("'数据-取费表'!u"&amp;$G$1)</f>
        <v>#N/A</v>
      </c>
      <c r="G6" s="1288"/>
      <c r="H6" s="1002" t="s">
        <v>398</v>
      </c>
      <c r="I6" s="3351" t="s">
        <v>694</v>
      </c>
      <c r="J6" s="293" t="e">
        <f ca="1">ROUND(M6*M8*M7*(1-M9),0)</f>
        <v>#N/A</v>
      </c>
      <c r="K6" s="1280" t="s">
        <v>2107</v>
      </c>
      <c r="L6" s="294" t="s">
        <v>696</v>
      </c>
      <c r="M6" s="295" t="e">
        <f ca="1">INDIRECT("'数据-取费表'!z"&amp;$G$1)</f>
        <v>#N/A</v>
      </c>
    </row>
    <row r="7" spans="1:37" ht="18" customHeight="1">
      <c r="A7" s="1006"/>
      <c r="B7" s="3352"/>
      <c r="C7" s="1008"/>
      <c r="D7" s="299"/>
      <c r="E7" s="1009" t="s">
        <v>697</v>
      </c>
      <c r="F7" s="295" t="e">
        <f ca="1">IF(INDIRECT("'数据-取费表'!ah"&amp;$G$1)="",INDIRECT("'数据-取费表'!k"&amp;$G$1),INDIRECT("'数据-取费表'!ah"&amp;$G$1))</f>
        <v>#N/A</v>
      </c>
      <c r="G7" s="1288"/>
      <c r="H7" s="296"/>
      <c r="I7" s="3352"/>
      <c r="J7" s="298"/>
      <c r="K7" s="299"/>
      <c r="L7" s="294" t="s">
        <v>697</v>
      </c>
      <c r="M7" s="295" t="e">
        <f ca="1">F7</f>
        <v>#N/A</v>
      </c>
    </row>
    <row r="8" spans="1:37" ht="18" customHeight="1">
      <c r="A8" s="296"/>
      <c r="B8" s="3352"/>
      <c r="C8" s="298"/>
      <c r="D8" s="299"/>
      <c r="E8" s="294" t="s">
        <v>698</v>
      </c>
      <c r="F8" s="295" t="e">
        <f ca="1">INDIRECT("'数据-取费表'!ai"&amp;$G$1)</f>
        <v>#N/A</v>
      </c>
      <c r="G8" s="1288"/>
      <c r="H8" s="296"/>
      <c r="I8" s="3352"/>
      <c r="J8" s="298"/>
      <c r="K8" s="299"/>
      <c r="L8" s="294" t="s">
        <v>698</v>
      </c>
      <c r="M8" s="295" t="e">
        <f ca="1">INDIRECT("'数据-取费表'!ai"&amp;$G$1)</f>
        <v>#N/A</v>
      </c>
    </row>
    <row r="9" spans="1:37" ht="18" customHeight="1">
      <c r="A9" s="296"/>
      <c r="B9" s="3353"/>
      <c r="C9" s="298"/>
      <c r="D9" s="299"/>
      <c r="E9" s="294" t="s">
        <v>699</v>
      </c>
      <c r="F9" s="304" t="e">
        <f ca="1">INDIRECT("'数据-取费表'!w"&amp;$G$1)</f>
        <v>#N/A</v>
      </c>
      <c r="G9" s="1288"/>
      <c r="H9" s="296"/>
      <c r="I9" s="3353"/>
      <c r="J9" s="298"/>
      <c r="K9" s="299"/>
      <c r="L9" s="305" t="s">
        <v>699</v>
      </c>
      <c r="M9" s="306" t="e">
        <f ca="1">INDIRECT("'数据-取费表'!ab"&amp;$G$1)</f>
        <v>#N/A</v>
      </c>
    </row>
    <row r="10" spans="1:37" ht="18" customHeight="1">
      <c r="A10" s="1002" t="s">
        <v>402</v>
      </c>
      <c r="B10" s="1270" t="s">
        <v>700</v>
      </c>
      <c r="C10" s="308" t="e">
        <f ca="1">ROUND(IF(F10="押一",C6/12*F11,IF(F10="押二",C6/12*2*F11,IF(F10="押三",C6/12*3*F11,C11*F11))),0)</f>
        <v>#N/A</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t="e">
        <f ca="1">ROUND(C29*F13,0)</f>
        <v>#N/A</v>
      </c>
      <c r="D13" s="1014" t="s">
        <v>705</v>
      </c>
      <c r="E13" s="1014" t="s">
        <v>706</v>
      </c>
      <c r="F13" s="1015" t="e">
        <f ca="1">INDIRECT("'数据-取费表'!y"&amp;$G$1)</f>
        <v>#N/A</v>
      </c>
      <c r="G13" s="1288"/>
      <c r="H13" s="1012">
        <v>2</v>
      </c>
      <c r="I13" s="1013" t="s">
        <v>704</v>
      </c>
      <c r="J13" s="1001" t="e">
        <f ca="1">ROUND(J14*J15,0)</f>
        <v>#N/A</v>
      </c>
      <c r="K13" s="1020" t="s">
        <v>705</v>
      </c>
      <c r="L13" s="1295"/>
      <c r="M13" s="1296"/>
    </row>
    <row r="14" spans="1:37" ht="18" customHeight="1">
      <c r="A14" s="924" t="s">
        <v>397</v>
      </c>
      <c r="B14" s="294" t="s">
        <v>707</v>
      </c>
      <c r="C14" s="310" t="e">
        <f ca="1">ROUND(INDIRECT("'数据-取费表'!l"&amp;$G$1)*F43+'数据-取费表'!L14*INDIRECT("'数据-取费表'!S"&amp;$G$1),0)</f>
        <v>#N/A</v>
      </c>
      <c r="D14" s="1253" t="s">
        <v>708</v>
      </c>
      <c r="E14" s="1251"/>
      <c r="F14" s="311"/>
      <c r="G14" s="1288"/>
      <c r="H14" s="924" t="s">
        <v>398</v>
      </c>
      <c r="I14" s="294" t="s">
        <v>709</v>
      </c>
      <c r="J14" s="21" t="e">
        <f ca="1">C29</f>
        <v>#N/A</v>
      </c>
      <c r="K14" s="12"/>
      <c r="L14" s="755"/>
      <c r="M14" s="756"/>
    </row>
    <row r="15" spans="1:37" s="1300" customFormat="1" ht="18" customHeight="1" thickBot="1">
      <c r="A15" s="924" t="s">
        <v>399</v>
      </c>
      <c r="B15" s="294" t="s">
        <v>710</v>
      </c>
      <c r="C15" s="21" t="e">
        <f ca="1">ROUND(C14*F15,0)</f>
        <v>#N/A</v>
      </c>
      <c r="D15" s="312" t="s">
        <v>711</v>
      </c>
      <c r="E15" s="312" t="s">
        <v>712</v>
      </c>
      <c r="F15" s="313">
        <f>'数据-取费表'!B33</f>
        <v>0.03</v>
      </c>
      <c r="G15" s="1299"/>
      <c r="H15" s="1022" t="s">
        <v>402</v>
      </c>
      <c r="I15" s="1023" t="s">
        <v>706</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t="e">
        <f ca="1">ROUND(INDIRECT("'数据-取费表'!l"&amp;$G$1)*F43*F16,0)</f>
        <v>#N/A</v>
      </c>
      <c r="D16" s="294" t="s">
        <v>711</v>
      </c>
      <c r="E16" s="294" t="s">
        <v>712</v>
      </c>
      <c r="F16" s="314" t="e">
        <f ca="1">IF(INDIRECT("'数据-取费表'!c"&amp;$G$1)="住宅",'数据-取费表'!B34,0)</f>
        <v>#N/A</v>
      </c>
      <c r="G16" s="1288"/>
      <c r="H16" s="1012" t="s">
        <v>393</v>
      </c>
      <c r="I16" s="1013" t="s">
        <v>714</v>
      </c>
      <c r="J16" s="302" t="e">
        <f ca="1">ROUND(J17+J22+J23+J24,0)</f>
        <v>#N/A</v>
      </c>
      <c r="K16" s="1020" t="s">
        <v>715</v>
      </c>
      <c r="L16" s="1021"/>
      <c r="M16" s="1005"/>
    </row>
    <row r="17" spans="1:37" s="1300" customFormat="1" ht="18" customHeight="1">
      <c r="A17" s="924" t="s">
        <v>681</v>
      </c>
      <c r="B17" s="294" t="s">
        <v>716</v>
      </c>
      <c r="C17" s="21" t="e">
        <f ca="1">ROUND(F17*(F43+INDIRECT("'数据-取费表'!S"&amp;$G$1)),0)</f>
        <v>#N/A</v>
      </c>
      <c r="D17" s="294" t="s">
        <v>717</v>
      </c>
      <c r="E17" s="294" t="s">
        <v>718</v>
      </c>
      <c r="F17" s="23">
        <f>'数据-取费表'!B35</f>
        <v>120</v>
      </c>
      <c r="G17" s="1299"/>
      <c r="H17" s="924" t="s">
        <v>398</v>
      </c>
      <c r="I17" s="294" t="s">
        <v>719</v>
      </c>
      <c r="J17" s="2134" t="e">
        <f ca="1">ROUND(IF(AND(项目基本情况!B11="自然人",项目基本情况!B10="北京市"),J6*M17/(1+'数据-取费表'!C42),J18+J19+J20),0)</f>
        <v>#N/A</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t="e">
        <f ca="1">ROUND(C14*F18,0)</f>
        <v>#N/A</v>
      </c>
      <c r="D18" s="294" t="s">
        <v>711</v>
      </c>
      <c r="E18" s="294" t="s">
        <v>712</v>
      </c>
      <c r="F18" s="314">
        <f>'数据-取费表'!B36</f>
        <v>1.4999999999999999E-2</v>
      </c>
      <c r="G18" s="1299"/>
      <c r="H18" s="924" t="s">
        <v>397</v>
      </c>
      <c r="I18" s="294" t="s">
        <v>723</v>
      </c>
      <c r="J18" s="21" t="e">
        <f ca="1">ROUND(J6*M18/(1+'数据-取费表'!C42),0)</f>
        <v>#N/A</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t="e">
        <f ca="1">SUM(C14:C18)</f>
        <v>#N/A</v>
      </c>
      <c r="D19" s="123" t="s">
        <v>726</v>
      </c>
      <c r="E19" s="1265"/>
      <c r="F19" s="23"/>
      <c r="G19" s="1288"/>
      <c r="H19" s="924" t="s">
        <v>399</v>
      </c>
      <c r="I19" s="294" t="s">
        <v>727</v>
      </c>
      <c r="J19" s="21" t="e">
        <f ca="1">IF(K19="按租金收入计税",ROUND(J6*M19/(1+'数据-取费表'!C42),0),ROUND(C29*M19*0.7,0))</f>
        <v>#N/A</v>
      </c>
      <c r="K19" s="1274" t="s">
        <v>3331</v>
      </c>
      <c r="L19" s="294" t="s">
        <v>712</v>
      </c>
      <c r="M19" s="314">
        <f>IF(K19="按租金收入计税",'数据-取费表'!B51,'数据-取费表'!B50)</f>
        <v>0.12</v>
      </c>
    </row>
    <row r="20" spans="1:37" s="1300" customFormat="1" ht="18" customHeight="1">
      <c r="A20" s="924" t="s">
        <v>402</v>
      </c>
      <c r="B20" s="294" t="s">
        <v>728</v>
      </c>
      <c r="C20" s="21" t="e">
        <f ca="1">ROUND(C19*F20,0)</f>
        <v>#N/A</v>
      </c>
      <c r="D20" s="315" t="s">
        <v>729</v>
      </c>
      <c r="E20" s="294" t="s">
        <v>712</v>
      </c>
      <c r="F20" s="314">
        <f>'数据-取费表'!B37</f>
        <v>0.02</v>
      </c>
      <c r="G20" s="1299"/>
      <c r="H20" s="924" t="s">
        <v>680</v>
      </c>
      <c r="I20" s="147" t="s">
        <v>730</v>
      </c>
      <c r="J20" s="22" t="e">
        <f ca="1">ROUND(M20*M21,0)</f>
        <v>#N/A</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t="e">
        <f ca="1">ROUND(J14*M22,0)</f>
        <v>#N/A</v>
      </c>
      <c r="K22" s="1252" t="s">
        <v>739</v>
      </c>
      <c r="L22" s="294" t="s">
        <v>712</v>
      </c>
      <c r="M22" s="320" t="e">
        <f ca="1">INDIRECT("'数据-取费表'!Ak"&amp;$G$1)</f>
        <v>#N/A</v>
      </c>
    </row>
    <row r="23" spans="1:37" s="1300" customFormat="1" ht="18" customHeight="1">
      <c r="A23" s="924"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t="e">
        <f ca="1">ROUND(J13*M23,0)</f>
        <v>#N/A</v>
      </c>
      <c r="K23" s="1252" t="s">
        <v>743</v>
      </c>
      <c r="L23" s="294" t="s">
        <v>712</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t="e">
        <f ca="1">ROUND(J5*M24,0)</f>
        <v>#N/A</v>
      </c>
      <c r="K24" s="1025" t="s">
        <v>748</v>
      </c>
      <c r="L24" s="1023" t="s">
        <v>712</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t="e">
        <f ca="1">J5-J16</f>
        <v>#N/A</v>
      </c>
      <c r="K25" s="1028" t="s">
        <v>753</v>
      </c>
      <c r="L25" s="1029"/>
      <c r="M25" s="1030"/>
    </row>
    <row r="26" spans="1:37" ht="18" customHeight="1">
      <c r="A26" s="924" t="s">
        <v>397</v>
      </c>
      <c r="B26" s="294" t="s">
        <v>754</v>
      </c>
      <c r="C26" s="21" t="e">
        <f ca="1">ROUND((C19+C20)*F26,0)</f>
        <v>#N/A</v>
      </c>
      <c r="D26" s="315" t="s">
        <v>755</v>
      </c>
      <c r="E26" s="305" t="s">
        <v>756</v>
      </c>
      <c r="F26" s="304" t="e">
        <f ca="1">INDIRECT("'数据-取费表'!q"&amp;$G$1)</f>
        <v>#N/A</v>
      </c>
      <c r="G26" s="1288"/>
      <c r="H26" s="291" t="s">
        <v>395</v>
      </c>
      <c r="I26" s="292" t="s">
        <v>757</v>
      </c>
      <c r="J26" s="293" t="e">
        <f ca="1">IF(J5&lt;&gt;0,ROUND(J25*(1-((1+M28)/(1+M26))^M27)/(M26-M28),0),0)</f>
        <v>#N/A</v>
      </c>
      <c r="K26" s="316" t="s">
        <v>758</v>
      </c>
      <c r="L26" s="294" t="s">
        <v>759</v>
      </c>
      <c r="M26" s="304" t="e">
        <f ca="1">INDIRECT("'数据-取费表'!I"&amp;$G$1)</f>
        <v>#N/A</v>
      </c>
    </row>
    <row r="27" spans="1:37" ht="18" customHeight="1">
      <c r="A27" s="924" t="s">
        <v>399</v>
      </c>
      <c r="B27" s="294" t="s">
        <v>760</v>
      </c>
      <c r="C27" s="21" t="e">
        <f ca="1">ROUND(F21*F26,4)</f>
        <v>#N/A</v>
      </c>
      <c r="D27" s="315" t="s">
        <v>761</v>
      </c>
      <c r="E27" s="312"/>
      <c r="F27" s="313"/>
      <c r="G27" s="1288"/>
      <c r="H27" s="296"/>
      <c r="I27" s="297"/>
      <c r="J27" s="298"/>
      <c r="K27" s="323" t="s">
        <v>762</v>
      </c>
      <c r="L27" s="294" t="s">
        <v>763</v>
      </c>
      <c r="M27" s="324" t="e">
        <f ca="1">INDIRECT("'数据-取费表'!ag"&amp;$G$1)</f>
        <v>#N/A</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t="e">
        <f ca="1">ROUND((C19+C20+C23+C26)/(1-F21-C24-C27-C28),0)</f>
        <v>#N/A</v>
      </c>
      <c r="D29" s="1025"/>
      <c r="E29" s="1023"/>
      <c r="F29" s="1026"/>
      <c r="G29" s="1299"/>
      <c r="H29" s="325" t="s">
        <v>396</v>
      </c>
      <c r="I29" s="326" t="s">
        <v>768</v>
      </c>
      <c r="J29" s="327" t="e">
        <f ca="1">ROUND(J26/(1+F40)^F41,0)</f>
        <v>#N/A</v>
      </c>
      <c r="K29" s="328" t="s">
        <v>769</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t="e">
        <f ca="1">ROUND(C31+C36+C37+C38,0)</f>
        <v>#N/A</v>
      </c>
      <c r="D30" s="1020" t="s">
        <v>715</v>
      </c>
      <c r="E30" s="1021"/>
      <c r="F30" s="1005"/>
      <c r="G30" s="1288"/>
      <c r="H30" s="2463"/>
      <c r="I30" s="1301"/>
      <c r="J30" s="1302"/>
      <c r="K30" s="121"/>
      <c r="L30" s="2464"/>
      <c r="M30" s="2465"/>
    </row>
    <row r="31" spans="1:37" ht="18" customHeight="1">
      <c r="A31" s="924" t="s">
        <v>398</v>
      </c>
      <c r="B31" s="294" t="s">
        <v>719</v>
      </c>
      <c r="C31" s="2134" t="e">
        <f ca="1">ROUND(IF(AND(项目基本情况!B11="自然人",项目基本情况!B10="北京市"),C6*F31/(1+'数据-取费表'!C42),C32+C33+C34),0)</f>
        <v>#N/A</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t="e">
        <f ca="1">IF(项目基本情况!B11="自然人","——",ROUND(C6*F32/(1+'数据-取费表'!C42),0))</f>
        <v>#N/A</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t="e">
        <f ca="1">IF(项目基本情况!B11="自然人","——",IF(D33="按租金收入计税",ROUND(C6*F33/(1+'数据-取费表'!C42),0),IF(D33="按房产原值计税",ROUND(C29*F33*0.7,0),INDIRECT("'数据-取费表'!Aj"&amp;$G$1))))</f>
        <v>#N/A</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t="e">
        <f ca="1">IF(项目基本情况!B11="自然人","——",ROUND(F34*F35,0))</f>
        <v>#N/A</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t="e">
        <f ca="1">INDIRECT("'数据-取费表'!r"&amp;$G$1)</f>
        <v>#N/A</v>
      </c>
      <c r="G35" s="1288"/>
      <c r="H35" s="2463"/>
      <c r="I35" s="1301"/>
      <c r="J35" s="1302"/>
      <c r="K35" s="2467"/>
      <c r="L35" s="2466"/>
      <c r="M35" s="2466"/>
    </row>
    <row r="36" spans="1:18" ht="18" customHeight="1">
      <c r="A36" s="1035" t="s">
        <v>402</v>
      </c>
      <c r="B36" s="294" t="s">
        <v>738</v>
      </c>
      <c r="C36" s="21" t="e">
        <f ca="1">ROUND(C29*F36,0)</f>
        <v>#N/A</v>
      </c>
      <c r="D36" s="1252" t="s">
        <v>771</v>
      </c>
      <c r="E36" s="294" t="s">
        <v>712</v>
      </c>
      <c r="F36" s="320" t="e">
        <f ca="1">INDIRECT("'数据-取费表'!Ak"&amp;$G$1)</f>
        <v>#N/A</v>
      </c>
      <c r="G36" s="1288"/>
      <c r="H36" s="2466"/>
      <c r="I36" s="1301"/>
      <c r="J36" s="1302"/>
      <c r="K36" s="2323"/>
      <c r="L36" s="2466"/>
      <c r="M36" s="2466"/>
    </row>
    <row r="37" spans="1:18" ht="18" customHeight="1">
      <c r="A37" s="924" t="s">
        <v>437</v>
      </c>
      <c r="B37" s="294" t="s">
        <v>742</v>
      </c>
      <c r="C37" s="21" t="e">
        <f ca="1">ROUND(C13*F37,0)</f>
        <v>#N/A</v>
      </c>
      <c r="D37" s="1252" t="s">
        <v>743</v>
      </c>
      <c r="E37" s="294" t="s">
        <v>712</v>
      </c>
      <c r="F37" s="321" t="e">
        <f ca="1">INDIRECT("'数据-取费表'!Al"&amp;$G$1)</f>
        <v>#N/A</v>
      </c>
      <c r="G37" s="1288"/>
      <c r="H37" s="2466"/>
      <c r="I37" s="1301"/>
      <c r="J37" s="1302"/>
      <c r="K37" s="2323"/>
      <c r="L37" s="2466"/>
      <c r="M37" s="2466"/>
    </row>
    <row r="38" spans="1:18" ht="18" customHeight="1" thickBot="1">
      <c r="A38" s="1022" t="s">
        <v>683</v>
      </c>
      <c r="B38" s="1023" t="s">
        <v>728</v>
      </c>
      <c r="C38" s="1024" t="e">
        <f ca="1">ROUND(C5*F38,0)</f>
        <v>#N/A</v>
      </c>
      <c r="D38" s="1025" t="s">
        <v>748</v>
      </c>
      <c r="E38" s="1023" t="s">
        <v>712</v>
      </c>
      <c r="F38" s="1019" t="e">
        <f ca="1">INDIRECT("'数据-取费表'!Am"&amp;$G$1)</f>
        <v>#N/A</v>
      </c>
      <c r="G38" s="1288"/>
      <c r="H38" s="2466"/>
      <c r="I38" s="1301"/>
      <c r="J38" s="1302"/>
      <c r="K38" s="2464"/>
      <c r="L38" s="2466"/>
      <c r="M38" s="2466"/>
    </row>
    <row r="39" spans="1:18" ht="24.6" customHeight="1" thickTop="1">
      <c r="A39" s="1012" t="s">
        <v>394</v>
      </c>
      <c r="B39" s="1027" t="s">
        <v>752</v>
      </c>
      <c r="C39" s="302" t="e">
        <f ca="1">C5-C30</f>
        <v>#N/A</v>
      </c>
      <c r="D39" s="1028" t="s">
        <v>753</v>
      </c>
      <c r="E39" s="1029"/>
      <c r="F39" s="1030"/>
      <c r="G39" s="1288"/>
      <c r="H39" s="2466"/>
      <c r="I39" s="1301"/>
      <c r="J39" s="1302"/>
      <c r="K39" s="2464"/>
      <c r="L39" s="2466"/>
      <c r="M39" s="2466"/>
    </row>
    <row r="40" spans="1:18" ht="18" customHeight="1">
      <c r="A40" s="291" t="s">
        <v>395</v>
      </c>
      <c r="B40" s="292" t="s">
        <v>774</v>
      </c>
      <c r="C40" s="293" t="e">
        <f ca="1">ROUND(C39*(1-((1+F42)/(1+F40))^F41)/(F40-F42),0)</f>
        <v>#N/A</v>
      </c>
      <c r="D40" s="316" t="s">
        <v>758</v>
      </c>
      <c r="E40" s="294" t="s">
        <v>759</v>
      </c>
      <c r="F40" s="304" t="e">
        <f ca="1">INDIRECT("'数据-取费表'!I"&amp;$G$1)</f>
        <v>#N/A</v>
      </c>
      <c r="G40" s="1288"/>
      <c r="H40" s="1362"/>
      <c r="I40" s="1301"/>
      <c r="J40" s="1302"/>
      <c r="K40" s="2464"/>
      <c r="L40" s="1362"/>
      <c r="M40" s="1362"/>
    </row>
    <row r="41" spans="1:18" ht="18" customHeight="1">
      <c r="A41" s="296"/>
      <c r="B41" s="297"/>
      <c r="C41" s="298"/>
      <c r="D41" s="323" t="s">
        <v>775</v>
      </c>
      <c r="E41" s="294" t="s">
        <v>763</v>
      </c>
      <c r="F41" s="324" t="e">
        <f ca="1">IF(INDIRECT("'数据-取费表'!af"&amp;$G$1)=0,INDIRECT("'数据-取费表'!ae"&amp;$G$1),INDIRECT("'数据-取费表'!af"&amp;$G$1))</f>
        <v>#N/A</v>
      </c>
      <c r="G41" s="1288"/>
      <c r="H41" s="121"/>
      <c r="I41" s="1301"/>
      <c r="J41" s="1302"/>
      <c r="K41" s="2323"/>
      <c r="L41" s="121"/>
      <c r="M41" s="121"/>
    </row>
    <row r="42" spans="1:18" ht="18" customHeight="1">
      <c r="A42" s="300"/>
      <c r="B42" s="301"/>
      <c r="C42" s="302"/>
      <c r="D42" s="319"/>
      <c r="E42" s="294" t="s">
        <v>766</v>
      </c>
      <c r="F42" s="304" t="e">
        <f ca="1">INDIRECT("'数据-取费表'!v"&amp;$G$1)</f>
        <v>#N/A</v>
      </c>
      <c r="G42" s="1288"/>
      <c r="H42" s="121"/>
      <c r="I42" s="1301"/>
      <c r="J42" s="1302"/>
      <c r="K42" s="2323"/>
      <c r="L42" s="121"/>
      <c r="M42" s="121"/>
    </row>
    <row r="43" spans="1:18" ht="18" customHeight="1" thickBot="1">
      <c r="A43" s="325" t="s">
        <v>396</v>
      </c>
      <c r="B43" s="326" t="s">
        <v>776</v>
      </c>
      <c r="C43" s="327" t="e">
        <f ca="1">ROUND(C40/F43,0)</f>
        <v>#N/A</v>
      </c>
      <c r="D43" s="328" t="s">
        <v>777</v>
      </c>
      <c r="E43" s="329" t="s">
        <v>778</v>
      </c>
      <c r="F43" s="330" t="e">
        <f ca="1">INDIRECT("'数据-取费表'!k"&amp;$G$1)</f>
        <v>#N/A</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#N/A</v>
      </c>
      <c r="D45" s="3121" t="s">
        <v>3348</v>
      </c>
      <c r="E45" s="1303"/>
      <c r="F45" s="1303"/>
      <c r="O45" s="1306" t="s">
        <v>808</v>
      </c>
      <c r="P45" s="1362"/>
      <c r="Q45" s="1362"/>
      <c r="R45" s="1362"/>
    </row>
    <row r="46" spans="1:18" s="1288" customFormat="1" ht="13.5" thickBot="1">
      <c r="A46" s="1307" t="s">
        <v>809</v>
      </c>
      <c r="C46" s="1308" t="e">
        <f ca="1">ROUND(C45,0)</f>
        <v>#N/A</v>
      </c>
      <c r="D46" s="1309" t="str">
        <f>C2</f>
        <v>万元</v>
      </c>
      <c r="I46" s="1310" t="s">
        <v>810</v>
      </c>
      <c r="J46" s="1311"/>
      <c r="K46" s="1312"/>
      <c r="L46" s="1313" t="e">
        <f ca="1">IF(M47="住宅",0,IF(L48&gt;J51,L60,J60))</f>
        <v>#N/A</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3" t="s">
        <v>438</v>
      </c>
      <c r="B48" s="292" t="s">
        <v>692</v>
      </c>
      <c r="C48" s="1264" t="e">
        <f ca="1">C49+C53+C55</f>
        <v>#N/A</v>
      </c>
      <c r="D48" s="1045"/>
      <c r="E48" s="1046"/>
      <c r="F48" s="904"/>
      <c r="G48" s="681"/>
      <c r="H48" s="682"/>
      <c r="I48" s="1324" t="s">
        <v>819</v>
      </c>
      <c r="J48" s="1325" t="s">
        <v>3448</v>
      </c>
      <c r="K48" s="1326" t="s">
        <v>820</v>
      </c>
      <c r="L48" s="1327" t="e">
        <f ca="1">INDIRECT("'数据-取费表'!f"&amp;$G$1)</f>
        <v>#N/A</v>
      </c>
      <c r="O48" s="1321" t="s">
        <v>404</v>
      </c>
      <c r="P48" s="1322" t="s">
        <v>821</v>
      </c>
      <c r="Q48" s="1323" t="e">
        <f ca="1">J60</f>
        <v>#N/A</v>
      </c>
      <c r="R48" s="1323" t="s">
        <v>822</v>
      </c>
    </row>
    <row r="49" spans="1:18" s="1288" customFormat="1" ht="13.5" thickBot="1">
      <c r="A49" s="917" t="s">
        <v>439</v>
      </c>
      <c r="B49" s="1275" t="s">
        <v>779</v>
      </c>
      <c r="C49" s="1047" t="e">
        <f ca="1">ROUND(F49*F51*F50*(1-F52),0)</f>
        <v>#N/A</v>
      </c>
      <c r="D49" s="988" t="s">
        <v>695</v>
      </c>
      <c r="E49" s="1276" t="s">
        <v>780</v>
      </c>
      <c r="F49" s="993"/>
      <c r="H49" s="682"/>
      <c r="I49" s="1324" t="s">
        <v>823</v>
      </c>
      <c r="J49" s="1328">
        <v>2022</v>
      </c>
      <c r="K49" s="1326" t="s">
        <v>824</v>
      </c>
      <c r="L49" s="1329"/>
      <c r="O49" s="1330" t="s">
        <v>405</v>
      </c>
      <c r="P49" s="1322" t="s">
        <v>825</v>
      </c>
      <c r="Q49" s="1323" t="e">
        <f ca="1">C29</f>
        <v>#N/A</v>
      </c>
      <c r="R49" s="1323" t="s">
        <v>818</v>
      </c>
    </row>
    <row r="50" spans="1:18" s="1288" customFormat="1" ht="13.5" thickBot="1">
      <c r="A50" s="918"/>
      <c r="B50" s="921"/>
      <c r="C50" s="922"/>
      <c r="D50" s="895"/>
      <c r="E50" s="989" t="s">
        <v>697</v>
      </c>
      <c r="F50" s="990" t="e">
        <f ca="1">F7</f>
        <v>#N/A</v>
      </c>
      <c r="H50" s="682"/>
      <c r="I50" s="1324" t="s">
        <v>826</v>
      </c>
      <c r="J50" s="1331">
        <f>SUMPRODUCT((I63:I65=J47)*(J62:L62=J48)*(J63:L65))</f>
        <v>60</v>
      </c>
      <c r="K50" s="1326" t="s">
        <v>827</v>
      </c>
      <c r="L50" s="1329"/>
      <c r="M50" s="1332"/>
      <c r="O50" s="1330" t="s">
        <v>406</v>
      </c>
      <c r="P50" s="1322" t="s">
        <v>828</v>
      </c>
      <c r="Q50" s="1333" t="e">
        <f ca="1">J58</f>
        <v>#N/A</v>
      </c>
      <c r="R50" s="1323"/>
    </row>
    <row r="51" spans="1:18" s="1288" customFormat="1" ht="13.5" thickBot="1">
      <c r="A51" s="919"/>
      <c r="B51" s="921"/>
      <c r="C51" s="922"/>
      <c r="D51" s="895"/>
      <c r="E51" s="923" t="s">
        <v>698</v>
      </c>
      <c r="F51" s="295" t="e">
        <f ca="1">F8</f>
        <v>#N/A</v>
      </c>
      <c r="I51" s="1334" t="s">
        <v>829</v>
      </c>
      <c r="J51" s="1327">
        <f>IF(J49="",J50,J49+J50-YEAR('数据-取费表'!B2))</f>
        <v>57</v>
      </c>
      <c r="K51" s="1335" t="s">
        <v>830</v>
      </c>
      <c r="L51" s="1336" t="e">
        <f ca="1">ROUND(-PV(INDIRECT("'数据-取费表'!h"&amp;$G$1),J51,(C39-C13*C76),0),0)</f>
        <v>#N/A</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f>'数据-取费表'!J7</f>
        <v>0</v>
      </c>
      <c r="K52" s="1338" t="s">
        <v>833</v>
      </c>
      <c r="L52" s="1339"/>
      <c r="O52" s="1330" t="s">
        <v>408</v>
      </c>
      <c r="P52" s="1322" t="s">
        <v>834</v>
      </c>
      <c r="Q52" s="1323" t="e">
        <f ca="1">J53</f>
        <v>#N/A</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t="e">
        <f ca="1">IF(M47="住宅",IF(D1="——",MAX(J51,L48),MAX(J51,L48-'数据-取费表'!B24)),IF(D1="——",MIN(J51,L48),MIN(J51,L48-'数据-取费表'!B24)))</f>
        <v>#N/A</v>
      </c>
      <c r="K53" s="3354" t="s">
        <v>837</v>
      </c>
      <c r="L53" s="3355"/>
      <c r="O53" s="1321" t="s">
        <v>409</v>
      </c>
      <c r="P53" s="1322" t="s">
        <v>838</v>
      </c>
      <c r="Q53" s="1323" t="e">
        <f ca="1">Q47+Q48</f>
        <v>#N/A</v>
      </c>
      <c r="R53" s="1323" t="s">
        <v>410</v>
      </c>
    </row>
    <row r="54" spans="1:18" s="1288" customFormat="1" ht="13.5" thickBot="1">
      <c r="A54" s="917"/>
      <c r="B54" s="1373" t="s">
        <v>891</v>
      </c>
      <c r="C54" s="901"/>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#N/A</v>
      </c>
      <c r="K55" s="1346" t="s">
        <v>841</v>
      </c>
      <c r="L55" s="1347"/>
      <c r="O55" s="1314" t="s">
        <v>811</v>
      </c>
      <c r="P55" s="1315" t="s">
        <v>812</v>
      </c>
      <c r="Q55" s="1316" t="s">
        <v>813</v>
      </c>
      <c r="R55" s="1316" t="s">
        <v>814</v>
      </c>
    </row>
    <row r="56" spans="1:18" s="1288" customFormat="1" ht="36" customHeight="1" thickTop="1" thickBot="1">
      <c r="A56" s="899">
        <v>2</v>
      </c>
      <c r="B56" s="900" t="s">
        <v>704</v>
      </c>
      <c r="C56" s="224" t="e">
        <f ca="1">C13</f>
        <v>#N/A</v>
      </c>
      <c r="D56" s="1348"/>
      <c r="E56" s="1349"/>
      <c r="F56" s="1341"/>
      <c r="I56" s="1350" t="s">
        <v>842</v>
      </c>
      <c r="J56" s="1351" t="s">
        <v>3449</v>
      </c>
      <c r="K56" s="1324" t="s">
        <v>843</v>
      </c>
      <c r="L56" s="1327" t="e">
        <f ca="1">IF(L48&lt;J51,"——",L48-J51)</f>
        <v>#N/A</v>
      </c>
      <c r="O56" s="1321" t="s">
        <v>403</v>
      </c>
      <c r="P56" s="1322" t="s">
        <v>817</v>
      </c>
      <c r="Q56" s="1323" t="e">
        <f ca="1">C40+J29</f>
        <v>#N/A</v>
      </c>
      <c r="R56" s="1323" t="s">
        <v>818</v>
      </c>
    </row>
    <row r="57" spans="1:18" s="1288" customFormat="1" ht="24.75" thickBot="1">
      <c r="A57" s="1352"/>
      <c r="B57" s="892" t="s">
        <v>767</v>
      </c>
      <c r="C57" s="230" t="e">
        <f ca="1">C29</f>
        <v>#N/A</v>
      </c>
      <c r="D57" s="1353"/>
      <c r="E57" s="1354"/>
      <c r="F57" s="1355"/>
      <c r="I57" s="1356" t="s">
        <v>844</v>
      </c>
      <c r="J57" s="1357" t="e">
        <f ca="1">IF(OR(M47="住宅",J51&lt;L48,J56="是"),"——",J51-L48)</f>
        <v>#N/A</v>
      </c>
      <c r="K57" s="1324" t="s">
        <v>892</v>
      </c>
      <c r="L57" s="1327" t="e">
        <f ca="1">IF(L48&lt;J51,"——",IF(L55="比较法",L49,IF(L55="基准地价",L50,L51)))</f>
        <v>#N/A</v>
      </c>
      <c r="O57" s="1321" t="s">
        <v>404</v>
      </c>
      <c r="P57" s="1322" t="s">
        <v>846</v>
      </c>
      <c r="Q57" s="1323" t="e">
        <f ca="1">L60</f>
        <v>#N/A</v>
      </c>
      <c r="R57" s="1323" t="s">
        <v>847</v>
      </c>
    </row>
    <row r="58" spans="1:18" s="1288" customFormat="1" ht="24.75" thickBot="1">
      <c r="A58" s="307" t="s">
        <v>393</v>
      </c>
      <c r="B58" s="900" t="s">
        <v>714</v>
      </c>
      <c r="C58" s="308" t="e">
        <f ca="1">ROUND(C59+C64+C65+C66,0)</f>
        <v>#N/A</v>
      </c>
      <c r="D58" s="902" t="s">
        <v>715</v>
      </c>
      <c r="E58" s="903"/>
      <c r="F58" s="904"/>
      <c r="I58" s="1356" t="s">
        <v>848</v>
      </c>
      <c r="J58" s="1358" t="e">
        <f ca="1">IF(J55&lt;0.4,0.4,J55)</f>
        <v>#N/A</v>
      </c>
      <c r="K58" s="1335" t="s">
        <v>895</v>
      </c>
      <c r="L58" s="1327" t="e">
        <f ca="1">ROUND(POWER(1+L52,L47-L48)*(POWER(1+L52,L48)-1)/(POWER(1+L52,L47)-1),4)</f>
        <v>#N/A</v>
      </c>
      <c r="O58" s="1330" t="s">
        <v>405</v>
      </c>
      <c r="P58" s="1322" t="s">
        <v>850</v>
      </c>
      <c r="Q58" s="1323">
        <f>IF(L55="比较法",L49,IF(L55="基准地价",L50,0))</f>
        <v>0</v>
      </c>
      <c r="R58" s="1323" t="s">
        <v>818</v>
      </c>
    </row>
    <row r="59" spans="1:18" s="1288" customFormat="1" ht="24.75" thickBot="1">
      <c r="A59" s="924" t="s">
        <v>398</v>
      </c>
      <c r="B59" s="892" t="s">
        <v>719</v>
      </c>
      <c r="C59" s="2134" t="e">
        <f ca="1">ROUND(IF(AND(项目基本情况!B11="自然人",项目基本情况!B10="北京市"),C49*F59/(1+'数据-取费表'!C42),C60+C61+C62),0)</f>
        <v>#N/A</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0" t="s">
        <v>406</v>
      </c>
      <c r="P59" s="1322" t="s">
        <v>852</v>
      </c>
      <c r="Q59" s="1333">
        <f>L52</f>
        <v>0</v>
      </c>
      <c r="R59" s="1323"/>
    </row>
    <row r="60" spans="1:18" s="1288" customFormat="1" ht="16.5" thickBot="1">
      <c r="A60" s="924" t="s">
        <v>397</v>
      </c>
      <c r="B60" s="892" t="s">
        <v>723</v>
      </c>
      <c r="C60" s="21" t="e">
        <f ca="1">IF(项目基本情况!B11="自然人","——",ROUND(C48*F60/(1+'数据-取费表'!C42),0))</f>
        <v>#N/A</v>
      </c>
      <c r="D60" s="906" t="s">
        <v>724</v>
      </c>
      <c r="E60" s="892" t="s">
        <v>712</v>
      </c>
      <c r="F60" s="322">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4" t="s">
        <v>781</v>
      </c>
      <c r="B61" s="892" t="s">
        <v>727</v>
      </c>
      <c r="C61" s="21" t="e">
        <f ca="1">IF(项目基本情况!B11="自然人","——",IF(D61="按租金收入计税",ROUND(C49*F61/(1+'数据-取费表'!C42),0),IF(D61="按房产原值计税",ROUND(C57*F61*0.7,0),INDIRECT("'数据-取费表'!Aj"&amp;$G$1))))</f>
        <v>#N/A</v>
      </c>
      <c r="D61" s="1274" t="s">
        <v>3331</v>
      </c>
      <c r="E61" s="892" t="s">
        <v>712</v>
      </c>
      <c r="F61" s="314">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4" t="s">
        <v>784</v>
      </c>
      <c r="B62" s="891" t="s">
        <v>730</v>
      </c>
      <c r="C62" s="22" t="e">
        <f ca="1">IF(项目基本情况!B11="自然人","——",ROUND(F62*F63,0))</f>
        <v>#N/A</v>
      </c>
      <c r="D62" s="907" t="s">
        <v>731</v>
      </c>
      <c r="E62" s="892" t="s">
        <v>732</v>
      </c>
      <c r="F62" s="317">
        <f t="shared" si="0"/>
        <v>0</v>
      </c>
      <c r="I62" s="1363" t="s">
        <v>858</v>
      </c>
      <c r="J62" s="610" t="s">
        <v>859</v>
      </c>
      <c r="K62" s="610" t="s">
        <v>860</v>
      </c>
      <c r="L62" s="610" t="s">
        <v>861</v>
      </c>
      <c r="M62" s="1364" t="s">
        <v>862</v>
      </c>
      <c r="O62" s="1321" t="s">
        <v>409</v>
      </c>
      <c r="P62" s="1322" t="s">
        <v>838</v>
      </c>
      <c r="Q62" s="1323" t="e">
        <f ca="1">Q56+Q57</f>
        <v>#N/A</v>
      </c>
      <c r="R62" s="1323" t="s">
        <v>410</v>
      </c>
    </row>
    <row r="63" spans="1:18" s="1288" customFormat="1" ht="13.5" thickBot="1">
      <c r="A63" s="318"/>
      <c r="B63" s="898"/>
      <c r="C63" s="26"/>
      <c r="D63" s="908"/>
      <c r="E63" s="892" t="s">
        <v>736</v>
      </c>
      <c r="F63" s="295" t="e">
        <f t="shared" ca="1" si="0"/>
        <v>#N/A</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t="e">
        <f ca="1">ROUND(C57*F64,0)</f>
        <v>#N/A</v>
      </c>
      <c r="D64" s="906" t="s">
        <v>771</v>
      </c>
      <c r="E64" s="892" t="s">
        <v>712</v>
      </c>
      <c r="F64" s="320" t="e">
        <f t="shared" ca="1" si="0"/>
        <v>#N/A</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t="e">
        <f ca="1">ROUND(C56*F65,0)</f>
        <v>#N/A</v>
      </c>
      <c r="D65" s="906" t="s">
        <v>743</v>
      </c>
      <c r="E65" s="892" t="s">
        <v>712</v>
      </c>
      <c r="F65" s="321" t="e">
        <f t="shared" ca="1" si="0"/>
        <v>#N/A</v>
      </c>
      <c r="I65" s="1363" t="s">
        <v>867</v>
      </c>
      <c r="J65" s="610">
        <v>40</v>
      </c>
      <c r="K65" s="610">
        <v>30</v>
      </c>
      <c r="L65" s="610">
        <v>50</v>
      </c>
      <c r="M65" s="1365">
        <v>0.02</v>
      </c>
      <c r="O65" s="1321" t="s">
        <v>403</v>
      </c>
      <c r="P65" s="1322" t="s">
        <v>817</v>
      </c>
      <c r="Q65" s="1323" t="e">
        <f ca="1">C40+J29</f>
        <v>#N/A</v>
      </c>
      <c r="R65" s="1323" t="s">
        <v>818</v>
      </c>
    </row>
    <row r="66" spans="1:18" s="1288" customFormat="1" ht="16.5" thickBot="1">
      <c r="A66" s="924" t="s">
        <v>793</v>
      </c>
      <c r="B66" s="892" t="s">
        <v>728</v>
      </c>
      <c r="C66" s="21" t="e">
        <f ca="1">ROUND(C48*F66,0)</f>
        <v>#N/A</v>
      </c>
      <c r="D66" s="906" t="s">
        <v>748</v>
      </c>
      <c r="E66" s="892" t="s">
        <v>712</v>
      </c>
      <c r="F66" s="304" t="e">
        <f t="shared" ca="1" si="0"/>
        <v>#N/A</v>
      </c>
      <c r="O66" s="1321" t="s">
        <v>404</v>
      </c>
      <c r="P66" s="1322" t="s">
        <v>846</v>
      </c>
      <c r="Q66" s="1323" t="e">
        <f ca="1">L60</f>
        <v>#N/A</v>
      </c>
      <c r="R66" s="1323" t="s">
        <v>869</v>
      </c>
    </row>
    <row r="67" spans="1:18" s="1288" customFormat="1" ht="16.5" thickBot="1">
      <c r="A67" s="899" t="s">
        <v>394</v>
      </c>
      <c r="B67" s="909" t="s">
        <v>752</v>
      </c>
      <c r="C67" s="308" t="e">
        <f ca="1">C48-C58</f>
        <v>#N/A</v>
      </c>
      <c r="D67" s="905" t="s">
        <v>753</v>
      </c>
      <c r="E67" s="910"/>
      <c r="F67" s="911"/>
      <c r="O67" s="1330" t="s">
        <v>405</v>
      </c>
      <c r="P67" s="1322" t="s">
        <v>850</v>
      </c>
      <c r="Q67" s="1366" t="e">
        <f ca="1">L51</f>
        <v>#N/A</v>
      </c>
      <c r="R67" s="1323" t="s">
        <v>870</v>
      </c>
    </row>
    <row r="68" spans="1:18" s="1288" customFormat="1" ht="16.5" thickBot="1">
      <c r="A68" s="889" t="s">
        <v>395</v>
      </c>
      <c r="B68" s="890" t="s">
        <v>774</v>
      </c>
      <c r="C68" s="293" t="e">
        <f ca="1">ROUND(C67*(1-((1+F70)/(1+F68))^F69)/(F68-F70),0)</f>
        <v>#N/A</v>
      </c>
      <c r="D68" s="907" t="s">
        <v>758</v>
      </c>
      <c r="E68" s="892" t="s">
        <v>759</v>
      </c>
      <c r="F68" s="304" t="e">
        <f ca="1">F40</f>
        <v>#N/A</v>
      </c>
      <c r="O68" s="1330" t="s">
        <v>406</v>
      </c>
      <c r="P68" s="1367" t="s">
        <v>871</v>
      </c>
      <c r="Q68" s="1323" t="e">
        <f ca="1">ROUND(Q69-Q70*Q71,0)</f>
        <v>#N/A</v>
      </c>
      <c r="R68" s="1323" t="s">
        <v>414</v>
      </c>
    </row>
    <row r="69" spans="1:18" s="1288" customFormat="1" ht="13.5" thickBot="1">
      <c r="A69" s="893"/>
      <c r="B69" s="894"/>
      <c r="C69" s="298"/>
      <c r="D69" s="912" t="s">
        <v>762</v>
      </c>
      <c r="E69" s="892" t="s">
        <v>763</v>
      </c>
      <c r="F69" s="324" t="e">
        <f ca="1">F41</f>
        <v>#N/A</v>
      </c>
      <c r="O69" s="1330" t="s">
        <v>411</v>
      </c>
      <c r="P69" s="1367" t="s">
        <v>872</v>
      </c>
      <c r="Q69" s="1323" t="e">
        <f ca="1">C39</f>
        <v>#N/A</v>
      </c>
      <c r="R69" s="1323" t="s">
        <v>818</v>
      </c>
    </row>
    <row r="70" spans="1:18" s="1288" customFormat="1" ht="13.5" thickBot="1">
      <c r="A70" s="896"/>
      <c r="B70" s="897"/>
      <c r="C70" s="302"/>
      <c r="D70" s="908"/>
      <c r="E70" s="892" t="s">
        <v>766</v>
      </c>
      <c r="F70" s="987"/>
      <c r="O70" s="1330" t="s">
        <v>412</v>
      </c>
      <c r="P70" s="1367" t="s">
        <v>873</v>
      </c>
      <c r="Q70" s="1323" t="e">
        <f ca="1">C13</f>
        <v>#N/A</v>
      </c>
      <c r="R70" s="1323" t="s">
        <v>818</v>
      </c>
    </row>
    <row r="71" spans="1:18" s="1288" customFormat="1" ht="13.5" thickBot="1">
      <c r="A71" s="913" t="s">
        <v>396</v>
      </c>
      <c r="B71" s="914" t="s">
        <v>776</v>
      </c>
      <c r="C71" s="327" t="e">
        <f ca="1">ROUND(C68/F71,0)</f>
        <v>#N/A</v>
      </c>
      <c r="D71" s="915" t="s">
        <v>777</v>
      </c>
      <c r="E71" s="916" t="s">
        <v>778</v>
      </c>
      <c r="F71" s="330" t="e">
        <f ca="1">F43</f>
        <v>#N/A</v>
      </c>
      <c r="O71" s="1330" t="s">
        <v>413</v>
      </c>
      <c r="P71" s="1367" t="s">
        <v>874</v>
      </c>
      <c r="Q71" s="1333" t="e">
        <f ca="1">C76</f>
        <v>#N/A</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#N/A</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1" t="s">
        <v>795</v>
      </c>
      <c r="C75" s="332" t="e">
        <f ca="1">ROUND(C13*C76,0)</f>
        <v>#N/A</v>
      </c>
      <c r="D75" s="1288"/>
      <c r="E75" s="1288"/>
      <c r="F75" s="1288"/>
      <c r="K75" s="1305"/>
      <c r="L75" s="1288"/>
      <c r="O75" s="1321" t="s">
        <v>409</v>
      </c>
      <c r="P75" s="1322" t="s">
        <v>838</v>
      </c>
      <c r="Q75" s="1323" t="e">
        <f ca="1">Q65+Q66</f>
        <v>#N/A</v>
      </c>
      <c r="R75" s="1323" t="s">
        <v>410</v>
      </c>
    </row>
    <row r="76" spans="1:18">
      <c r="B76" s="333" t="s">
        <v>796</v>
      </c>
      <c r="C76" s="334" t="e">
        <f ca="1">INDIRECT("'数据-取费表'!j"&amp;$G$1)</f>
        <v>#N/A</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57" priority="3">
      <formula>$F$10="自定义"</formula>
    </cfRule>
  </conditionalFormatting>
  <conditionalFormatting sqref="C54">
    <cfRule type="expression" dxfId="156" priority="1">
      <formula>$F$53="自定义"</formula>
    </cfRule>
  </conditionalFormatting>
  <conditionalFormatting sqref="I55 I60">
    <cfRule type="expression" dxfId="155" priority="5">
      <formula>$J$51&gt;$L$48</formula>
    </cfRule>
  </conditionalFormatting>
  <conditionalFormatting sqref="J11">
    <cfRule type="expression" dxfId="154" priority="2">
      <formula>$M$10="自定义"</formula>
    </cfRule>
  </conditionalFormatting>
  <conditionalFormatting sqref="K55 K60">
    <cfRule type="expression" dxfId="153" priority="4">
      <formula>$L$48&gt;$J$51</formula>
    </cfRule>
  </conditionalFormatting>
  <dataValidations count="9">
    <dataValidation type="list" allowBlank="1" showInputMessage="1" showErrorMessage="1" sqref="L55" xr:uid="{E3DF6129-C979-431A-B3ED-935F4A1B2428}">
      <formula1>"比较法,基准地价,收益还原"</formula1>
    </dataValidation>
    <dataValidation type="list" allowBlank="1" showInputMessage="1" showErrorMessage="1" sqref="J56" xr:uid="{CCD42C96-FE64-4D93-A39B-0B0CE90C023E}">
      <formula1>估价范围判定</formula1>
    </dataValidation>
    <dataValidation type="list" allowBlank="1" showInputMessage="1" showErrorMessage="1" sqref="J48" xr:uid="{FB913497-0216-496E-BB56-F375E9D0E239}">
      <formula1>"非生产用房,生产用房,受腐蚀的生产用房"</formula1>
    </dataValidation>
    <dataValidation type="list" allowBlank="1" showInputMessage="1" showErrorMessage="1" sqref="J47" xr:uid="{154C17FB-5A5F-42FF-86CE-195D36B458AA}">
      <formula1>"钢,钢混,砖混"</formula1>
    </dataValidation>
    <dataValidation type="list" allowBlank="1" showInputMessage="1" showErrorMessage="1" sqref="C1" xr:uid="{CC041838-2665-4DF4-AD69-259DC9C87DD7}">
      <formula1>项目类型</formula1>
    </dataValidation>
    <dataValidation type="list" allowBlank="1" showInputMessage="1" showErrorMessage="1" sqref="D33 D61" xr:uid="{ED3A8F43-5900-48FA-BE2A-8A1A3C916F05}">
      <formula1>"按租金收入计税,按房产原值计税,按票据"</formula1>
    </dataValidation>
    <dataValidation type="list" allowBlank="1" showInputMessage="1" showErrorMessage="1" sqref="K19" xr:uid="{4DBAAB08-BFCC-4553-99D2-5A4365948004}">
      <formula1>"按租金收入计税,按房产原值计税"</formula1>
    </dataValidation>
    <dataValidation type="list" allowBlank="1" showInputMessage="1" showErrorMessage="1" sqref="F10 F53 M10" xr:uid="{81F959EF-786E-45B6-B258-0E21CCD5259D}">
      <formula1>"押一,押二,押三,自定义"</formula1>
    </dataValidation>
    <dataValidation type="list" allowBlank="1" showInputMessage="1" showErrorMessage="1" sqref="D1" xr:uid="{FB8421D0-CC52-4E3E-A87A-194E4C5EDB52}">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5D784-A0E2-489C-8B43-8DAD3189944B}">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3438</v>
      </c>
      <c r="C1" s="190"/>
      <c r="D1" s="190"/>
      <c r="E1" s="190"/>
      <c r="F1" s="190"/>
      <c r="G1" s="1058" t="e">
        <f>MATCH(B1,'数据-取费表'!A6:A16,0)+5</f>
        <v>#N/A</v>
      </c>
    </row>
    <row r="2" spans="1:9" s="192" customFormat="1" ht="18" customHeight="1">
      <c r="A2" s="193" t="s">
        <v>685</v>
      </c>
      <c r="B2" s="194" t="e">
        <f ca="1">IF(D2="——",C52,C52-E2)</f>
        <v>#VALUE!</v>
      </c>
      <c r="C2" s="191" t="s">
        <v>1463</v>
      </c>
      <c r="D2" s="1707" t="s">
        <v>43</v>
      </c>
      <c r="E2" s="1085" t="e">
        <f ca="1">SUMIF(INDIRECT("'"&amp;G2&amp;"'"&amp;"!A:A"),"承租人权益价值",INDIRECT("'"&amp;G2&amp;"'"&amp;"!c:c"))</f>
        <v>#REF!</v>
      </c>
      <c r="F2" s="1708" t="s">
        <v>1463</v>
      </c>
      <c r="G2" s="1709"/>
    </row>
    <row r="3" spans="1:9" s="192" customFormat="1" ht="18" customHeight="1" thickBot="1">
      <c r="A3" s="195" t="s">
        <v>686</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t="e">
        <f ca="1">C6+C7+C8</f>
        <v>#VALUE!</v>
      </c>
      <c r="D5" s="203" t="s">
        <v>1469</v>
      </c>
      <c r="E5" s="204" t="s">
        <v>1470</v>
      </c>
      <c r="F5" s="204" t="s">
        <v>1471</v>
      </c>
      <c r="G5" s="205"/>
    </row>
    <row r="6" spans="1:9" s="206" customFormat="1" ht="13.5" customHeight="1">
      <c r="A6" s="728" t="s">
        <v>346</v>
      </c>
      <c r="B6" s="207" t="s">
        <v>1473</v>
      </c>
      <c r="C6" s="208" t="e">
        <f>ROUND('基准地价修正 -办公'!G42*'数据-基础表'!S13/10000,0)</f>
        <v>#VALUE!</v>
      </c>
      <c r="D6" s="209"/>
      <c r="E6" s="210"/>
      <c r="F6" s="210"/>
      <c r="G6" s="211"/>
    </row>
    <row r="7" spans="1:9" s="206" customFormat="1" ht="13.5" customHeight="1">
      <c r="A7" s="728" t="s">
        <v>347</v>
      </c>
      <c r="B7" s="207" t="s">
        <v>1475</v>
      </c>
      <c r="C7" s="212" t="e">
        <f>ROUND(C6*F7,0)</f>
        <v>#VALUE!</v>
      </c>
      <c r="D7" s="212"/>
      <c r="E7" s="210"/>
      <c r="F7" s="213">
        <f>IF(项目基本情况!B8="出让",0,'数据-取费表'!B48+'数据-取费表'!B49)</f>
        <v>3.0499999999999999E-2</v>
      </c>
      <c r="G7" s="211"/>
    </row>
    <row r="8" spans="1:9" s="215" customFormat="1">
      <c r="A8" s="728" t="s">
        <v>348</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1038" t="e">
        <f ca="1">ROUND(IF('数据-取费表'!B22&lt;=1,C5*F22*'数据-取费表'!B23,C5*(POWER((1+F22),'数据-取费表'!B23)-1)),0)</f>
        <v>#VALUE!</v>
      </c>
      <c r="D23" s="230"/>
      <c r="E23" s="230"/>
      <c r="F23" s="231"/>
      <c r="G23" s="232" t="s">
        <v>1504</v>
      </c>
    </row>
    <row r="24" spans="1:7" s="206" customFormat="1" ht="13.5" customHeight="1">
      <c r="A24" s="730" t="s">
        <v>347</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348</v>
      </c>
      <c r="B25" s="207" t="s">
        <v>1509</v>
      </c>
      <c r="C25" s="1038" t="e">
        <f ca="1">ROUND(IF('数据-取费表'!B22&lt;=1,C20*F22*'数据-取费表'!B23/2,C20*(POWER((1+F22),'数据-取费表'!B23/2)-1)),0)</f>
        <v>#VALUE!</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#VALUE!</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#VALUE!</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ROUND(IF('数据-取费表'!B22&lt;=1,C33*F22*'数据-取费表'!B21/2,C33*(POWER((1+F22),'数据-取费表'!B21/2)-1)),0)</f>
        <v>#N/A</v>
      </c>
      <c r="D42" s="230"/>
      <c r="E42" s="230"/>
      <c r="F42" s="231"/>
      <c r="G42" s="3348" t="s">
        <v>1544</v>
      </c>
    </row>
    <row r="43" spans="1:7" ht="13.5" customHeight="1">
      <c r="A43" s="730" t="s">
        <v>347</v>
      </c>
      <c r="B43" s="207" t="s">
        <v>1506</v>
      </c>
      <c r="C43" s="230" t="e">
        <f ca="1">ROUND(IF('数据-取费表'!B22&lt;=1,C39*F22*'数据-取费表'!B21/2,C39*(POWER((1+F22),'数据-取费表'!B21/2)-1)),0)</f>
        <v>#N/A</v>
      </c>
      <c r="D43" s="230"/>
      <c r="E43" s="230"/>
      <c r="F43" s="231"/>
      <c r="G43" s="3349"/>
    </row>
    <row r="44" spans="1:7" ht="13.5" customHeight="1">
      <c r="A44" s="730" t="s">
        <v>348</v>
      </c>
      <c r="B44" s="207" t="s">
        <v>1509</v>
      </c>
      <c r="C44" s="230">
        <f ca="1">ROUND(IF('数据-取费表'!B22&lt;=1,C40*F22*'数据-取费表'!B21/2,C40*(POWER((1+F22),'数据-取费表'!B21/2)-1)),4)</f>
        <v>5.9999999999999995E-4</v>
      </c>
      <c r="D44" s="230"/>
      <c r="E44" s="230"/>
      <c r="F44" s="231"/>
      <c r="G44" s="3350"/>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9A76F273-C9DD-4020-A5DC-845F1E3CBC18}">
      <formula1>"需扣减承租人权益,——"</formula1>
    </dataValidation>
    <dataValidation type="list" allowBlank="1" showInputMessage="1" showErrorMessage="1" sqref="G2" xr:uid="{E8C765C9-FE6A-4835-8936-B084A1A83497}">
      <formula1>估价方法</formula1>
    </dataValidation>
    <dataValidation type="list" allowBlank="1" showInputMessage="1" showErrorMessage="1" sqref="G9" xr:uid="{66DE43BF-7B47-441C-A2C6-A830D41AE577}">
      <formula1>"部分缴纳,全部缴纳"</formula1>
    </dataValidation>
    <dataValidation type="list" allowBlank="1" showInputMessage="1" showErrorMessage="1" sqref="B1" xr:uid="{9EC57C05-4EB5-4CE8-BD7E-5F2B8CD279BF}">
      <formula1>项目类型</formula1>
    </dataValidation>
    <dataValidation type="list" allowBlank="1" showInputMessage="1" showErrorMessage="1" sqref="G19" xr:uid="{8452741B-6A8F-41B7-9A99-C6BB7CC93EE9}">
      <formula1>"已包含在土地取得成本中,未包含在土地取得成本中"</formula1>
    </dataValidation>
    <dataValidation type="list" allowBlank="1" showInputMessage="1" showErrorMessage="1" sqref="G8" xr:uid="{9F41C30F-3C3F-4D99-B9A4-004C91B9F21A}">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6" t="s">
        <v>898</v>
      </c>
    </row>
    <row r="3" spans="1:1" ht="18">
      <c r="A3" s="1377" t="str">
        <f>项目基本情况!B5&amp;"："</f>
        <v>：</v>
      </c>
    </row>
    <row r="4" spans="1:1" ht="18">
      <c r="A4" s="1378" t="str">
        <f>"受贵公司委托，我公司对"&amp;项目基本情况!S1&amp;"进行了预评估。"</f>
        <v>受贵公司委托，我公司对房地产市场价值进行了预评估。</v>
      </c>
    </row>
    <row r="5" spans="1:1" ht="18.75">
      <c r="A5" s="1379" t="s">
        <v>899</v>
      </c>
    </row>
    <row r="6" spans="1:1" ht="18.75">
      <c r="A6" s="1380" t="s">
        <v>900</v>
      </c>
    </row>
    <row r="7" spans="1:1" ht="36">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估价对象为房地产，为所有。根据《国有土地使用证》[]，估价对象（分摊）出让国有建设用地使用权面积为0平方米，建筑面积为154.79平方米。</v>
      </c>
    </row>
    <row r="8" spans="1:1" ht="57.75">
      <c r="A8" s="1381" t="s">
        <v>901</v>
      </c>
    </row>
    <row r="9" spans="1:1" ht="18.75">
      <c r="A9" s="1380" t="s">
        <v>902</v>
      </c>
    </row>
    <row r="10" spans="1:1" ht="54">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估价对象为房地产,属开发建设的，该项目尚在开发建设中。根据《国有土地使用证》[]，估价对象（分摊）出让国有建设用地使用权面积为0平方米，规划建筑面积为154.79平方米。</v>
      </c>
    </row>
    <row r="11" spans="1:1" ht="76.5">
      <c r="A11" s="1381" t="s">
        <v>903</v>
      </c>
    </row>
    <row r="12" spans="1:1" ht="18.75">
      <c r="A12" s="1379" t="s">
        <v>904</v>
      </c>
    </row>
    <row r="13" spans="1:1" ht="38.25" customHeight="1">
      <c r="A13" s="137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77" t="s">
        <v>905</v>
      </c>
    </row>
    <row r="15" spans="1:1" ht="18">
      <c r="A15" s="1382" t="str">
        <f>TEXT(项目基本情况!D3,"yyyy年m月d日;;")&amp;IF(项目基本情况!D3=项目基本情况!B3,"（评估专业人员实地查勘之日）","")</f>
        <v>2025年10月10日（评估专业人员实地查勘之日）</v>
      </c>
    </row>
    <row r="16" spans="1:1" ht="18.75">
      <c r="A16" s="1377" t="s">
        <v>906</v>
      </c>
    </row>
    <row r="17" spans="1:1" ht="75">
      <c r="A17" s="1378" t="s">
        <v>907</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10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8" t="str">
        <f>IF(项目基本情况!B9="房地产市场价值","——",IF(项目基本情况!E8="房地产抵押价值",定义!C54,IF(项目基本情况!E8="已注销",定义!C55,定义!C56)))</f>
        <v>——</v>
      </c>
    </row>
    <row r="21" spans="1:1" ht="18">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8" t="str">
        <f>IF(项目基本情况!B9="房地产市场价值","——",IF(项目基本情况!E9="——","",定义!C57))</f>
        <v>——</v>
      </c>
    </row>
    <row r="23" spans="1:1" ht="18.75">
      <c r="A23" s="1377" t="s">
        <v>896</v>
      </c>
    </row>
    <row r="24" spans="1:1" ht="18">
      <c r="A24" s="1383" t="str">
        <f>"本次评估采用的主估价方法为"&amp;结果表!K4&amp;"和"&amp;结果表!L4&amp;"。"</f>
        <v>本次评估采用的主估价方法为收益法和比较法。</v>
      </c>
    </row>
    <row r="25" spans="1:1" ht="18">
      <c r="A25" s="1383"/>
    </row>
    <row r="26" spans="1:1" ht="18.75">
      <c r="A26" s="1384"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08C80-0E30-458D-B8E7-13287B602084}">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3438</v>
      </c>
      <c r="C1" s="1713" t="s">
        <v>1563</v>
      </c>
      <c r="D1" s="190"/>
      <c r="E1" s="190"/>
      <c r="F1" s="190"/>
      <c r="G1" s="1058" t="e">
        <f>MATCH(B1,'数据-取费表'!A6:A16,0)+5</f>
        <v>#N/A</v>
      </c>
      <c r="H1" s="994" t="str">
        <f>IF(ISERROR(FIND("住宅",B1)),"非住宅","住宅")</f>
        <v>非住宅</v>
      </c>
    </row>
    <row r="2" spans="1:8" s="192" customFormat="1" ht="18" customHeight="1">
      <c r="A2" s="193" t="s">
        <v>685</v>
      </c>
      <c r="B2" s="3114" t="e">
        <f ca="1">ROUND(IF(D2="——",C52/10000,C52/10000-E2),4)</f>
        <v>#VALUE!</v>
      </c>
      <c r="C2" s="191" t="s">
        <v>1463</v>
      </c>
      <c r="D2" s="1707" t="s">
        <v>43</v>
      </c>
      <c r="E2" s="1085" t="e">
        <f ca="1">SUMIF(INDIRECT("'"&amp;G2&amp;"'"&amp;"!A:A"),"承租人权益价值",INDIRECT("'"&amp;G2&amp;"'"&amp;"!c:c"))</f>
        <v>#REF!</v>
      </c>
      <c r="F2" s="1708" t="s">
        <v>1463</v>
      </c>
      <c r="G2" s="1709"/>
    </row>
    <row r="3" spans="1:8" s="192" customFormat="1" ht="18" customHeight="1" thickBot="1">
      <c r="A3" s="195" t="s">
        <v>686</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#VALUE!</v>
      </c>
      <c r="D5" s="203" t="s">
        <v>1469</v>
      </c>
      <c r="E5" s="204" t="s">
        <v>1470</v>
      </c>
      <c r="F5" s="204" t="s">
        <v>1471</v>
      </c>
      <c r="G5" s="205"/>
    </row>
    <row r="6" spans="1:8" s="206" customFormat="1" ht="13.5" customHeight="1">
      <c r="A6" s="728" t="s">
        <v>346</v>
      </c>
      <c r="B6" s="207" t="s">
        <v>1473</v>
      </c>
      <c r="C6" s="208" t="e">
        <f>ROUND('基准地价修正 -办公'!G42*'数据-基础表'!S13,0)</f>
        <v>#VALUE!</v>
      </c>
      <c r="D6" s="209"/>
      <c r="E6" s="210"/>
      <c r="F6" s="210"/>
      <c r="G6" s="211"/>
    </row>
    <row r="7" spans="1:8" s="206" customFormat="1" ht="13.5" customHeight="1">
      <c r="A7" s="728" t="s">
        <v>347</v>
      </c>
      <c r="B7" s="207" t="s">
        <v>1475</v>
      </c>
      <c r="C7" s="212" t="e">
        <f>ROUND(C6*F7,0)</f>
        <v>#VALUE!</v>
      </c>
      <c r="D7" s="212"/>
      <c r="E7" s="210"/>
      <c r="F7" s="213">
        <f>IF(项目基本情况!B8="出让",0,'数据-取费表'!B48+'数据-取费表'!B49)</f>
        <v>3.0499999999999999E-2</v>
      </c>
      <c r="G7" s="211"/>
    </row>
    <row r="8" spans="1:8" s="215" customFormat="1">
      <c r="A8" s="728" t="s">
        <v>348</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230" t="e">
        <f ca="1">ROUND(IF('数据-取费表'!B22&lt;=1,C5*F22*'数据-取费表'!B22,C5*(POWER((1+F22),'数据-取费表'!B22)-1)),0)</f>
        <v>#VALUE!</v>
      </c>
      <c r="D23" s="230"/>
      <c r="E23" s="230"/>
      <c r="F23" s="231"/>
      <c r="G23" s="232" t="s">
        <v>1504</v>
      </c>
    </row>
    <row r="24" spans="1:7" s="206" customFormat="1" ht="13.5" customHeight="1">
      <c r="A24" s="730"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0" t="s">
        <v>348</v>
      </c>
      <c r="B25" s="207" t="s">
        <v>1509</v>
      </c>
      <c r="C25" s="230" t="e">
        <f ca="1">ROUND(IF('数据-取费表'!B22&lt;=1,C20*F22*'数据-取费表'!B22/2,C20*(POWER((1+F22),'数据-取费表'!B22/2)-1)),0)</f>
        <v>#VALUE!</v>
      </c>
      <c r="D25" s="230"/>
      <c r="E25" s="233"/>
      <c r="F25" s="231"/>
      <c r="G25" s="234" t="s">
        <v>1510</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#VALUE!</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ROUND((C5+C19+C20)*F27,0)</f>
        <v>#VALUE!</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ROUND(IF('数据-取费表'!B22&lt;=1,C33*F22*'数据-取费表'!B20/2,C33*(POWER((1+F22),'数据-取费表'!B20/2)-1)),0)</f>
        <v>#N/A</v>
      </c>
      <c r="D42" s="230"/>
      <c r="E42" s="230"/>
      <c r="F42" s="231"/>
      <c r="G42" s="3348" t="s">
        <v>1591</v>
      </c>
    </row>
    <row r="43" spans="1:7" ht="13.5" customHeight="1">
      <c r="A43" s="730" t="s">
        <v>347</v>
      </c>
      <c r="B43" s="207" t="s">
        <v>1506</v>
      </c>
      <c r="C43" s="230" t="e">
        <f ca="1">ROUND(IF('数据-取费表'!B22&lt;=1,C39*F22*'数据-取费表'!B20/2,C39*(POWER((1+F22),'数据-取费表'!B20/2)-1)),0)</f>
        <v>#N/A</v>
      </c>
      <c r="D43" s="230"/>
      <c r="E43" s="230"/>
      <c r="F43" s="231"/>
      <c r="G43" s="3349"/>
    </row>
    <row r="44" spans="1:7" ht="13.5" customHeight="1">
      <c r="A44" s="730" t="s">
        <v>348</v>
      </c>
      <c r="B44" s="207" t="s">
        <v>1509</v>
      </c>
      <c r="C44" s="230">
        <f ca="1">ROUND(IF('数据-取费表'!B22&lt;=1,C40*F22*'数据-取费表'!B20/2,C40*(POWER((1+F22),'数据-取费表'!B20/2)-1)),4)</f>
        <v>5.9999999999999995E-4</v>
      </c>
      <c r="D44" s="230"/>
      <c r="E44" s="230"/>
      <c r="F44" s="231"/>
      <c r="G44" s="3350"/>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AAE046F1-564F-4817-A720-E56A57AEDEE5}">
      <formula1>"需扣减承租人权益,——"</formula1>
    </dataValidation>
    <dataValidation type="list" allowBlank="1" showInputMessage="1" showErrorMessage="1" sqref="G2" xr:uid="{1B3006D0-5328-481A-8901-BD1526B4A702}">
      <formula1>估价方法</formula1>
    </dataValidation>
    <dataValidation type="list" allowBlank="1" showInputMessage="1" showErrorMessage="1" sqref="B1" xr:uid="{F90E5C48-4F81-438E-8E8B-3BB54E1ADF8F}">
      <formula1>项目类型</formula1>
    </dataValidation>
    <dataValidation type="list" allowBlank="1" showInputMessage="1" showErrorMessage="1" sqref="G19" xr:uid="{D037FDFF-899F-4735-8CD4-562AC6038982}">
      <formula1>"已包含在土地取得成本中,未包含在土地取得成本中"</formula1>
    </dataValidation>
    <dataValidation type="list" allowBlank="1" showInputMessage="1" showErrorMessage="1" sqref="G8" xr:uid="{5C2028B7-98E3-417A-9A32-BA943CDBE1A5}">
      <formula1>"已包含在土地购买价格中,未包含在土地购买价格中"</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CCAAF-353D-483E-9D4D-DD147321BB32}">
  <sheetPr>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3438</v>
      </c>
      <c r="D1" s="1267" t="s">
        <v>43</v>
      </c>
      <c r="E1" s="1268" t="s">
        <v>678</v>
      </c>
      <c r="F1" s="995" t="e">
        <f ca="1">J53</f>
        <v>#N/A</v>
      </c>
      <c r="G1" s="1282"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t="e">
        <f ca="1">ROUND(D2/10000,4)</f>
        <v>#N/A</v>
      </c>
      <c r="C2" s="1285" t="s">
        <v>805</v>
      </c>
      <c r="D2" s="1371" t="e">
        <f ca="1">C40+J29+L46</f>
        <v>#N/A</v>
      </c>
      <c r="E2" s="1291" t="s">
        <v>880</v>
      </c>
      <c r="F2" s="1292"/>
      <c r="G2" s="2471"/>
      <c r="H2" s="2461"/>
      <c r="I2" s="2461"/>
      <c r="J2" s="2461"/>
      <c r="K2" s="2462"/>
      <c r="L2" s="2461"/>
      <c r="M2" s="2461"/>
    </row>
    <row r="3" spans="1:37" ht="18" customHeight="1" thickBot="1">
      <c r="A3" s="1293" t="s">
        <v>806</v>
      </c>
      <c r="B3" s="1294">
        <f ca="1">IF(ISERROR(D2/F43),0,ROUND(D2/F43,0))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t="e">
        <f ca="1">C6+C10+C12</f>
        <v>#N/A</v>
      </c>
      <c r="D5" s="1269" t="s">
        <v>693</v>
      </c>
      <c r="E5" s="1004"/>
      <c r="F5" s="1005"/>
      <c r="G5" s="1288"/>
      <c r="H5" s="291">
        <v>1</v>
      </c>
      <c r="I5" s="292" t="s">
        <v>692</v>
      </c>
      <c r="J5" s="1003" t="e">
        <f ca="1">J6+J10+J12</f>
        <v>#N/A</v>
      </c>
      <c r="K5" s="1269" t="s">
        <v>693</v>
      </c>
      <c r="L5" s="1004"/>
      <c r="M5" s="1005"/>
    </row>
    <row r="6" spans="1:37" ht="18" customHeight="1">
      <c r="A6" s="1002" t="s">
        <v>398</v>
      </c>
      <c r="B6" s="3351" t="s">
        <v>694</v>
      </c>
      <c r="C6" s="1007" t="e">
        <f ca="1">ROUND(F6*F8*F7*(1-F9),0)</f>
        <v>#N/A</v>
      </c>
      <c r="D6" s="147" t="s">
        <v>2106</v>
      </c>
      <c r="E6" s="294" t="s">
        <v>696</v>
      </c>
      <c r="F6" s="295" t="e">
        <f ca="1">INDIRECT("'数据-取费表'!u"&amp;$G$1)</f>
        <v>#N/A</v>
      </c>
      <c r="G6" s="1288"/>
      <c r="H6" s="1002" t="s">
        <v>398</v>
      </c>
      <c r="I6" s="3351" t="s">
        <v>694</v>
      </c>
      <c r="J6" s="293" t="e">
        <f ca="1">ROUND(M6*M8*M7*(1-M9),0)</f>
        <v>#N/A</v>
      </c>
      <c r="K6" s="1280" t="s">
        <v>2107</v>
      </c>
      <c r="L6" s="294" t="s">
        <v>696</v>
      </c>
      <c r="M6" s="295" t="e">
        <f ca="1">INDIRECT("'数据-取费表'!z"&amp;$G$1)</f>
        <v>#N/A</v>
      </c>
    </row>
    <row r="7" spans="1:37" ht="18" customHeight="1">
      <c r="A7" s="1006"/>
      <c r="B7" s="3352"/>
      <c r="C7" s="1008"/>
      <c r="D7" s="299"/>
      <c r="E7" s="1009" t="s">
        <v>697</v>
      </c>
      <c r="F7" s="295" t="e">
        <f ca="1">IF(INDIRECT("'数据-取费表'!ah"&amp;$G$1)="",INDIRECT("'数据-取费表'!k"&amp;$G$1),INDIRECT("'数据-取费表'!ah"&amp;$G$1))</f>
        <v>#N/A</v>
      </c>
      <c r="G7" s="1288"/>
      <c r="H7" s="296"/>
      <c r="I7" s="3352"/>
      <c r="J7" s="298"/>
      <c r="K7" s="299"/>
      <c r="L7" s="294" t="s">
        <v>697</v>
      </c>
      <c r="M7" s="295" t="e">
        <f ca="1">F7</f>
        <v>#N/A</v>
      </c>
    </row>
    <row r="8" spans="1:37" ht="18" customHeight="1">
      <c r="A8" s="296"/>
      <c r="B8" s="3352"/>
      <c r="C8" s="298"/>
      <c r="D8" s="299"/>
      <c r="E8" s="294" t="s">
        <v>698</v>
      </c>
      <c r="F8" s="295" t="e">
        <f ca="1">INDIRECT("'数据-取费表'!ai"&amp;$G$1)</f>
        <v>#N/A</v>
      </c>
      <c r="G8" s="1288"/>
      <c r="H8" s="296"/>
      <c r="I8" s="3352"/>
      <c r="J8" s="298"/>
      <c r="K8" s="299"/>
      <c r="L8" s="294" t="s">
        <v>698</v>
      </c>
      <c r="M8" s="295" t="e">
        <f ca="1">INDIRECT("'数据-取费表'!ai"&amp;$G$1)</f>
        <v>#N/A</v>
      </c>
    </row>
    <row r="9" spans="1:37" ht="18" customHeight="1">
      <c r="A9" s="296"/>
      <c r="B9" s="3353"/>
      <c r="C9" s="298"/>
      <c r="D9" s="299"/>
      <c r="E9" s="294" t="s">
        <v>699</v>
      </c>
      <c r="F9" s="304" t="e">
        <f ca="1">INDIRECT("'数据-取费表'!w"&amp;$G$1)</f>
        <v>#N/A</v>
      </c>
      <c r="G9" s="1288"/>
      <c r="H9" s="296"/>
      <c r="I9" s="3353"/>
      <c r="J9" s="298"/>
      <c r="K9" s="299"/>
      <c r="L9" s="305" t="s">
        <v>699</v>
      </c>
      <c r="M9" s="306" t="e">
        <f ca="1">INDIRECT("'数据-取费表'!ab"&amp;$G$1)</f>
        <v>#N/A</v>
      </c>
    </row>
    <row r="10" spans="1:37" ht="18" customHeight="1">
      <c r="A10" s="1002" t="s">
        <v>402</v>
      </c>
      <c r="B10" s="1270" t="s">
        <v>700</v>
      </c>
      <c r="C10" s="308" t="e">
        <f ca="1">ROUND(IF(F10="押一",C6/12*F11,IF(F10="押二",C6/12*2*F11,IF(F10="押三",C6/12*3*F11,C11*F11))),0)</f>
        <v>#N/A</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t="e">
        <f ca="1">ROUND(C29*F13,0)</f>
        <v>#N/A</v>
      </c>
      <c r="D13" s="1014" t="s">
        <v>705</v>
      </c>
      <c r="E13" s="1014" t="s">
        <v>706</v>
      </c>
      <c r="F13" s="1015" t="e">
        <f ca="1">INDIRECT("'数据-取费表'!y"&amp;$G$1)</f>
        <v>#N/A</v>
      </c>
      <c r="G13" s="1288"/>
      <c r="H13" s="1012">
        <v>2</v>
      </c>
      <c r="I13" s="1013" t="s">
        <v>704</v>
      </c>
      <c r="J13" s="1001" t="e">
        <f ca="1">ROUND(J14*J15,0)</f>
        <v>#N/A</v>
      </c>
      <c r="K13" s="1020" t="s">
        <v>705</v>
      </c>
      <c r="L13" s="1295"/>
      <c r="M13" s="1296"/>
    </row>
    <row r="14" spans="1:37" ht="18" customHeight="1">
      <c r="A14" s="924" t="s">
        <v>397</v>
      </c>
      <c r="B14" s="294" t="s">
        <v>707</v>
      </c>
      <c r="C14" s="310" t="e">
        <f ca="1">ROUND(INDIRECT("'数据-取费表'!l"&amp;$G$1)*F43+'数据-取费表'!L14*INDIRECT("'数据-取费表'!S"&amp;$G$1),0)</f>
        <v>#N/A</v>
      </c>
      <c r="D14" s="1253" t="s">
        <v>708</v>
      </c>
      <c r="E14" s="1251"/>
      <c r="F14" s="311"/>
      <c r="G14" s="1288"/>
      <c r="H14" s="924" t="s">
        <v>398</v>
      </c>
      <c r="I14" s="294" t="s">
        <v>709</v>
      </c>
      <c r="J14" s="21" t="e">
        <f ca="1">C29</f>
        <v>#N/A</v>
      </c>
      <c r="K14" s="12"/>
      <c r="L14" s="755"/>
      <c r="M14" s="756"/>
    </row>
    <row r="15" spans="1:37" s="1300" customFormat="1" ht="18" customHeight="1" thickBot="1">
      <c r="A15" s="924" t="s">
        <v>399</v>
      </c>
      <c r="B15" s="294" t="s">
        <v>710</v>
      </c>
      <c r="C15" s="21" t="e">
        <f ca="1">ROUND(C14*F15,0)</f>
        <v>#N/A</v>
      </c>
      <c r="D15" s="312" t="s">
        <v>711</v>
      </c>
      <c r="E15" s="312" t="s">
        <v>712</v>
      </c>
      <c r="F15" s="313">
        <f>'数据-取费表'!B33</f>
        <v>0.03</v>
      </c>
      <c r="G15" s="1299"/>
      <c r="H15" s="1022" t="s">
        <v>402</v>
      </c>
      <c r="I15" s="1023" t="s">
        <v>706</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t="e">
        <f ca="1">ROUND(INDIRECT("'数据-取费表'!l"&amp;$G$1)*F43*F16,0)</f>
        <v>#N/A</v>
      </c>
      <c r="D16" s="294" t="s">
        <v>711</v>
      </c>
      <c r="E16" s="294" t="s">
        <v>712</v>
      </c>
      <c r="F16" s="314" t="e">
        <f ca="1">IF(INDIRECT("'数据-取费表'!c"&amp;$G$1)="住宅",'数据-取费表'!B34,0)</f>
        <v>#N/A</v>
      </c>
      <c r="G16" s="1288"/>
      <c r="H16" s="1012" t="s">
        <v>393</v>
      </c>
      <c r="I16" s="1013" t="s">
        <v>714</v>
      </c>
      <c r="J16" s="302" t="e">
        <f ca="1">ROUND(J17+J22+J23+J24,0)</f>
        <v>#N/A</v>
      </c>
      <c r="K16" s="1020" t="s">
        <v>715</v>
      </c>
      <c r="L16" s="1021"/>
      <c r="M16" s="1005"/>
    </row>
    <row r="17" spans="1:37" s="1300" customFormat="1" ht="18" customHeight="1">
      <c r="A17" s="924" t="s">
        <v>681</v>
      </c>
      <c r="B17" s="294" t="s">
        <v>716</v>
      </c>
      <c r="C17" s="21" t="e">
        <f ca="1">ROUND(F17*(F43+INDIRECT("'数据-取费表'!S"&amp;$G$1)),0)</f>
        <v>#N/A</v>
      </c>
      <c r="D17" s="294" t="s">
        <v>717</v>
      </c>
      <c r="E17" s="294" t="s">
        <v>718</v>
      </c>
      <c r="F17" s="23">
        <f>'数据-取费表'!B35</f>
        <v>120</v>
      </c>
      <c r="G17" s="1299"/>
      <c r="H17" s="924" t="s">
        <v>398</v>
      </c>
      <c r="I17" s="294" t="s">
        <v>719</v>
      </c>
      <c r="J17" s="2134" t="e">
        <f ca="1">ROUND(IF(AND(项目基本情况!B11="自然人",项目基本情况!B10="北京市"),J6*M17/(1+'数据-取费表'!C42),J18+J19+J20),0)</f>
        <v>#N/A</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t="e">
        <f ca="1">ROUND(C14*F18,0)</f>
        <v>#N/A</v>
      </c>
      <c r="D18" s="294" t="s">
        <v>711</v>
      </c>
      <c r="E18" s="294" t="s">
        <v>712</v>
      </c>
      <c r="F18" s="314">
        <f>'数据-取费表'!B36</f>
        <v>1.4999999999999999E-2</v>
      </c>
      <c r="G18" s="1299"/>
      <c r="H18" s="924" t="s">
        <v>397</v>
      </c>
      <c r="I18" s="294" t="s">
        <v>723</v>
      </c>
      <c r="J18" s="21" t="e">
        <f ca="1">ROUND(J6*M18/(1+'数据-取费表'!C42),0)</f>
        <v>#N/A</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t="e">
        <f ca="1">SUM(C14:C18)</f>
        <v>#N/A</v>
      </c>
      <c r="D19" s="123" t="s">
        <v>726</v>
      </c>
      <c r="E19" s="1265"/>
      <c r="F19" s="23"/>
      <c r="G19" s="1288"/>
      <c r="H19" s="924" t="s">
        <v>399</v>
      </c>
      <c r="I19" s="294" t="s">
        <v>727</v>
      </c>
      <c r="J19" s="21" t="e">
        <f ca="1">IF(K19="按租金收入计税",ROUND(J6*M19/(1+'数据-取费表'!C42),0),ROUND(C29*M19*0.7,0))</f>
        <v>#N/A</v>
      </c>
      <c r="K19" s="1274" t="s">
        <v>3331</v>
      </c>
      <c r="L19" s="294" t="s">
        <v>712</v>
      </c>
      <c r="M19" s="314">
        <f>IF(K19="按租金收入计税",'数据-取费表'!B51,'数据-取费表'!B50)</f>
        <v>0.12</v>
      </c>
    </row>
    <row r="20" spans="1:37" s="1300" customFormat="1" ht="18" customHeight="1">
      <c r="A20" s="924" t="s">
        <v>402</v>
      </c>
      <c r="B20" s="294" t="s">
        <v>728</v>
      </c>
      <c r="C20" s="21" t="e">
        <f ca="1">ROUND(C19*F20,0)</f>
        <v>#N/A</v>
      </c>
      <c r="D20" s="315" t="s">
        <v>729</v>
      </c>
      <c r="E20" s="294" t="s">
        <v>712</v>
      </c>
      <c r="F20" s="314">
        <f>'数据-取费表'!B37</f>
        <v>0.02</v>
      </c>
      <c r="G20" s="1299"/>
      <c r="H20" s="924" t="s">
        <v>680</v>
      </c>
      <c r="I20" s="147" t="s">
        <v>730</v>
      </c>
      <c r="J20" s="22" t="e">
        <f ca="1">ROUND(M20*M21,0)</f>
        <v>#N/A</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t="e">
        <f ca="1">ROUND(J14*M22,0)</f>
        <v>#N/A</v>
      </c>
      <c r="K22" s="1252" t="s">
        <v>739</v>
      </c>
      <c r="L22" s="294" t="s">
        <v>712</v>
      </c>
      <c r="M22" s="320" t="e">
        <f ca="1">INDIRECT("'数据-取费表'!Ak"&amp;$G$1)</f>
        <v>#N/A</v>
      </c>
    </row>
    <row r="23" spans="1:37" s="1300" customFormat="1" ht="18" customHeight="1">
      <c r="A23" s="924"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t="e">
        <f ca="1">ROUND(J13*M23,0)</f>
        <v>#N/A</v>
      </c>
      <c r="K23" s="1252" t="s">
        <v>743</v>
      </c>
      <c r="L23" s="294" t="s">
        <v>712</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t="e">
        <f ca="1">ROUND(J5*M24,0)</f>
        <v>#N/A</v>
      </c>
      <c r="K24" s="1025" t="s">
        <v>748</v>
      </c>
      <c r="L24" s="1023" t="s">
        <v>712</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t="e">
        <f ca="1">J5-J16</f>
        <v>#N/A</v>
      </c>
      <c r="K25" s="1028" t="s">
        <v>753</v>
      </c>
      <c r="L25" s="1029"/>
      <c r="M25" s="1030"/>
    </row>
    <row r="26" spans="1:37" ht="18" customHeight="1">
      <c r="A26" s="924" t="s">
        <v>397</v>
      </c>
      <c r="B26" s="294" t="s">
        <v>754</v>
      </c>
      <c r="C26" s="21" t="e">
        <f ca="1">ROUND((C19+C20)*F26,0)</f>
        <v>#N/A</v>
      </c>
      <c r="D26" s="315" t="s">
        <v>755</v>
      </c>
      <c r="E26" s="305" t="s">
        <v>756</v>
      </c>
      <c r="F26" s="304" t="e">
        <f ca="1">INDIRECT("'数据-取费表'!q"&amp;$G$1)</f>
        <v>#N/A</v>
      </c>
      <c r="G26" s="1288"/>
      <c r="H26" s="291" t="s">
        <v>395</v>
      </c>
      <c r="I26" s="292" t="s">
        <v>757</v>
      </c>
      <c r="J26" s="293" t="e">
        <f ca="1">IF(J5&lt;&gt;0,ROUND(J25*(1-((1+M28)/(1+M26))^M27)/(M26-M28),0),0)</f>
        <v>#N/A</v>
      </c>
      <c r="K26" s="316" t="s">
        <v>758</v>
      </c>
      <c r="L26" s="294" t="s">
        <v>759</v>
      </c>
      <c r="M26" s="304" t="e">
        <f ca="1">INDIRECT("'数据-取费表'!I"&amp;$G$1)</f>
        <v>#N/A</v>
      </c>
    </row>
    <row r="27" spans="1:37" ht="18" customHeight="1">
      <c r="A27" s="924" t="s">
        <v>399</v>
      </c>
      <c r="B27" s="294" t="s">
        <v>760</v>
      </c>
      <c r="C27" s="21" t="e">
        <f ca="1">ROUND(F21*F26,4)</f>
        <v>#N/A</v>
      </c>
      <c r="D27" s="315" t="s">
        <v>761</v>
      </c>
      <c r="E27" s="312"/>
      <c r="F27" s="313"/>
      <c r="G27" s="1288"/>
      <c r="H27" s="296"/>
      <c r="I27" s="297"/>
      <c r="J27" s="298"/>
      <c r="K27" s="323" t="s">
        <v>762</v>
      </c>
      <c r="L27" s="294" t="s">
        <v>763</v>
      </c>
      <c r="M27" s="324" t="e">
        <f ca="1">INDIRECT("'数据-取费表'!ag"&amp;$G$1)</f>
        <v>#N/A</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t="e">
        <f ca="1">ROUND((C19+C20+C23+C26)/(1-F21-C24-C27-C28),0)</f>
        <v>#N/A</v>
      </c>
      <c r="D29" s="1025"/>
      <c r="E29" s="1023"/>
      <c r="F29" s="1026"/>
      <c r="G29" s="1299"/>
      <c r="H29" s="325" t="s">
        <v>396</v>
      </c>
      <c r="I29" s="326" t="s">
        <v>768</v>
      </c>
      <c r="J29" s="327" t="e">
        <f ca="1">ROUND(J26/(1+F40)^F41,0)</f>
        <v>#N/A</v>
      </c>
      <c r="K29" s="328" t="s">
        <v>769</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t="e">
        <f ca="1">ROUND(C31+C36+C37+C38,0)</f>
        <v>#N/A</v>
      </c>
      <c r="D30" s="1020" t="s">
        <v>715</v>
      </c>
      <c r="E30" s="1021"/>
      <c r="F30" s="1005"/>
      <c r="G30" s="1288"/>
      <c r="H30" s="2463"/>
      <c r="I30" s="1301"/>
      <c r="J30" s="1302"/>
      <c r="K30" s="121"/>
      <c r="L30" s="2464"/>
      <c r="M30" s="2465"/>
    </row>
    <row r="31" spans="1:37" ht="18" customHeight="1">
      <c r="A31" s="924" t="s">
        <v>398</v>
      </c>
      <c r="B31" s="294" t="s">
        <v>719</v>
      </c>
      <c r="C31" s="2134" t="e">
        <f ca="1">ROUND(IF(AND(项目基本情况!B11="自然人",项目基本情况!B10="北京市"),C6*F31/(1+'数据-取费表'!C42),C32+C33+C34),0)</f>
        <v>#N/A</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t="e">
        <f ca="1">IF(项目基本情况!B11="自然人","——",ROUND(C6*F32/(1+'数据-取费表'!C42),0))</f>
        <v>#N/A</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t="e">
        <f ca="1">IF(项目基本情况!B11="自然人","——",IF(D33="按租金收入计税",ROUND(C6*F33/(1+'数据-取费表'!C42),0),IF(D33="按房产原值计税",ROUND(C29*F33*0.7,0),INDIRECT("'数据-取费表'!Aj"&amp;$G$1))))</f>
        <v>#N/A</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t="e">
        <f ca="1">IF(项目基本情况!B11="自然人","——",ROUND(F34*F35,0))</f>
        <v>#N/A</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t="e">
        <f ca="1">INDIRECT("'数据-取费表'!r"&amp;$G$1)</f>
        <v>#N/A</v>
      </c>
      <c r="G35" s="1288"/>
      <c r="H35" s="2463"/>
      <c r="I35" s="1301"/>
      <c r="J35" s="1302"/>
      <c r="K35" s="2467"/>
      <c r="L35" s="2466"/>
      <c r="M35" s="2466"/>
    </row>
    <row r="36" spans="1:18" ht="18" customHeight="1">
      <c r="A36" s="1035" t="s">
        <v>402</v>
      </c>
      <c r="B36" s="294" t="s">
        <v>738</v>
      </c>
      <c r="C36" s="21" t="e">
        <f ca="1">ROUND(C29*F36,0)</f>
        <v>#N/A</v>
      </c>
      <c r="D36" s="1252" t="s">
        <v>771</v>
      </c>
      <c r="E36" s="294" t="s">
        <v>712</v>
      </c>
      <c r="F36" s="320" t="e">
        <f ca="1">INDIRECT("'数据-取费表'!Ak"&amp;$G$1)</f>
        <v>#N/A</v>
      </c>
      <c r="G36" s="1288"/>
      <c r="H36" s="2466"/>
      <c r="I36" s="1301"/>
      <c r="J36" s="1302"/>
      <c r="K36" s="2323"/>
      <c r="L36" s="2466"/>
      <c r="M36" s="2466"/>
    </row>
    <row r="37" spans="1:18" ht="18" customHeight="1">
      <c r="A37" s="924" t="s">
        <v>437</v>
      </c>
      <c r="B37" s="294" t="s">
        <v>742</v>
      </c>
      <c r="C37" s="21" t="e">
        <f ca="1">ROUND(C13*F37,0)</f>
        <v>#N/A</v>
      </c>
      <c r="D37" s="1252" t="s">
        <v>743</v>
      </c>
      <c r="E37" s="294" t="s">
        <v>712</v>
      </c>
      <c r="F37" s="321" t="e">
        <f ca="1">INDIRECT("'数据-取费表'!Al"&amp;$G$1)</f>
        <v>#N/A</v>
      </c>
      <c r="G37" s="1288"/>
      <c r="H37" s="2466"/>
      <c r="I37" s="1301"/>
      <c r="J37" s="1302"/>
      <c r="K37" s="2323"/>
      <c r="L37" s="2466"/>
      <c r="M37" s="2466"/>
    </row>
    <row r="38" spans="1:18" ht="18" customHeight="1" thickBot="1">
      <c r="A38" s="1022" t="s">
        <v>683</v>
      </c>
      <c r="B38" s="1023" t="s">
        <v>728</v>
      </c>
      <c r="C38" s="1024" t="e">
        <f ca="1">ROUND(C5*F38,0)</f>
        <v>#N/A</v>
      </c>
      <c r="D38" s="1025" t="s">
        <v>748</v>
      </c>
      <c r="E38" s="1023" t="s">
        <v>712</v>
      </c>
      <c r="F38" s="1019" t="e">
        <f ca="1">INDIRECT("'数据-取费表'!Am"&amp;$G$1)</f>
        <v>#N/A</v>
      </c>
      <c r="G38" s="1288"/>
      <c r="H38" s="2466"/>
      <c r="I38" s="1301"/>
      <c r="J38" s="1302"/>
      <c r="K38" s="2464"/>
      <c r="L38" s="2466"/>
      <c r="M38" s="2466"/>
    </row>
    <row r="39" spans="1:18" ht="24.6" customHeight="1" thickTop="1">
      <c r="A39" s="1012" t="s">
        <v>394</v>
      </c>
      <c r="B39" s="1027" t="s">
        <v>752</v>
      </c>
      <c r="C39" s="302" t="e">
        <f ca="1">C5-C30</f>
        <v>#N/A</v>
      </c>
      <c r="D39" s="1028" t="s">
        <v>753</v>
      </c>
      <c r="E39" s="1029"/>
      <c r="F39" s="1030"/>
      <c r="G39" s="1288"/>
      <c r="H39" s="2466"/>
      <c r="I39" s="1301"/>
      <c r="J39" s="1302"/>
      <c r="K39" s="2464"/>
      <c r="L39" s="2466"/>
      <c r="M39" s="2466"/>
    </row>
    <row r="40" spans="1:18" ht="18" customHeight="1">
      <c r="A40" s="291" t="s">
        <v>395</v>
      </c>
      <c r="B40" s="292" t="s">
        <v>774</v>
      </c>
      <c r="C40" s="293" t="e">
        <f ca="1">ROUND(C39*(1-((1+F42)/(1+F40))^F41)/(F40-F42),0)</f>
        <v>#N/A</v>
      </c>
      <c r="D40" s="316" t="s">
        <v>758</v>
      </c>
      <c r="E40" s="294" t="s">
        <v>759</v>
      </c>
      <c r="F40" s="304" t="e">
        <f ca="1">INDIRECT("'数据-取费表'!I"&amp;$G$1)</f>
        <v>#N/A</v>
      </c>
      <c r="G40" s="1288"/>
      <c r="H40" s="1362"/>
      <c r="I40" s="1301"/>
      <c r="J40" s="1302"/>
      <c r="K40" s="2464"/>
      <c r="L40" s="1362"/>
      <c r="M40" s="1362"/>
    </row>
    <row r="41" spans="1:18" ht="18" customHeight="1">
      <c r="A41" s="296"/>
      <c r="B41" s="297"/>
      <c r="C41" s="298"/>
      <c r="D41" s="323" t="s">
        <v>775</v>
      </c>
      <c r="E41" s="294" t="s">
        <v>763</v>
      </c>
      <c r="F41" s="324" t="e">
        <f ca="1">IF(INDIRECT("'数据-取费表'!af"&amp;$G$1)=0,INDIRECT("'数据-取费表'!ae"&amp;$G$1),INDIRECT("'数据-取费表'!af"&amp;$G$1))</f>
        <v>#N/A</v>
      </c>
      <c r="G41" s="1288"/>
      <c r="H41" s="121"/>
      <c r="I41" s="1301"/>
      <c r="J41" s="1302"/>
      <c r="K41" s="2323"/>
      <c r="L41" s="121"/>
      <c r="M41" s="121"/>
    </row>
    <row r="42" spans="1:18" ht="18" customHeight="1">
      <c r="A42" s="300"/>
      <c r="B42" s="301"/>
      <c r="C42" s="302"/>
      <c r="D42" s="319"/>
      <c r="E42" s="294" t="s">
        <v>766</v>
      </c>
      <c r="F42" s="304" t="e">
        <f ca="1">INDIRECT("'数据-取费表'!v"&amp;$G$1)</f>
        <v>#N/A</v>
      </c>
      <c r="G42" s="1288"/>
      <c r="H42" s="121"/>
      <c r="I42" s="1301"/>
      <c r="J42" s="1302"/>
      <c r="K42" s="2323"/>
      <c r="L42" s="121"/>
      <c r="M42" s="121"/>
    </row>
    <row r="43" spans="1:18" ht="18" customHeight="1" thickBot="1">
      <c r="A43" s="325" t="s">
        <v>396</v>
      </c>
      <c r="B43" s="326" t="s">
        <v>776</v>
      </c>
      <c r="C43" s="327" t="e">
        <f ca="1">ROUND(C40/F43,0)</f>
        <v>#N/A</v>
      </c>
      <c r="D43" s="328" t="s">
        <v>777</v>
      </c>
      <c r="E43" s="329" t="s">
        <v>778</v>
      </c>
      <c r="F43" s="330" t="e">
        <f ca="1">INDIRECT("'数据-取费表'!k"&amp;$G$1)</f>
        <v>#N/A</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#N/A</v>
      </c>
      <c r="D45" s="3121" t="s">
        <v>3348</v>
      </c>
      <c r="E45" s="1303"/>
      <c r="F45" s="1303"/>
      <c r="O45" s="1306" t="s">
        <v>808</v>
      </c>
      <c r="P45" s="1362"/>
      <c r="Q45" s="1362"/>
      <c r="R45" s="1362"/>
    </row>
    <row r="46" spans="1:18" s="1288" customFormat="1" ht="13.5" thickBot="1">
      <c r="A46" s="1307" t="s">
        <v>809</v>
      </c>
      <c r="C46" s="1308" t="e">
        <f ca="1">ROUND(C45,0)</f>
        <v>#N/A</v>
      </c>
      <c r="D46" s="1309" t="str">
        <f>C2</f>
        <v>万元</v>
      </c>
      <c r="I46" s="1310" t="s">
        <v>810</v>
      </c>
      <c r="J46" s="1311"/>
      <c r="K46" s="1312"/>
      <c r="L46" s="1313" t="e">
        <f ca="1">IF(M47="住宅",0,IF(L48&gt;J51,L60,J60))</f>
        <v>#N/A</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3" t="s">
        <v>438</v>
      </c>
      <c r="B48" s="292" t="s">
        <v>692</v>
      </c>
      <c r="C48" s="1264" t="e">
        <f ca="1">C49+C53+C55</f>
        <v>#N/A</v>
      </c>
      <c r="D48" s="1045"/>
      <c r="E48" s="1046"/>
      <c r="F48" s="904"/>
      <c r="G48" s="681"/>
      <c r="H48" s="682"/>
      <c r="I48" s="1324" t="s">
        <v>819</v>
      </c>
      <c r="J48" s="1325" t="s">
        <v>3448</v>
      </c>
      <c r="K48" s="1326" t="s">
        <v>820</v>
      </c>
      <c r="L48" s="1327" t="e">
        <f ca="1">INDIRECT("'数据-取费表'!f"&amp;$G$1)</f>
        <v>#N/A</v>
      </c>
      <c r="O48" s="1321" t="s">
        <v>404</v>
      </c>
      <c r="P48" s="1322" t="s">
        <v>821</v>
      </c>
      <c r="Q48" s="1323" t="e">
        <f ca="1">J60</f>
        <v>#N/A</v>
      </c>
      <c r="R48" s="1323" t="s">
        <v>822</v>
      </c>
    </row>
    <row r="49" spans="1:18" s="1288" customFormat="1" ht="13.5" thickBot="1">
      <c r="A49" s="917" t="s">
        <v>439</v>
      </c>
      <c r="B49" s="1275" t="s">
        <v>779</v>
      </c>
      <c r="C49" s="1047" t="e">
        <f ca="1">ROUND(F49*F51*F50*(1-F52),0)</f>
        <v>#N/A</v>
      </c>
      <c r="D49" s="988" t="s">
        <v>695</v>
      </c>
      <c r="E49" s="1276" t="s">
        <v>780</v>
      </c>
      <c r="F49" s="993"/>
      <c r="H49" s="682"/>
      <c r="I49" s="1324" t="s">
        <v>823</v>
      </c>
      <c r="J49" s="1328">
        <v>2022</v>
      </c>
      <c r="K49" s="1326" t="s">
        <v>824</v>
      </c>
      <c r="L49" s="1329"/>
      <c r="O49" s="1330" t="s">
        <v>405</v>
      </c>
      <c r="P49" s="1322" t="s">
        <v>825</v>
      </c>
      <c r="Q49" s="1323" t="e">
        <f ca="1">C29</f>
        <v>#N/A</v>
      </c>
      <c r="R49" s="1323" t="s">
        <v>818</v>
      </c>
    </row>
    <row r="50" spans="1:18" s="1288" customFormat="1" ht="13.5" thickBot="1">
      <c r="A50" s="918"/>
      <c r="B50" s="921"/>
      <c r="C50" s="922"/>
      <c r="D50" s="895"/>
      <c r="E50" s="989" t="s">
        <v>697</v>
      </c>
      <c r="F50" s="990" t="e">
        <f ca="1">F7</f>
        <v>#N/A</v>
      </c>
      <c r="H50" s="682"/>
      <c r="I50" s="1324" t="s">
        <v>826</v>
      </c>
      <c r="J50" s="1331">
        <f>SUMPRODUCT((I63:I65=J47)*(J62:L62=J48)*(J63:L65))</f>
        <v>60</v>
      </c>
      <c r="K50" s="1326" t="s">
        <v>827</v>
      </c>
      <c r="L50" s="1329"/>
      <c r="M50" s="1332"/>
      <c r="O50" s="1330" t="s">
        <v>406</v>
      </c>
      <c r="P50" s="1322" t="s">
        <v>828</v>
      </c>
      <c r="Q50" s="1333" t="e">
        <f ca="1">J58</f>
        <v>#N/A</v>
      </c>
      <c r="R50" s="1323"/>
    </row>
    <row r="51" spans="1:18" s="1288" customFormat="1" ht="13.5" thickBot="1">
      <c r="A51" s="919"/>
      <c r="B51" s="921"/>
      <c r="C51" s="922"/>
      <c r="D51" s="895"/>
      <c r="E51" s="923" t="s">
        <v>698</v>
      </c>
      <c r="F51" s="295" t="e">
        <f ca="1">F8</f>
        <v>#N/A</v>
      </c>
      <c r="I51" s="1334" t="s">
        <v>829</v>
      </c>
      <c r="J51" s="1327">
        <f>IF(J49="",J50,J49+J50-YEAR('数据-取费表'!B2))</f>
        <v>57</v>
      </c>
      <c r="K51" s="1335" t="s">
        <v>830</v>
      </c>
      <c r="L51" s="1336" t="e">
        <f ca="1">ROUND(-PV(INDIRECT("'数据-取费表'!h"&amp;$G$1),J51,(C39-C13*C76),0),0)</f>
        <v>#N/A</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f>'数据-取费表'!J10</f>
        <v>0</v>
      </c>
      <c r="K52" s="1338" t="s">
        <v>833</v>
      </c>
      <c r="L52" s="1339"/>
      <c r="O52" s="1330" t="s">
        <v>408</v>
      </c>
      <c r="P52" s="1322" t="s">
        <v>834</v>
      </c>
      <c r="Q52" s="1323" t="e">
        <f ca="1">J53</f>
        <v>#N/A</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t="e">
        <f ca="1">IF(M47="住宅",IF(D1="——",MAX(J51,L48),MAX(J51,L48-'数据-取费表'!B24)),IF(D1="——",MIN(J51,L48),MIN(J51,L48-'数据-取费表'!B24)))</f>
        <v>#N/A</v>
      </c>
      <c r="K53" s="3354" t="s">
        <v>837</v>
      </c>
      <c r="L53" s="3355"/>
      <c r="O53" s="1321" t="s">
        <v>409</v>
      </c>
      <c r="P53" s="1322" t="s">
        <v>838</v>
      </c>
      <c r="Q53" s="1323" t="e">
        <f ca="1">Q47+Q48</f>
        <v>#N/A</v>
      </c>
      <c r="R53" s="1323" t="s">
        <v>410</v>
      </c>
    </row>
    <row r="54" spans="1:18" s="1288" customFormat="1" ht="13.5" thickBot="1">
      <c r="A54" s="917"/>
      <c r="B54" s="1373" t="s">
        <v>891</v>
      </c>
      <c r="C54" s="901"/>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#N/A</v>
      </c>
      <c r="K55" s="1346" t="s">
        <v>841</v>
      </c>
      <c r="L55" s="1347"/>
      <c r="O55" s="1314" t="s">
        <v>811</v>
      </c>
      <c r="P55" s="1315" t="s">
        <v>812</v>
      </c>
      <c r="Q55" s="1316" t="s">
        <v>813</v>
      </c>
      <c r="R55" s="1316" t="s">
        <v>814</v>
      </c>
    </row>
    <row r="56" spans="1:18" s="1288" customFormat="1" ht="36" customHeight="1" thickTop="1" thickBot="1">
      <c r="A56" s="899">
        <v>2</v>
      </c>
      <c r="B56" s="900" t="s">
        <v>704</v>
      </c>
      <c r="C56" s="224" t="e">
        <f ca="1">C13</f>
        <v>#N/A</v>
      </c>
      <c r="D56" s="1348"/>
      <c r="E56" s="1349"/>
      <c r="F56" s="1341"/>
      <c r="I56" s="1350" t="s">
        <v>842</v>
      </c>
      <c r="J56" s="1351" t="s">
        <v>3449</v>
      </c>
      <c r="K56" s="1324" t="s">
        <v>843</v>
      </c>
      <c r="L56" s="1327" t="e">
        <f ca="1">IF(L48&lt;J51,"——",L48-J51)</f>
        <v>#N/A</v>
      </c>
      <c r="O56" s="1321" t="s">
        <v>403</v>
      </c>
      <c r="P56" s="1322" t="s">
        <v>817</v>
      </c>
      <c r="Q56" s="1323" t="e">
        <f ca="1">C40+J29</f>
        <v>#N/A</v>
      </c>
      <c r="R56" s="1323" t="s">
        <v>818</v>
      </c>
    </row>
    <row r="57" spans="1:18" s="1288" customFormat="1" ht="24.75" thickBot="1">
      <c r="A57" s="1352"/>
      <c r="B57" s="892" t="s">
        <v>767</v>
      </c>
      <c r="C57" s="230" t="e">
        <f ca="1">C29</f>
        <v>#N/A</v>
      </c>
      <c r="D57" s="1353"/>
      <c r="E57" s="1354"/>
      <c r="F57" s="1355"/>
      <c r="I57" s="1356" t="s">
        <v>844</v>
      </c>
      <c r="J57" s="1357" t="e">
        <f ca="1">IF(OR(M47="住宅",J51&lt;L48,J56="是"),"——",J51-L48)</f>
        <v>#N/A</v>
      </c>
      <c r="K57" s="1324" t="s">
        <v>892</v>
      </c>
      <c r="L57" s="1327" t="e">
        <f ca="1">IF(L48&lt;J51,"——",IF(L55="比较法",L49,IF(L55="基准地价",L50,L51)))</f>
        <v>#N/A</v>
      </c>
      <c r="O57" s="1321" t="s">
        <v>404</v>
      </c>
      <c r="P57" s="1322" t="s">
        <v>846</v>
      </c>
      <c r="Q57" s="1323" t="e">
        <f ca="1">L60</f>
        <v>#N/A</v>
      </c>
      <c r="R57" s="1323" t="s">
        <v>847</v>
      </c>
    </row>
    <row r="58" spans="1:18" s="1288" customFormat="1" ht="24.75" thickBot="1">
      <c r="A58" s="307" t="s">
        <v>393</v>
      </c>
      <c r="B58" s="900" t="s">
        <v>714</v>
      </c>
      <c r="C58" s="308" t="e">
        <f ca="1">ROUND(C59+C64+C65+C66,0)</f>
        <v>#N/A</v>
      </c>
      <c r="D58" s="902" t="s">
        <v>715</v>
      </c>
      <c r="E58" s="903"/>
      <c r="F58" s="904"/>
      <c r="I58" s="1356" t="s">
        <v>848</v>
      </c>
      <c r="J58" s="1358" t="e">
        <f ca="1">IF(J55&lt;0.4,0.4,J55)</f>
        <v>#N/A</v>
      </c>
      <c r="K58" s="1335" t="s">
        <v>895</v>
      </c>
      <c r="L58" s="1327" t="e">
        <f ca="1">ROUND(POWER(1+L52,L47-L48)*(POWER(1+L52,L48)-1)/(POWER(1+L52,L47)-1),4)</f>
        <v>#N/A</v>
      </c>
      <c r="O58" s="1330" t="s">
        <v>405</v>
      </c>
      <c r="P58" s="1322" t="s">
        <v>850</v>
      </c>
      <c r="Q58" s="1323">
        <f>IF(L55="比较法",L49,IF(L55="基准地价",L50,0))</f>
        <v>0</v>
      </c>
      <c r="R58" s="1323" t="s">
        <v>818</v>
      </c>
    </row>
    <row r="59" spans="1:18" s="1288" customFormat="1" ht="24.75" thickBot="1">
      <c r="A59" s="924" t="s">
        <v>398</v>
      </c>
      <c r="B59" s="892" t="s">
        <v>719</v>
      </c>
      <c r="C59" s="2134" t="e">
        <f ca="1">ROUND(IF(AND(项目基本情况!B11="自然人",项目基本情况!B10="北京市"),C49*F59/(1+'数据-取费表'!C42),C60+C61+C62),0)</f>
        <v>#N/A</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0" t="s">
        <v>406</v>
      </c>
      <c r="P59" s="1322" t="s">
        <v>852</v>
      </c>
      <c r="Q59" s="1333">
        <f>L52</f>
        <v>0</v>
      </c>
      <c r="R59" s="1323"/>
    </row>
    <row r="60" spans="1:18" s="1288" customFormat="1" ht="16.5" thickBot="1">
      <c r="A60" s="924" t="s">
        <v>397</v>
      </c>
      <c r="B60" s="892" t="s">
        <v>723</v>
      </c>
      <c r="C60" s="21" t="e">
        <f ca="1">IF(项目基本情况!B11="自然人","——",ROUND(C48*F60/(1+'数据-取费表'!C42),0))</f>
        <v>#N/A</v>
      </c>
      <c r="D60" s="906" t="s">
        <v>724</v>
      </c>
      <c r="E60" s="892" t="s">
        <v>712</v>
      </c>
      <c r="F60" s="322">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4" t="s">
        <v>781</v>
      </c>
      <c r="B61" s="892" t="s">
        <v>727</v>
      </c>
      <c r="C61" s="21" t="e">
        <f ca="1">IF(项目基本情况!B11="自然人","——",IF(D61="按租金收入计税",ROUND(C49*F61/(1+'数据-取费表'!C42),0),IF(D61="按房产原值计税",ROUND(C57*F61*0.7,0),INDIRECT("'数据-取费表'!Aj"&amp;$G$1))))</f>
        <v>#N/A</v>
      </c>
      <c r="D61" s="1274" t="s">
        <v>3331</v>
      </c>
      <c r="E61" s="892" t="s">
        <v>712</v>
      </c>
      <c r="F61" s="314">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4" t="s">
        <v>784</v>
      </c>
      <c r="B62" s="891" t="s">
        <v>730</v>
      </c>
      <c r="C62" s="22" t="e">
        <f ca="1">IF(项目基本情况!B11="自然人","——",ROUND(F62*F63,0))</f>
        <v>#N/A</v>
      </c>
      <c r="D62" s="907" t="s">
        <v>731</v>
      </c>
      <c r="E62" s="892" t="s">
        <v>732</v>
      </c>
      <c r="F62" s="317">
        <f t="shared" si="0"/>
        <v>0</v>
      </c>
      <c r="I62" s="1363" t="s">
        <v>858</v>
      </c>
      <c r="J62" s="610" t="s">
        <v>859</v>
      </c>
      <c r="K62" s="610" t="s">
        <v>860</v>
      </c>
      <c r="L62" s="610" t="s">
        <v>861</v>
      </c>
      <c r="M62" s="1364" t="s">
        <v>862</v>
      </c>
      <c r="O62" s="1321" t="s">
        <v>409</v>
      </c>
      <c r="P62" s="1322" t="s">
        <v>838</v>
      </c>
      <c r="Q62" s="1323" t="e">
        <f ca="1">Q56+Q57</f>
        <v>#N/A</v>
      </c>
      <c r="R62" s="1323" t="s">
        <v>410</v>
      </c>
    </row>
    <row r="63" spans="1:18" s="1288" customFormat="1" ht="13.5" thickBot="1">
      <c r="A63" s="318"/>
      <c r="B63" s="898"/>
      <c r="C63" s="26"/>
      <c r="D63" s="908"/>
      <c r="E63" s="892" t="s">
        <v>736</v>
      </c>
      <c r="F63" s="295" t="e">
        <f t="shared" ca="1" si="0"/>
        <v>#N/A</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t="e">
        <f ca="1">ROUND(C57*F64,0)</f>
        <v>#N/A</v>
      </c>
      <c r="D64" s="906" t="s">
        <v>771</v>
      </c>
      <c r="E64" s="892" t="s">
        <v>712</v>
      </c>
      <c r="F64" s="320" t="e">
        <f t="shared" ca="1" si="0"/>
        <v>#N/A</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t="e">
        <f ca="1">ROUND(C56*F65,0)</f>
        <v>#N/A</v>
      </c>
      <c r="D65" s="906" t="s">
        <v>743</v>
      </c>
      <c r="E65" s="892" t="s">
        <v>712</v>
      </c>
      <c r="F65" s="321" t="e">
        <f t="shared" ca="1" si="0"/>
        <v>#N/A</v>
      </c>
      <c r="I65" s="1363" t="s">
        <v>867</v>
      </c>
      <c r="J65" s="610">
        <v>40</v>
      </c>
      <c r="K65" s="610">
        <v>30</v>
      </c>
      <c r="L65" s="610">
        <v>50</v>
      </c>
      <c r="M65" s="1365">
        <v>0.02</v>
      </c>
      <c r="O65" s="1321" t="s">
        <v>403</v>
      </c>
      <c r="P65" s="1322" t="s">
        <v>817</v>
      </c>
      <c r="Q65" s="1323" t="e">
        <f ca="1">C40+J29</f>
        <v>#N/A</v>
      </c>
      <c r="R65" s="1323" t="s">
        <v>818</v>
      </c>
    </row>
    <row r="66" spans="1:18" s="1288" customFormat="1" ht="16.5" thickBot="1">
      <c r="A66" s="924" t="s">
        <v>793</v>
      </c>
      <c r="B66" s="892" t="s">
        <v>728</v>
      </c>
      <c r="C66" s="21" t="e">
        <f ca="1">ROUND(C48*F66,0)</f>
        <v>#N/A</v>
      </c>
      <c r="D66" s="906" t="s">
        <v>748</v>
      </c>
      <c r="E66" s="892" t="s">
        <v>712</v>
      </c>
      <c r="F66" s="304" t="e">
        <f t="shared" ca="1" si="0"/>
        <v>#N/A</v>
      </c>
      <c r="O66" s="1321" t="s">
        <v>404</v>
      </c>
      <c r="P66" s="1322" t="s">
        <v>846</v>
      </c>
      <c r="Q66" s="1323" t="e">
        <f ca="1">L60</f>
        <v>#N/A</v>
      </c>
      <c r="R66" s="1323" t="s">
        <v>869</v>
      </c>
    </row>
    <row r="67" spans="1:18" s="1288" customFormat="1" ht="16.5" thickBot="1">
      <c r="A67" s="899" t="s">
        <v>394</v>
      </c>
      <c r="B67" s="909" t="s">
        <v>752</v>
      </c>
      <c r="C67" s="308" t="e">
        <f ca="1">C48-C58</f>
        <v>#N/A</v>
      </c>
      <c r="D67" s="905" t="s">
        <v>753</v>
      </c>
      <c r="E67" s="910"/>
      <c r="F67" s="911"/>
      <c r="O67" s="1330" t="s">
        <v>405</v>
      </c>
      <c r="P67" s="1322" t="s">
        <v>850</v>
      </c>
      <c r="Q67" s="1366" t="e">
        <f ca="1">L51</f>
        <v>#N/A</v>
      </c>
      <c r="R67" s="1323" t="s">
        <v>870</v>
      </c>
    </row>
    <row r="68" spans="1:18" s="1288" customFormat="1" ht="16.5" thickBot="1">
      <c r="A68" s="889" t="s">
        <v>395</v>
      </c>
      <c r="B68" s="890" t="s">
        <v>774</v>
      </c>
      <c r="C68" s="293" t="e">
        <f ca="1">ROUND(C67*(1-((1+F70)/(1+F68))^F69)/(F68-F70),0)</f>
        <v>#N/A</v>
      </c>
      <c r="D68" s="907" t="s">
        <v>758</v>
      </c>
      <c r="E68" s="892" t="s">
        <v>759</v>
      </c>
      <c r="F68" s="304" t="e">
        <f ca="1">F40</f>
        <v>#N/A</v>
      </c>
      <c r="O68" s="1330" t="s">
        <v>406</v>
      </c>
      <c r="P68" s="1367" t="s">
        <v>871</v>
      </c>
      <c r="Q68" s="1323" t="e">
        <f ca="1">ROUND(Q69-Q70*Q71,0)</f>
        <v>#N/A</v>
      </c>
      <c r="R68" s="1323" t="s">
        <v>414</v>
      </c>
    </row>
    <row r="69" spans="1:18" s="1288" customFormat="1" ht="13.5" thickBot="1">
      <c r="A69" s="893"/>
      <c r="B69" s="894"/>
      <c r="C69" s="298"/>
      <c r="D69" s="912" t="s">
        <v>762</v>
      </c>
      <c r="E69" s="892" t="s">
        <v>763</v>
      </c>
      <c r="F69" s="324" t="e">
        <f ca="1">F41</f>
        <v>#N/A</v>
      </c>
      <c r="O69" s="1330" t="s">
        <v>411</v>
      </c>
      <c r="P69" s="1367" t="s">
        <v>872</v>
      </c>
      <c r="Q69" s="1323" t="e">
        <f ca="1">C39</f>
        <v>#N/A</v>
      </c>
      <c r="R69" s="1323" t="s">
        <v>818</v>
      </c>
    </row>
    <row r="70" spans="1:18" s="1288" customFormat="1" ht="13.5" thickBot="1">
      <c r="A70" s="896"/>
      <c r="B70" s="897"/>
      <c r="C70" s="302"/>
      <c r="D70" s="908"/>
      <c r="E70" s="892" t="s">
        <v>766</v>
      </c>
      <c r="F70" s="987"/>
      <c r="O70" s="1330" t="s">
        <v>412</v>
      </c>
      <c r="P70" s="1367" t="s">
        <v>873</v>
      </c>
      <c r="Q70" s="1323" t="e">
        <f ca="1">C13</f>
        <v>#N/A</v>
      </c>
      <c r="R70" s="1323" t="s">
        <v>818</v>
      </c>
    </row>
    <row r="71" spans="1:18" s="1288" customFormat="1" ht="13.5" thickBot="1">
      <c r="A71" s="913" t="s">
        <v>396</v>
      </c>
      <c r="B71" s="914" t="s">
        <v>776</v>
      </c>
      <c r="C71" s="327" t="e">
        <f ca="1">ROUND(C68/F71,0)</f>
        <v>#N/A</v>
      </c>
      <c r="D71" s="915" t="s">
        <v>777</v>
      </c>
      <c r="E71" s="916" t="s">
        <v>778</v>
      </c>
      <c r="F71" s="330" t="e">
        <f ca="1">F43</f>
        <v>#N/A</v>
      </c>
      <c r="O71" s="1330" t="s">
        <v>413</v>
      </c>
      <c r="P71" s="1367" t="s">
        <v>874</v>
      </c>
      <c r="Q71" s="1333" t="e">
        <f ca="1">C76</f>
        <v>#N/A</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#N/A</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1" t="s">
        <v>795</v>
      </c>
      <c r="C75" s="332" t="e">
        <f ca="1">ROUND(C13*C76,0)</f>
        <v>#N/A</v>
      </c>
      <c r="D75" s="1288"/>
      <c r="E75" s="1288"/>
      <c r="F75" s="1288"/>
      <c r="K75" s="1305"/>
      <c r="L75" s="1288"/>
      <c r="O75" s="1321" t="s">
        <v>409</v>
      </c>
      <c r="P75" s="1322" t="s">
        <v>838</v>
      </c>
      <c r="Q75" s="1323" t="e">
        <f ca="1">Q65+Q66</f>
        <v>#N/A</v>
      </c>
      <c r="R75" s="1323" t="s">
        <v>410</v>
      </c>
    </row>
    <row r="76" spans="1:18">
      <c r="B76" s="333" t="s">
        <v>796</v>
      </c>
      <c r="C76" s="334" t="e">
        <f ca="1">INDIRECT("'数据-取费表'!j"&amp;$G$1)</f>
        <v>#N/A</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52" priority="3">
      <formula>$F$10="自定义"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J11">
    <cfRule type="expression" dxfId="149" priority="2">
      <formula>$M$10="自定义"</formula>
    </cfRule>
  </conditionalFormatting>
  <conditionalFormatting sqref="K55 K60">
    <cfRule type="expression" dxfId="148" priority="4">
      <formula>$L$48&gt;$J$51</formula>
    </cfRule>
  </conditionalFormatting>
  <dataValidations count="9">
    <dataValidation type="list" allowBlank="1" showInputMessage="1" showErrorMessage="1" sqref="D1" xr:uid="{FD3C15A4-3EF3-42B5-8B81-C278DF70C518}">
      <formula1>"在建（套用方法）,土地（套用方法）,——"</formula1>
    </dataValidation>
    <dataValidation type="list" allowBlank="1" showInputMessage="1" showErrorMessage="1" sqref="F10 F53 M10" xr:uid="{0E8C4858-6EA7-4503-BBF8-1EBBFCA6D432}">
      <formula1>"押一,押二,押三,自定义"</formula1>
    </dataValidation>
    <dataValidation type="list" allowBlank="1" showInputMessage="1" showErrorMessage="1" sqref="K19" xr:uid="{8E5FB511-8B09-4D31-B04C-2631E39B34F3}">
      <formula1>"按租金收入计税,按房产原值计税"</formula1>
    </dataValidation>
    <dataValidation type="list" allowBlank="1" showInputMessage="1" showErrorMessage="1" sqref="D33 D61" xr:uid="{EF08DF2B-1612-4025-9DD8-742AB5FA8B66}">
      <formula1>"按租金收入计税,按房产原值计税,按票据"</formula1>
    </dataValidation>
    <dataValidation type="list" allowBlank="1" showInputMessage="1" showErrorMessage="1" sqref="C1" xr:uid="{2CFEF381-B562-4609-837C-751ACA55FD6F}">
      <formula1>项目类型</formula1>
    </dataValidation>
    <dataValidation type="list" allowBlank="1" showInputMessage="1" showErrorMessage="1" sqref="J47" xr:uid="{D46C27CC-5BD4-4A7C-974E-384B32363950}">
      <formula1>"钢,钢混,砖混"</formula1>
    </dataValidation>
    <dataValidation type="list" allowBlank="1" showInputMessage="1" showErrorMessage="1" sqref="J48" xr:uid="{84BB85B9-1DF4-49CA-A182-A01D2B222BB8}">
      <formula1>"非生产用房,生产用房,受腐蚀的生产用房"</formula1>
    </dataValidation>
    <dataValidation type="list" allowBlank="1" showInputMessage="1" showErrorMessage="1" sqref="J56" xr:uid="{1ED5C73C-6445-4D9E-A2BD-6B9E4B5B861E}">
      <formula1>估价范围判定</formula1>
    </dataValidation>
    <dataValidation type="list" allowBlank="1" showInputMessage="1" showErrorMessage="1" sqref="L55" xr:uid="{BDE401AC-F141-4463-933A-5673DB3D05E8}">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9C5BF-DAE4-4759-B254-CCFFCA115350}">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3328</v>
      </c>
      <c r="C1" s="190"/>
      <c r="D1" s="190"/>
      <c r="E1" s="190"/>
      <c r="F1" s="190"/>
      <c r="G1" s="1058" t="e">
        <f>MATCH(B1,'数据-取费表'!A6:A16,0)+5</f>
        <v>#N/A</v>
      </c>
    </row>
    <row r="2" spans="1:9" s="192" customFormat="1" ht="18" customHeight="1">
      <c r="A2" s="193" t="s">
        <v>685</v>
      </c>
      <c r="B2" s="194" t="e">
        <f ca="1">IF(D2="——",C52,C52-E2)</f>
        <v>#VALUE!</v>
      </c>
      <c r="C2" s="191" t="s">
        <v>1463</v>
      </c>
      <c r="D2" s="1707" t="s">
        <v>43</v>
      </c>
      <c r="E2" s="1085" t="e">
        <f ca="1">SUMIF(INDIRECT("'"&amp;G2&amp;"'"&amp;"!A:A"),"承租人权益价值",INDIRECT("'"&amp;G2&amp;"'"&amp;"!c:c"))</f>
        <v>#REF!</v>
      </c>
      <c r="F2" s="1708" t="s">
        <v>1463</v>
      </c>
      <c r="G2" s="1709"/>
    </row>
    <row r="3" spans="1:9" s="192" customFormat="1" ht="18" customHeight="1" thickBot="1">
      <c r="A3" s="195" t="s">
        <v>686</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t="e">
        <f ca="1">C6+C7+C8</f>
        <v>#VALUE!</v>
      </c>
      <c r="D5" s="203" t="s">
        <v>1469</v>
      </c>
      <c r="E5" s="204" t="s">
        <v>1470</v>
      </c>
      <c r="F5" s="204" t="s">
        <v>1471</v>
      </c>
      <c r="G5" s="205"/>
    </row>
    <row r="6" spans="1:9" s="206" customFormat="1" ht="13.5" customHeight="1">
      <c r="A6" s="728" t="s">
        <v>346</v>
      </c>
      <c r="B6" s="207" t="s">
        <v>1473</v>
      </c>
      <c r="C6" s="208" t="e">
        <f>ROUND('基准地价修正 -办公'!G42*'数据-基础表'!Q13/10000,0)</f>
        <v>#VALUE!</v>
      </c>
      <c r="D6" s="209"/>
      <c r="E6" s="210"/>
      <c r="F6" s="210"/>
      <c r="G6" s="211"/>
    </row>
    <row r="7" spans="1:9" s="206" customFormat="1" ht="13.5" customHeight="1">
      <c r="A7" s="728" t="s">
        <v>347</v>
      </c>
      <c r="B7" s="207" t="s">
        <v>1475</v>
      </c>
      <c r="C7" s="212" t="e">
        <f>ROUND(C6*F7,0)</f>
        <v>#VALUE!</v>
      </c>
      <c r="D7" s="212"/>
      <c r="E7" s="210"/>
      <c r="F7" s="213">
        <f>IF(项目基本情况!B8="出让",0,'数据-取费表'!B48+'数据-取费表'!B49)</f>
        <v>3.0499999999999999E-2</v>
      </c>
      <c r="G7" s="211"/>
    </row>
    <row r="8" spans="1:9" s="215" customFormat="1">
      <c r="A8" s="728" t="s">
        <v>348</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1038" t="e">
        <f ca="1">ROUND(IF('数据-取费表'!B22&lt;=1,C5*F22*'数据-取费表'!B23,C5*(POWER((1+F22),'数据-取费表'!B23)-1)),0)</f>
        <v>#VALUE!</v>
      </c>
      <c r="D23" s="230"/>
      <c r="E23" s="230"/>
      <c r="F23" s="231"/>
      <c r="G23" s="232" t="s">
        <v>1504</v>
      </c>
    </row>
    <row r="24" spans="1:7" s="206" customFormat="1" ht="13.5" customHeight="1">
      <c r="A24" s="730" t="s">
        <v>347</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348</v>
      </c>
      <c r="B25" s="207" t="s">
        <v>1509</v>
      </c>
      <c r="C25" s="1038" t="e">
        <f ca="1">ROUND(IF('数据-取费表'!B22&lt;=1,C20*F22*'数据-取费表'!B23/2,C20*(POWER((1+F22),'数据-取费表'!B23/2)-1)),0)</f>
        <v>#VALUE!</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#VALUE!</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#VALUE!</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ROUND(IF('数据-取费表'!B22&lt;=1,C33*F22*'数据-取费表'!B21/2,C33*(POWER((1+F22),'数据-取费表'!B21/2)-1)),0)</f>
        <v>#N/A</v>
      </c>
      <c r="D42" s="230"/>
      <c r="E42" s="230"/>
      <c r="F42" s="231"/>
      <c r="G42" s="3348" t="s">
        <v>1544</v>
      </c>
    </row>
    <row r="43" spans="1:7" ht="13.5" customHeight="1">
      <c r="A43" s="730" t="s">
        <v>347</v>
      </c>
      <c r="B43" s="207" t="s">
        <v>1506</v>
      </c>
      <c r="C43" s="230" t="e">
        <f ca="1">ROUND(IF('数据-取费表'!B22&lt;=1,C39*F22*'数据-取费表'!B21/2,C39*(POWER((1+F22),'数据-取费表'!B21/2)-1)),0)</f>
        <v>#N/A</v>
      </c>
      <c r="D43" s="230"/>
      <c r="E43" s="230"/>
      <c r="F43" s="231"/>
      <c r="G43" s="3349"/>
    </row>
    <row r="44" spans="1:7" ht="13.5" customHeight="1">
      <c r="A44" s="730" t="s">
        <v>348</v>
      </c>
      <c r="B44" s="207" t="s">
        <v>1509</v>
      </c>
      <c r="C44" s="230">
        <f ca="1">ROUND(IF('数据-取费表'!B22&lt;=1,C40*F22*'数据-取费表'!B21/2,C40*(POWER((1+F22),'数据-取费表'!B21/2)-1)),4)</f>
        <v>5.9999999999999995E-4</v>
      </c>
      <c r="D44" s="230"/>
      <c r="E44" s="230"/>
      <c r="F44" s="231"/>
      <c r="G44" s="3350"/>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289905CF-AA52-4E2F-817D-27146589F824}">
      <formula1>"需扣减承租人权益,——"</formula1>
    </dataValidation>
    <dataValidation type="list" allowBlank="1" showInputMessage="1" showErrorMessage="1" sqref="G2" xr:uid="{9644CF6D-4D8C-4105-9363-17CE5EEF627E}">
      <formula1>估价方法</formula1>
    </dataValidation>
    <dataValidation type="list" allowBlank="1" showInputMessage="1" showErrorMessage="1" sqref="G9" xr:uid="{E989A6B2-A5DC-4225-96BA-B3EEEADBB4E3}">
      <formula1>"部分缴纳,全部缴纳"</formula1>
    </dataValidation>
    <dataValidation type="list" allowBlank="1" showInputMessage="1" showErrorMessage="1" sqref="B1" xr:uid="{1A4C7D8D-C908-4C2F-BABE-3E2F648BC62B}">
      <formula1>项目类型</formula1>
    </dataValidation>
    <dataValidation type="list" allowBlank="1" showInputMessage="1" showErrorMessage="1" sqref="G19" xr:uid="{96C1B304-FE3A-48F8-805D-8E6E2D086EB6}">
      <formula1>"已包含在土地取得成本中,未包含在土地取得成本中"</formula1>
    </dataValidation>
    <dataValidation type="list" allowBlank="1" showInputMessage="1" showErrorMessage="1" sqref="G8" xr:uid="{B55FD04E-A24C-4CF5-BF91-A36E2D2B3437}">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72E05-BB4A-484B-AC52-FBB6EE1DF3E3}">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3328</v>
      </c>
      <c r="C1" s="1713" t="s">
        <v>1563</v>
      </c>
      <c r="D1" s="190"/>
      <c r="E1" s="190"/>
      <c r="F1" s="190"/>
      <c r="G1" s="1058" t="e">
        <f>MATCH(B1,'数据-取费表'!A6:A16,0)+5</f>
        <v>#N/A</v>
      </c>
      <c r="H1" s="994" t="str">
        <f>IF(ISERROR(FIND("住宅",B1)),"非住宅","住宅")</f>
        <v>非住宅</v>
      </c>
    </row>
    <row r="2" spans="1:8" s="192" customFormat="1" ht="18" customHeight="1">
      <c r="A2" s="193" t="s">
        <v>685</v>
      </c>
      <c r="B2" s="3114" t="e">
        <f ca="1">ROUND(IF(D2="——",C52/10000,C52/10000-E2),4)</f>
        <v>#VALUE!</v>
      </c>
      <c r="C2" s="191" t="s">
        <v>1463</v>
      </c>
      <c r="D2" s="1707" t="s">
        <v>43</v>
      </c>
      <c r="E2" s="1085" t="e">
        <f ca="1">SUMIF(INDIRECT("'"&amp;G2&amp;"'"&amp;"!A:A"),"承租人权益价值",INDIRECT("'"&amp;G2&amp;"'"&amp;"!c:c"))</f>
        <v>#REF!</v>
      </c>
      <c r="F2" s="1708" t="s">
        <v>1463</v>
      </c>
      <c r="G2" s="1709"/>
    </row>
    <row r="3" spans="1:8" s="192" customFormat="1" ht="18" customHeight="1" thickBot="1">
      <c r="A3" s="195" t="s">
        <v>686</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#VALUE!</v>
      </c>
      <c r="D5" s="203" t="s">
        <v>1469</v>
      </c>
      <c r="E5" s="204" t="s">
        <v>1470</v>
      </c>
      <c r="F5" s="204" t="s">
        <v>1471</v>
      </c>
      <c r="G5" s="205"/>
    </row>
    <row r="6" spans="1:8" s="206" customFormat="1" ht="13.5" customHeight="1">
      <c r="A6" s="728" t="s">
        <v>346</v>
      </c>
      <c r="B6" s="207" t="s">
        <v>1473</v>
      </c>
      <c r="C6" s="208" t="e">
        <f>ROUND('基准地价修正 -办公'!G42*'数据-基础表'!Q13,0)</f>
        <v>#VALUE!</v>
      </c>
      <c r="D6" s="209"/>
      <c r="E6" s="210"/>
      <c r="F6" s="210"/>
      <c r="G6" s="211"/>
    </row>
    <row r="7" spans="1:8" s="206" customFormat="1" ht="13.5" customHeight="1">
      <c r="A7" s="728" t="s">
        <v>347</v>
      </c>
      <c r="B7" s="207" t="s">
        <v>1475</v>
      </c>
      <c r="C7" s="212" t="e">
        <f>ROUND(C6*F7,0)</f>
        <v>#VALUE!</v>
      </c>
      <c r="D7" s="212"/>
      <c r="E7" s="210"/>
      <c r="F7" s="213">
        <f>IF(项目基本情况!B8="出让",0,'数据-取费表'!B48+'数据-取费表'!B49)</f>
        <v>3.0499999999999999E-2</v>
      </c>
      <c r="G7" s="211"/>
    </row>
    <row r="8" spans="1:8" s="215" customFormat="1">
      <c r="A8" s="728" t="s">
        <v>348</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230" t="e">
        <f ca="1">ROUND(IF('数据-取费表'!B22&lt;=1,C5*F22*'数据-取费表'!B22,C5*(POWER((1+F22),'数据-取费表'!B22)-1)),0)</f>
        <v>#VALUE!</v>
      </c>
      <c r="D23" s="230"/>
      <c r="E23" s="230"/>
      <c r="F23" s="231"/>
      <c r="G23" s="232" t="s">
        <v>1504</v>
      </c>
    </row>
    <row r="24" spans="1:7" s="206" customFormat="1" ht="13.5" customHeight="1">
      <c r="A24" s="730"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0" t="s">
        <v>348</v>
      </c>
      <c r="B25" s="207" t="s">
        <v>1509</v>
      </c>
      <c r="C25" s="230" t="e">
        <f ca="1">ROUND(IF('数据-取费表'!B22&lt;=1,C20*F22*'数据-取费表'!B22/2,C20*(POWER((1+F22),'数据-取费表'!B22/2)-1)),0)</f>
        <v>#VALUE!</v>
      </c>
      <c r="D25" s="230"/>
      <c r="E25" s="233"/>
      <c r="F25" s="231"/>
      <c r="G25" s="234" t="s">
        <v>1510</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#VALUE!</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ROUND((C5+C19+C20)*F27,0)</f>
        <v>#VALUE!</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ROUND(IF('数据-取费表'!B22&lt;=1,C33*F22*'数据-取费表'!B20/2,C33*(POWER((1+F22),'数据-取费表'!B20/2)-1)),0)</f>
        <v>#N/A</v>
      </c>
      <c r="D42" s="230"/>
      <c r="E42" s="230"/>
      <c r="F42" s="231"/>
      <c r="G42" s="3348" t="s">
        <v>1591</v>
      </c>
    </row>
    <row r="43" spans="1:7" ht="13.5" customHeight="1">
      <c r="A43" s="730" t="s">
        <v>347</v>
      </c>
      <c r="B43" s="207" t="s">
        <v>1506</v>
      </c>
      <c r="C43" s="230" t="e">
        <f ca="1">ROUND(IF('数据-取费表'!B22&lt;=1,C39*F22*'数据-取费表'!B20/2,C39*(POWER((1+F22),'数据-取费表'!B20/2)-1)),0)</f>
        <v>#N/A</v>
      </c>
      <c r="D43" s="230"/>
      <c r="E43" s="230"/>
      <c r="F43" s="231"/>
      <c r="G43" s="3349"/>
    </row>
    <row r="44" spans="1:7" ht="13.5" customHeight="1">
      <c r="A44" s="730" t="s">
        <v>348</v>
      </c>
      <c r="B44" s="207" t="s">
        <v>1509</v>
      </c>
      <c r="C44" s="230">
        <f ca="1">ROUND(IF('数据-取费表'!B22&lt;=1,C40*F22*'数据-取费表'!B20/2,C40*(POWER((1+F22),'数据-取费表'!B20/2)-1)),4)</f>
        <v>5.9999999999999995E-4</v>
      </c>
      <c r="D44" s="230"/>
      <c r="E44" s="230"/>
      <c r="F44" s="231"/>
      <c r="G44" s="3350"/>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4ACE42CB-1DCA-4EA8-957E-76C149D1A1B9}">
      <formula1>"已包含在土地购买价格中,未包含在土地购买价格中"</formula1>
    </dataValidation>
    <dataValidation type="list" allowBlank="1" showInputMessage="1" showErrorMessage="1" sqref="G19" xr:uid="{2892FDD3-A951-4CF2-BDD1-3F3A47C0F425}">
      <formula1>"已包含在土地取得成本中,未包含在土地取得成本中"</formula1>
    </dataValidation>
    <dataValidation type="list" allowBlank="1" showInputMessage="1" showErrorMessage="1" sqref="B1" xr:uid="{36E92354-173D-48E7-8831-127B9C5AEDEB}">
      <formula1>项目类型</formula1>
    </dataValidation>
    <dataValidation type="list" allowBlank="1" showInputMessage="1" showErrorMessage="1" sqref="G2" xr:uid="{65517BA4-DC78-4E66-B232-86A955C86041}">
      <formula1>估价方法</formula1>
    </dataValidation>
    <dataValidation type="list" allowBlank="1" showInputMessage="1" showErrorMessage="1" sqref="D2" xr:uid="{264638C4-4DBC-4BE0-A625-1C834EC1A64C}">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F31" sqref="F3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c r="D1" s="1267" t="s">
        <v>43</v>
      </c>
      <c r="E1" s="1268" t="s">
        <v>678</v>
      </c>
      <c r="F1" s="995">
        <f ca="1">J53</f>
        <v>0</v>
      </c>
      <c r="G1" s="1282">
        <f>MATCH(C1,'数据-取费表'!A6:A16,0)+5</f>
        <v>7</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t="e">
        <f ca="1">C40+J29+L46</f>
        <v>#DIV/0!</v>
      </c>
      <c r="C2" s="1285" t="s">
        <v>805</v>
      </c>
      <c r="D2" s="1285"/>
      <c r="E2" s="1291"/>
      <c r="F2" s="1292"/>
      <c r="G2" s="2471"/>
      <c r="H2" s="2461"/>
      <c r="I2" s="2461"/>
      <c r="J2" s="2461"/>
      <c r="K2" s="2462"/>
      <c r="L2" s="2461"/>
      <c r="M2" s="2461"/>
    </row>
    <row r="3" spans="1:37" ht="18" customHeight="1" thickBot="1">
      <c r="A3" s="1293" t="s">
        <v>806</v>
      </c>
      <c r="B3" s="1294">
        <f ca="1">IF(ISERROR(B2*10000/F43),0,ROUND(B2*10000/F43,0))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f ca="1">C6+C10+C12</f>
        <v>0</v>
      </c>
      <c r="D5" s="1269" t="s">
        <v>693</v>
      </c>
      <c r="E5" s="1004"/>
      <c r="F5" s="1005"/>
      <c r="G5" s="1288"/>
      <c r="H5" s="291">
        <v>1</v>
      </c>
      <c r="I5" s="292" t="s">
        <v>692</v>
      </c>
      <c r="J5" s="1003">
        <f ca="1">J6+J10+J12</f>
        <v>0</v>
      </c>
      <c r="K5" s="1269" t="s">
        <v>693</v>
      </c>
      <c r="L5" s="1004"/>
      <c r="M5" s="1005"/>
    </row>
    <row r="6" spans="1:37" ht="18" customHeight="1">
      <c r="A6" s="1002" t="s">
        <v>398</v>
      </c>
      <c r="B6" s="3351" t="s">
        <v>694</v>
      </c>
      <c r="C6" s="1007">
        <f ca="1">ROUND(F6*F8*F7*(1-F9)/10000,0)</f>
        <v>0</v>
      </c>
      <c r="D6" s="147" t="s">
        <v>2109</v>
      </c>
      <c r="E6" s="294" t="s">
        <v>696</v>
      </c>
      <c r="F6" s="295">
        <f ca="1">INDIRECT("'数据-取费表'!u"&amp;$G$1)</f>
        <v>0</v>
      </c>
      <c r="G6" s="1288"/>
      <c r="H6" s="1002" t="s">
        <v>398</v>
      </c>
      <c r="I6" s="3351" t="s">
        <v>694</v>
      </c>
      <c r="J6" s="293">
        <f ca="1">ROUND(M6*M8*M7*(1-M9)/10000,0)</f>
        <v>0</v>
      </c>
      <c r="K6" s="147" t="s">
        <v>2108</v>
      </c>
      <c r="L6" s="294" t="s">
        <v>696</v>
      </c>
      <c r="M6" s="295">
        <f ca="1">INDIRECT("'数据-取费表'!z"&amp;$G$1)</f>
        <v>0</v>
      </c>
    </row>
    <row r="7" spans="1:37" ht="18" customHeight="1">
      <c r="A7" s="1006"/>
      <c r="B7" s="3352"/>
      <c r="C7" s="1008"/>
      <c r="D7" s="299"/>
      <c r="E7" s="1009" t="s">
        <v>697</v>
      </c>
      <c r="F7" s="295">
        <f ca="1">IF(INDIRECT("'数据-取费表'!ah"&amp;$G$1)="",INDIRECT("'数据-取费表'!k"&amp;$G$1),INDIRECT("'数据-取费表'!ah"&amp;$G$1))</f>
        <v>0</v>
      </c>
      <c r="G7" s="1288"/>
      <c r="H7" s="296"/>
      <c r="I7" s="3352"/>
      <c r="J7" s="298"/>
      <c r="K7" s="299"/>
      <c r="L7" s="294" t="s">
        <v>697</v>
      </c>
      <c r="M7" s="295">
        <f ca="1">F7</f>
        <v>0</v>
      </c>
    </row>
    <row r="8" spans="1:37" ht="18" customHeight="1">
      <c r="A8" s="296"/>
      <c r="B8" s="3352"/>
      <c r="C8" s="298"/>
      <c r="D8" s="299"/>
      <c r="E8" s="294" t="s">
        <v>698</v>
      </c>
      <c r="F8" s="295">
        <f ca="1">INDIRECT("'数据-取费表'!ai"&amp;$G$1)</f>
        <v>0</v>
      </c>
      <c r="G8" s="1288"/>
      <c r="H8" s="296"/>
      <c r="I8" s="3352"/>
      <c r="J8" s="298"/>
      <c r="K8" s="299"/>
      <c r="L8" s="294" t="s">
        <v>698</v>
      </c>
      <c r="M8" s="295">
        <f ca="1">INDIRECT("'数据-取费表'!ai"&amp;$G$1)</f>
        <v>0</v>
      </c>
    </row>
    <row r="9" spans="1:37" ht="18" customHeight="1">
      <c r="A9" s="296"/>
      <c r="B9" s="3353"/>
      <c r="C9" s="298"/>
      <c r="D9" s="299"/>
      <c r="E9" s="294" t="s">
        <v>699</v>
      </c>
      <c r="F9" s="304">
        <f ca="1">INDIRECT("'数据-取费表'!w"&amp;$G$1)</f>
        <v>0</v>
      </c>
      <c r="G9" s="1288"/>
      <c r="H9" s="296"/>
      <c r="I9" s="3353"/>
      <c r="J9" s="298"/>
      <c r="K9" s="299"/>
      <c r="L9" s="305" t="s">
        <v>699</v>
      </c>
      <c r="M9" s="306">
        <f ca="1">INDIRECT("'数据-取费表'!ab"&amp;$G$1)</f>
        <v>0</v>
      </c>
    </row>
    <row r="10" spans="1:37" ht="18" customHeight="1">
      <c r="A10" s="1002" t="s">
        <v>402</v>
      </c>
      <c r="B10" s="1270" t="s">
        <v>700</v>
      </c>
      <c r="C10" s="308">
        <f ca="1">ROUND(IF(F10="押一",C6/12*F11,IF(F10="押二",C6/12*2*F11,IF(F10="押三",C6/12*3*F11,C11*F11))),0)</f>
        <v>0</v>
      </c>
      <c r="D10" s="150" t="s">
        <v>2117</v>
      </c>
      <c r="E10" s="305" t="s">
        <v>701</v>
      </c>
      <c r="F10" s="1049"/>
      <c r="G10" s="1288"/>
      <c r="H10" s="1002" t="s">
        <v>402</v>
      </c>
      <c r="I10" s="1270" t="s">
        <v>700</v>
      </c>
      <c r="J10" s="293">
        <f ca="1">ROUND(IF(M10="押一",J6/12*M11,IF(M10="押二",J6/12*2*M11,IF(M10="押三",J6/12*3*M11,J11*M11))),0)</f>
        <v>0</v>
      </c>
      <c r="K10" s="150" t="s">
        <v>2116</v>
      </c>
      <c r="L10" s="305" t="s">
        <v>701</v>
      </c>
      <c r="M10" s="1049"/>
    </row>
    <row r="11" spans="1:37" ht="18" customHeight="1">
      <c r="A11" s="300"/>
      <c r="B11" s="1271" t="s">
        <v>679</v>
      </c>
      <c r="C11" s="901"/>
      <c r="D11" s="1272"/>
      <c r="E11" s="305" t="s">
        <v>702</v>
      </c>
      <c r="F11" s="306">
        <f ca="1">'数据-取费表'!B39</f>
        <v>1.4999999999999999E-2</v>
      </c>
      <c r="G11" s="1288"/>
      <c r="H11" s="1010"/>
      <c r="I11" s="1271" t="s">
        <v>679</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f ca="1">ROUND(C29*F13,0)</f>
        <v>0</v>
      </c>
      <c r="D13" s="1014" t="s">
        <v>705</v>
      </c>
      <c r="E13" s="1014" t="s">
        <v>706</v>
      </c>
      <c r="F13" s="1015">
        <f ca="1">INDIRECT("'数据-取费表'!y"&amp;$G$1)</f>
        <v>0</v>
      </c>
      <c r="G13" s="1288"/>
      <c r="H13" s="1012">
        <v>2</v>
      </c>
      <c r="I13" s="1013" t="s">
        <v>704</v>
      </c>
      <c r="J13" s="1001">
        <f ca="1">ROUND(J14*J15,0)</f>
        <v>0</v>
      </c>
      <c r="K13" s="1020" t="s">
        <v>705</v>
      </c>
      <c r="L13" s="1295"/>
      <c r="M13" s="1296"/>
    </row>
    <row r="14" spans="1:37" ht="18" customHeight="1">
      <c r="A14" s="924" t="s">
        <v>397</v>
      </c>
      <c r="B14" s="294" t="s">
        <v>707</v>
      </c>
      <c r="C14" s="310">
        <f ca="1">INDIRECT("'数据-取费表'!m"&amp;$G$1)+INDIRECT("'数据-取费表'!t"&amp;$G$1)</f>
        <v>0</v>
      </c>
      <c r="D14" s="1253" t="s">
        <v>708</v>
      </c>
      <c r="E14" s="1251"/>
      <c r="F14" s="311"/>
      <c r="G14" s="1288"/>
      <c r="H14" s="924" t="s">
        <v>398</v>
      </c>
      <c r="I14" s="294" t="s">
        <v>709</v>
      </c>
      <c r="J14" s="21">
        <f ca="1">C29</f>
        <v>0</v>
      </c>
      <c r="K14" s="12"/>
      <c r="L14" s="755"/>
      <c r="M14" s="756"/>
    </row>
    <row r="15" spans="1:37" s="1300" customFormat="1" ht="18" customHeight="1" thickBot="1">
      <c r="A15" s="924" t="s">
        <v>399</v>
      </c>
      <c r="B15" s="294" t="s">
        <v>710</v>
      </c>
      <c r="C15" s="21">
        <f ca="1">ROUND(C14*F15,0)</f>
        <v>0</v>
      </c>
      <c r="D15" s="312" t="s">
        <v>711</v>
      </c>
      <c r="E15" s="312" t="s">
        <v>712</v>
      </c>
      <c r="F15" s="313">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f ca="1">ROUND(INDIRECT("'数据-取费表'!m"&amp;$G$1)*F16,0)</f>
        <v>0</v>
      </c>
      <c r="D16" s="294" t="s">
        <v>711</v>
      </c>
      <c r="E16" s="294" t="s">
        <v>712</v>
      </c>
      <c r="F16" s="314">
        <f ca="1">IF(INDIRECT("'数据-取费表'!c"&amp;$G$1)="住宅",'数据-取费表'!B34,0)</f>
        <v>0</v>
      </c>
      <c r="G16" s="1288"/>
      <c r="H16" s="1012" t="s">
        <v>393</v>
      </c>
      <c r="I16" s="1013" t="s">
        <v>714</v>
      </c>
      <c r="J16" s="302">
        <f ca="1">ROUND(J17+J22+J23+J24,0)</f>
        <v>0</v>
      </c>
      <c r="K16" s="1020" t="s">
        <v>715</v>
      </c>
      <c r="L16" s="1021"/>
      <c r="M16" s="1005"/>
    </row>
    <row r="17" spans="1:37" s="1300" customFormat="1" ht="18" customHeight="1">
      <c r="A17" s="924" t="s">
        <v>681</v>
      </c>
      <c r="B17" s="294" t="s">
        <v>716</v>
      </c>
      <c r="C17" s="21">
        <f ca="1">ROUND(F17*(F43+INDIRECT("'数据-取费表'!S"&amp;$G$1))/10000,0)</f>
        <v>0</v>
      </c>
      <c r="D17" s="294" t="s">
        <v>717</v>
      </c>
      <c r="E17" s="294" t="s">
        <v>718</v>
      </c>
      <c r="F17" s="23">
        <f>'数据-取费表'!B35</f>
        <v>120</v>
      </c>
      <c r="G17" s="1299"/>
      <c r="H17" s="924" t="s">
        <v>398</v>
      </c>
      <c r="I17" s="294" t="s">
        <v>719</v>
      </c>
      <c r="J17" s="2134">
        <f ca="1">ROUND(IF(AND(项目基本情况!B11="自然人",项目基本情况!B10="北京市"),J6*M17/(1+'数据-取费表'!C42),J18+J19+J20),2)</f>
        <v>0</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f ca="1">ROUND(C14*F18,0)</f>
        <v>0</v>
      </c>
      <c r="D18" s="294" t="s">
        <v>711</v>
      </c>
      <c r="E18" s="294" t="s">
        <v>712</v>
      </c>
      <c r="F18" s="314">
        <f>'数据-取费表'!B36</f>
        <v>1.4999999999999999E-2</v>
      </c>
      <c r="G18" s="1299"/>
      <c r="H18" s="924"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f ca="1">SUM(C14:C18)</f>
        <v>0</v>
      </c>
      <c r="D19" s="123" t="s">
        <v>726</v>
      </c>
      <c r="E19" s="1265"/>
      <c r="F19" s="23"/>
      <c r="G19" s="1288"/>
      <c r="H19" s="924" t="s">
        <v>399</v>
      </c>
      <c r="I19" s="294" t="s">
        <v>727</v>
      </c>
      <c r="J19" s="21">
        <f ca="1">IF(K19="按租金收入计税",ROUND(J6*M19/(1+'数据-取费表'!C42),2),ROUND(C29*M19*0.7,2))</f>
        <v>0</v>
      </c>
      <c r="K19" s="1274" t="s">
        <v>3331</v>
      </c>
      <c r="L19" s="294" t="s">
        <v>712</v>
      </c>
      <c r="M19" s="314">
        <f>IF(K19="按租金收入计税",'数据-取费表'!B51,'数据-取费表'!B50)</f>
        <v>0.12</v>
      </c>
    </row>
    <row r="20" spans="1:37" s="1300" customFormat="1" ht="18" customHeight="1">
      <c r="A20" s="924" t="s">
        <v>402</v>
      </c>
      <c r="B20" s="294" t="s">
        <v>728</v>
      </c>
      <c r="C20" s="21">
        <f ca="1">ROUND(C19*F20,0)</f>
        <v>0</v>
      </c>
      <c r="D20" s="315" t="s">
        <v>729</v>
      </c>
      <c r="E20" s="294" t="s">
        <v>712</v>
      </c>
      <c r="F20" s="314">
        <f>'数据-取费表'!B37</f>
        <v>0.02</v>
      </c>
      <c r="G20" s="1299"/>
      <c r="H20" s="924" t="s">
        <v>680</v>
      </c>
      <c r="I20" s="147" t="s">
        <v>730</v>
      </c>
      <c r="J20" s="22">
        <f ca="1">ROUND(M20*M21/10000,2)</f>
        <v>0</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15</v>
      </c>
      <c r="D21" s="315" t="s">
        <v>734</v>
      </c>
      <c r="E21" s="294" t="s">
        <v>735</v>
      </c>
      <c r="F21" s="314">
        <f>'数据-取费表'!B38</f>
        <v>0.02</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f ca="1">ROUND(J14*M22,2)</f>
        <v>0</v>
      </c>
      <c r="K22" s="1252" t="s">
        <v>739</v>
      </c>
      <c r="L22" s="294" t="s">
        <v>712</v>
      </c>
      <c r="M22" s="320">
        <f ca="1">INDIRECT("'数据-取费表'!Ak"&amp;$G$1)</f>
        <v>0</v>
      </c>
    </row>
    <row r="23" spans="1:37" s="1300" customFormat="1" ht="18" customHeight="1">
      <c r="A23" s="924"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f ca="1">ROUND(J13*M23,2)</f>
        <v>0</v>
      </c>
      <c r="K23" s="1252" t="s">
        <v>743</v>
      </c>
      <c r="L23" s="294" t="s">
        <v>744</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684</v>
      </c>
      <c r="I24" s="1023" t="s">
        <v>728</v>
      </c>
      <c r="J24" s="1024">
        <f ca="1">ROUND(J5*M24,2)</f>
        <v>0</v>
      </c>
      <c r="K24" s="1025" t="s">
        <v>748</v>
      </c>
      <c r="L24" s="1023" t="s">
        <v>744</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749</v>
      </c>
      <c r="B25" s="294" t="s">
        <v>750</v>
      </c>
      <c r="C25" s="21"/>
      <c r="D25" s="123" t="s">
        <v>751</v>
      </c>
      <c r="E25" s="1265"/>
      <c r="F25" s="23"/>
      <c r="G25" s="1288"/>
      <c r="H25" s="1012" t="s">
        <v>394</v>
      </c>
      <c r="I25" s="1027" t="s">
        <v>752</v>
      </c>
      <c r="J25" s="302">
        <f ca="1">J5-J16</f>
        <v>0</v>
      </c>
      <c r="K25" s="1028" t="s">
        <v>753</v>
      </c>
      <c r="L25" s="1029"/>
      <c r="M25" s="1030"/>
    </row>
    <row r="26" spans="1:37">
      <c r="A26" s="924" t="s">
        <v>397</v>
      </c>
      <c r="B26" s="294" t="s">
        <v>754</v>
      </c>
      <c r="C26" s="21">
        <f ca="1">ROUND((C19+C20)*F26,0)</f>
        <v>0</v>
      </c>
      <c r="D26" s="315" t="s">
        <v>755</v>
      </c>
      <c r="E26" s="305" t="s">
        <v>756</v>
      </c>
      <c r="F26" s="304">
        <f ca="1">INDIRECT("'数据-取费表'!q"&amp;$G$1)</f>
        <v>0</v>
      </c>
      <c r="G26" s="1288"/>
      <c r="H26" s="291" t="s">
        <v>395</v>
      </c>
      <c r="I26" s="292" t="s">
        <v>757</v>
      </c>
      <c r="J26" s="293">
        <f ca="1">IF(J5&lt;&gt;0,ROUND(J25*(1-((1+M28)/(1+M26))^M27)/(M26-M28),0),0)</f>
        <v>0</v>
      </c>
      <c r="K26" s="316" t="s">
        <v>758</v>
      </c>
      <c r="L26" s="294" t="s">
        <v>759</v>
      </c>
      <c r="M26" s="304">
        <f ca="1">INDIRECT("'数据-取费表'!I"&amp;$G$1)</f>
        <v>0</v>
      </c>
    </row>
    <row r="27" spans="1:37" ht="18" customHeight="1">
      <c r="A27" s="924" t="s">
        <v>399</v>
      </c>
      <c r="B27" s="294" t="s">
        <v>760</v>
      </c>
      <c r="C27" s="21">
        <f ca="1">ROUND(F21*F26,4)</f>
        <v>0</v>
      </c>
      <c r="D27" s="315" t="s">
        <v>761</v>
      </c>
      <c r="E27" s="312"/>
      <c r="F27" s="313"/>
      <c r="G27" s="1288"/>
      <c r="H27" s="296"/>
      <c r="I27" s="297"/>
      <c r="J27" s="298"/>
      <c r="K27" s="323" t="s">
        <v>762</v>
      </c>
      <c r="L27" s="294" t="s">
        <v>763</v>
      </c>
      <c r="M27" s="324">
        <f ca="1">INDIRECT("'数据-取费表'!ag"&amp;$G$1)</f>
        <v>0</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0</v>
      </c>
      <c r="D29" s="1025"/>
      <c r="E29" s="1023"/>
      <c r="F29" s="1026"/>
      <c r="G29" s="1299"/>
      <c r="H29" s="325" t="s">
        <v>396</v>
      </c>
      <c r="I29" s="326" t="s">
        <v>768</v>
      </c>
      <c r="J29" s="327">
        <f ca="1">ROUND(J26/(1+F40)^F41,0)</f>
        <v>0</v>
      </c>
      <c r="K29" s="328" t="s">
        <v>769</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f ca="1">ROUND(C31+C36+C37+C38,0)</f>
        <v>0</v>
      </c>
      <c r="D30" s="1020" t="s">
        <v>715</v>
      </c>
      <c r="E30" s="1021"/>
      <c r="F30" s="1005"/>
      <c r="G30" s="1288"/>
      <c r="H30" s="2463"/>
      <c r="I30" s="1301"/>
      <c r="J30" s="1302"/>
      <c r="K30" s="121"/>
      <c r="L30" s="2464"/>
      <c r="M30" s="2465"/>
    </row>
    <row r="31" spans="1:37" ht="18" customHeight="1">
      <c r="A31" s="924" t="s">
        <v>398</v>
      </c>
      <c r="B31" s="294" t="s">
        <v>719</v>
      </c>
      <c r="C31" s="2134">
        <f ca="1">ROUND(IF(AND(项目基本情况!B11="自然人",项目基本情况!B10="北京市"),C6*F31/(1+'数据-取费表'!C42),C32+C33+C34),2)</f>
        <v>0</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f ca="1">IF(项目基本情况!B11="自然人","——",ROUND(C6*F32/(1+'数据-取费表'!C42),2))</f>
        <v>0</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f ca="1">IF(项目基本情况!B11="自然人","——",IF(D33="按租金收入计税",ROUND(C6*F33/(1+'数据-取费表'!C42),2),IF(D33="按房产原值计税",ROUND(C29*F33*0.7,2),INDIRECT("'数据-取费表'!Aj"&amp;$G$1))))</f>
        <v>0</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f ca="1">IF(项目基本情况!B11="自然人","——",ROUND(F34*F35/10000,2))</f>
        <v>0</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f ca="1">INDIRECT("'数据-取费表'!r"&amp;$G$1)</f>
        <v>0</v>
      </c>
      <c r="G35" s="1288"/>
      <c r="H35" s="2463"/>
      <c r="I35" s="1301"/>
      <c r="J35" s="1302"/>
      <c r="K35" s="2467"/>
      <c r="L35" s="2466"/>
      <c r="M35" s="2466"/>
    </row>
    <row r="36" spans="1:18" ht="18" customHeight="1">
      <c r="A36" s="1035" t="s">
        <v>402</v>
      </c>
      <c r="B36" s="294" t="s">
        <v>738</v>
      </c>
      <c r="C36" s="21">
        <f ca="1">ROUND(C29*F36,2)</f>
        <v>0</v>
      </c>
      <c r="D36" s="1252" t="s">
        <v>771</v>
      </c>
      <c r="E36" s="294" t="s">
        <v>712</v>
      </c>
      <c r="F36" s="320">
        <f ca="1">INDIRECT("'数据-取费表'!Ak"&amp;$G$1)</f>
        <v>0</v>
      </c>
      <c r="G36" s="1288"/>
      <c r="H36" s="2466"/>
      <c r="I36" s="1301"/>
      <c r="J36" s="1302"/>
      <c r="K36" s="2323"/>
      <c r="L36" s="2466"/>
      <c r="M36" s="2466"/>
    </row>
    <row r="37" spans="1:18" ht="18" customHeight="1">
      <c r="A37" s="924" t="s">
        <v>437</v>
      </c>
      <c r="B37" s="294" t="s">
        <v>742</v>
      </c>
      <c r="C37" s="21">
        <f ca="1">ROUND(C13*F37,2)</f>
        <v>0</v>
      </c>
      <c r="D37" s="1252" t="s">
        <v>743</v>
      </c>
      <c r="E37" s="294" t="s">
        <v>744</v>
      </c>
      <c r="F37" s="321">
        <f ca="1">INDIRECT("'数据-取费表'!Al"&amp;$G$1)</f>
        <v>0</v>
      </c>
      <c r="G37" s="1288"/>
      <c r="H37" s="2466"/>
      <c r="I37" s="1301"/>
      <c r="J37" s="1302"/>
      <c r="K37" s="2323"/>
      <c r="L37" s="2466"/>
      <c r="M37" s="2466"/>
    </row>
    <row r="38" spans="1:18" ht="18" customHeight="1" thickBot="1">
      <c r="A38" s="1022" t="s">
        <v>684</v>
      </c>
      <c r="B38" s="1023" t="s">
        <v>728</v>
      </c>
      <c r="C38" s="1024">
        <f ca="1">ROUND(C5*F38,2)</f>
        <v>0</v>
      </c>
      <c r="D38" s="1025" t="s">
        <v>748</v>
      </c>
      <c r="E38" s="1023" t="s">
        <v>744</v>
      </c>
      <c r="F38" s="1019">
        <f ca="1">INDIRECT("'数据-取费表'!Am"&amp;$G$1)</f>
        <v>0</v>
      </c>
      <c r="G38" s="1288"/>
      <c r="H38" s="2466"/>
      <c r="I38" s="1301"/>
      <c r="J38" s="1302"/>
      <c r="K38" s="2464"/>
      <c r="L38" s="2466"/>
      <c r="M38" s="2466"/>
    </row>
    <row r="39" spans="1:18" ht="24.6" customHeight="1" thickTop="1">
      <c r="A39" s="1012" t="s">
        <v>394</v>
      </c>
      <c r="B39" s="1027" t="s">
        <v>772</v>
      </c>
      <c r="C39" s="302">
        <f ca="1">C5-C30</f>
        <v>0</v>
      </c>
      <c r="D39" s="1028" t="s">
        <v>773</v>
      </c>
      <c r="E39" s="1029"/>
      <c r="F39" s="1030"/>
      <c r="G39" s="1288"/>
      <c r="H39" s="2466"/>
      <c r="I39" s="1301"/>
      <c r="J39" s="1302"/>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8"/>
      <c r="H40" s="1362"/>
      <c r="I40" s="1301"/>
      <c r="J40" s="1302"/>
      <c r="K40" s="2464"/>
      <c r="L40" s="1362"/>
      <c r="M40" s="1362"/>
    </row>
    <row r="41" spans="1:18" ht="18" customHeight="1">
      <c r="A41" s="296"/>
      <c r="B41" s="297"/>
      <c r="C41" s="298"/>
      <c r="D41" s="323" t="s">
        <v>775</v>
      </c>
      <c r="E41" s="294" t="s">
        <v>763</v>
      </c>
      <c r="F41" s="324">
        <f ca="1">IF(INDIRECT("'数据-取费表'!af"&amp;$G$1)=0,INDIRECT("'数据-取费表'!ae"&amp;$G$1),INDIRECT("'数据-取费表'!af"&amp;$G$1))</f>
        <v>0</v>
      </c>
      <c r="G41" s="1288"/>
      <c r="H41" s="121"/>
      <c r="I41" s="1301"/>
      <c r="J41" s="1302"/>
      <c r="K41" s="2323"/>
      <c r="L41" s="121"/>
      <c r="M41" s="121"/>
    </row>
    <row r="42" spans="1:18" ht="18" customHeight="1">
      <c r="A42" s="300"/>
      <c r="B42" s="301"/>
      <c r="C42" s="302"/>
      <c r="D42" s="319"/>
      <c r="E42" s="294" t="s">
        <v>766</v>
      </c>
      <c r="F42" s="304">
        <f ca="1">INDIRECT("'数据-取费表'!v"&amp;$G$1)</f>
        <v>0</v>
      </c>
      <c r="G42" s="1288"/>
      <c r="H42" s="121"/>
      <c r="I42" s="1301"/>
      <c r="J42" s="1302"/>
      <c r="K42" s="2323"/>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70" t="s">
        <v>808</v>
      </c>
      <c r="P45" s="1362"/>
      <c r="Q45" s="1362"/>
      <c r="R45" s="1362"/>
    </row>
    <row r="46" spans="1:18" s="1288" customFormat="1" ht="13.5" thickBot="1">
      <c r="A46" s="1307" t="s">
        <v>809</v>
      </c>
      <c r="C46" s="1308" t="e">
        <f ca="1">C68-C40</f>
        <v>#DIV/0!</v>
      </c>
      <c r="D46" s="1309" t="str">
        <f>C2</f>
        <v>万元</v>
      </c>
      <c r="E46" s="1303"/>
      <c r="F46" s="1303"/>
      <c r="I46" s="1310" t="s">
        <v>810</v>
      </c>
      <c r="J46" s="1311"/>
      <c r="K46" s="1312"/>
      <c r="L46" s="1313" t="e">
        <f ca="1">IF(M47="住宅",0,IF(L48&gt;J51,L60,J60))</f>
        <v>#DIV/0!</v>
      </c>
      <c r="O46" s="1314" t="s">
        <v>811</v>
      </c>
      <c r="P46" s="1315" t="s">
        <v>812</v>
      </c>
      <c r="Q46" s="1316" t="s">
        <v>813</v>
      </c>
      <c r="R46" s="1316" t="s">
        <v>814</v>
      </c>
    </row>
    <row r="47" spans="1:18" s="1288" customFormat="1" ht="13.5" thickBot="1">
      <c r="A47" s="888" t="s">
        <v>687</v>
      </c>
      <c r="B47" s="920" t="s">
        <v>688</v>
      </c>
      <c r="C47" s="1050" t="s">
        <v>689</v>
      </c>
      <c r="D47" s="920" t="s">
        <v>690</v>
      </c>
      <c r="E47" s="991" t="s">
        <v>691</v>
      </c>
      <c r="F47" s="992"/>
      <c r="G47" s="681"/>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3" t="s">
        <v>438</v>
      </c>
      <c r="B48" s="292" t="s">
        <v>692</v>
      </c>
      <c r="C48" s="1264">
        <f ca="1">C49+C53+C55</f>
        <v>0</v>
      </c>
      <c r="D48" s="1045"/>
      <c r="E48" s="1046"/>
      <c r="F48" s="904"/>
      <c r="G48" s="681"/>
      <c r="H48" s="682"/>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7" t="s">
        <v>439</v>
      </c>
      <c r="B49" s="1275" t="s">
        <v>779</v>
      </c>
      <c r="C49" s="1047">
        <f ca="1">ROUND(F49*F51*F50*(1-F52)/10000,0)</f>
        <v>0</v>
      </c>
      <c r="D49" s="988" t="s">
        <v>2110</v>
      </c>
      <c r="E49" s="1276" t="s">
        <v>780</v>
      </c>
      <c r="F49" s="993"/>
      <c r="H49" s="682"/>
      <c r="I49" s="1324" t="s">
        <v>823</v>
      </c>
      <c r="J49" s="1328"/>
      <c r="K49" s="1326" t="s">
        <v>824</v>
      </c>
      <c r="L49" s="1329"/>
      <c r="O49" s="1330" t="s">
        <v>405</v>
      </c>
      <c r="P49" s="1322" t="s">
        <v>825</v>
      </c>
      <c r="Q49" s="1323">
        <f ca="1">C29</f>
        <v>0</v>
      </c>
      <c r="R49" s="1323" t="s">
        <v>818</v>
      </c>
    </row>
    <row r="50" spans="1:18" s="1288" customFormat="1" ht="13.5" thickBot="1">
      <c r="A50" s="918"/>
      <c r="B50" s="921"/>
      <c r="C50" s="1051"/>
      <c r="D50" s="895"/>
      <c r="E50" s="989" t="s">
        <v>697</v>
      </c>
      <c r="F50" s="990">
        <f ca="1">F7</f>
        <v>0</v>
      </c>
      <c r="H50" s="682"/>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19"/>
      <c r="B51" s="921"/>
      <c r="C51" s="922"/>
      <c r="D51" s="895"/>
      <c r="E51" s="923" t="s">
        <v>698</v>
      </c>
      <c r="F51" s="295">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c r="K52" s="1338" t="s">
        <v>833</v>
      </c>
      <c r="L52" s="1339"/>
      <c r="O52" s="1330" t="s">
        <v>408</v>
      </c>
      <c r="P52" s="1322" t="s">
        <v>834</v>
      </c>
      <c r="Q52" s="1323">
        <f ca="1">J53</f>
        <v>0</v>
      </c>
      <c r="R52" s="1323" t="s">
        <v>835</v>
      </c>
    </row>
    <row r="53" spans="1:18" s="1288" customFormat="1" ht="24.75" thickBot="1">
      <c r="A53" s="1075" t="s">
        <v>440</v>
      </c>
      <c r="B53" s="1277" t="s">
        <v>700</v>
      </c>
      <c r="C53" s="308">
        <f ca="1">ROUND(IF(F53="押一",C49/12*F11,IF(F53="押二",C49/12*2*F11,IF(F53="押三",C49/12*3*F11,C54*F11))),0)</f>
        <v>0</v>
      </c>
      <c r="D53" s="150" t="s">
        <v>2116</v>
      </c>
      <c r="E53" s="305" t="s">
        <v>701</v>
      </c>
      <c r="F53" s="1049"/>
      <c r="I53" s="1340" t="s">
        <v>836</v>
      </c>
      <c r="J53" s="2000">
        <f ca="1">IF(M47="住宅",IF(D1="——",MAX(J51,L48),MAX(J51,L48-'数据-取费表'!B24)),IF(D1="——",MIN(J51,L48),MIN(J51,L48-'数据-取费表'!B24)))</f>
        <v>0</v>
      </c>
      <c r="K53" s="3354" t="s">
        <v>837</v>
      </c>
      <c r="L53" s="3355"/>
      <c r="O53" s="1321" t="s">
        <v>409</v>
      </c>
      <c r="P53" s="1322" t="s">
        <v>838</v>
      </c>
      <c r="Q53" s="1323" t="e">
        <f ca="1">Q47+Q48</f>
        <v>#DIV/0!</v>
      </c>
      <c r="R53" s="1323" t="s">
        <v>410</v>
      </c>
    </row>
    <row r="54" spans="1:18" s="1288" customFormat="1" ht="13.5" thickBot="1">
      <c r="A54" s="1076"/>
      <c r="B54" s="1271" t="s">
        <v>679</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25.5" thickTop="1" thickBot="1">
      <c r="A56" s="899">
        <v>2</v>
      </c>
      <c r="B56" s="900" t="s">
        <v>704</v>
      </c>
      <c r="C56" s="224">
        <f ca="1">C13</f>
        <v>0</v>
      </c>
      <c r="D56" s="1348"/>
      <c r="E56" s="1349"/>
      <c r="F56" s="1341"/>
      <c r="I56" s="1350" t="s">
        <v>842</v>
      </c>
      <c r="J56" s="1351"/>
      <c r="K56" s="1324" t="s">
        <v>843</v>
      </c>
      <c r="L56" s="1327">
        <f ca="1">IF(L48&lt;J51,"——",L48-J53)</f>
        <v>0</v>
      </c>
      <c r="O56" s="1321" t="s">
        <v>403</v>
      </c>
      <c r="P56" s="1322" t="s">
        <v>817</v>
      </c>
      <c r="Q56" s="1323" t="e">
        <f ca="1">C40+J29</f>
        <v>#DIV/0!</v>
      </c>
      <c r="R56" s="1323" t="s">
        <v>818</v>
      </c>
    </row>
    <row r="57" spans="1:18" s="1288" customFormat="1" ht="24.75" thickBot="1">
      <c r="A57" s="1352"/>
      <c r="B57" s="892" t="s">
        <v>767</v>
      </c>
      <c r="C57" s="230">
        <f ca="1">C29</f>
        <v>0</v>
      </c>
      <c r="D57" s="1353"/>
      <c r="E57" s="1354"/>
      <c r="F57" s="1355"/>
      <c r="I57" s="1356" t="s">
        <v>844</v>
      </c>
      <c r="J57" s="1357">
        <f ca="1">IF(OR(M47="住宅",J51&lt;L48,J56="是"),"——",J51-L48)</f>
        <v>0</v>
      </c>
      <c r="K57" s="1324" t="s">
        <v>845</v>
      </c>
      <c r="L57" s="1327">
        <f ca="1">IF(L48&lt;J51,"——",IF(L55="比较法",L49,IF(L55="基准地价",L50,L51)))</f>
        <v>0</v>
      </c>
      <c r="O57" s="1321" t="s">
        <v>404</v>
      </c>
      <c r="P57" s="1322" t="s">
        <v>846</v>
      </c>
      <c r="Q57" s="1323" t="e">
        <f ca="1">L60</f>
        <v>#DIV/0!</v>
      </c>
      <c r="R57" s="1323" t="s">
        <v>847</v>
      </c>
    </row>
    <row r="58" spans="1:18" s="1288" customFormat="1" ht="24.75" thickBot="1">
      <c r="A58" s="307" t="s">
        <v>393</v>
      </c>
      <c r="B58" s="900" t="s">
        <v>714</v>
      </c>
      <c r="C58" s="308">
        <f ca="1">ROUND(C59+C64+C65+C66,0)</f>
        <v>0</v>
      </c>
      <c r="D58" s="902" t="s">
        <v>715</v>
      </c>
      <c r="E58" s="903"/>
      <c r="F58" s="904"/>
      <c r="I58" s="1356" t="s">
        <v>848</v>
      </c>
      <c r="J58" s="1358" t="e">
        <f ca="1">IF(J55&lt;0.4,0.4,J55)</f>
        <v>#DIV/0!</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4">
        <f ca="1">ROUND(IF(AND(项目基本情况!B11="自然人",项目基本情况!B10="北京市"),C49*F59/(1+'数据-取费表'!C42),C60+C61+C62),0)</f>
        <v>0</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IF(项目基本情况!B11="自然人","——",ROUND(C48*F60/(1+'数据-取费表'!C42),2))</f>
        <v>0</v>
      </c>
      <c r="D60" s="906" t="s">
        <v>724</v>
      </c>
      <c r="E60" s="892" t="s">
        <v>712</v>
      </c>
      <c r="F60" s="322">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4" t="s">
        <v>781</v>
      </c>
      <c r="B61" s="892" t="s">
        <v>782</v>
      </c>
      <c r="C61" s="21">
        <f ca="1">IF(项目基本情况!B11="自然人","——",IF(D61="按租金收入计税",ROUND(C49*F61/(1+'数据-取费表'!C42),2),IF(D61="按房产原值计税",ROUND(C57*F61*0.7,2),INDIRECT("'数据-取费表'!Aj"&amp;$G$1))))</f>
        <v>0</v>
      </c>
      <c r="D61" s="1274" t="s">
        <v>3331</v>
      </c>
      <c r="E61" s="892"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785</v>
      </c>
      <c r="C62" s="22">
        <f ca="1">IF(项目基本情况!B11="自然人","——",ROUND(F62*F63/10000,2))</f>
        <v>0</v>
      </c>
      <c r="D62" s="907" t="s">
        <v>786</v>
      </c>
      <c r="E62" s="892" t="s">
        <v>787</v>
      </c>
      <c r="F62" s="317">
        <f t="shared" si="0"/>
        <v>0</v>
      </c>
      <c r="I62" s="1363" t="s">
        <v>858</v>
      </c>
      <c r="J62" s="610" t="s">
        <v>859</v>
      </c>
      <c r="K62" s="610" t="s">
        <v>860</v>
      </c>
      <c r="L62" s="610" t="s">
        <v>861</v>
      </c>
      <c r="M62" s="1364" t="s">
        <v>862</v>
      </c>
      <c r="O62" s="1321" t="s">
        <v>409</v>
      </c>
      <c r="P62" s="1322" t="s">
        <v>863</v>
      </c>
      <c r="Q62" s="1323" t="e">
        <f ca="1">Q56+Q57</f>
        <v>#DIV/0!</v>
      </c>
      <c r="R62" s="1323" t="s">
        <v>410</v>
      </c>
    </row>
    <row r="63" spans="1:18" s="1288" customFormat="1" ht="13.5" thickBot="1">
      <c r="A63" s="318"/>
      <c r="B63" s="898"/>
      <c r="C63" s="26"/>
      <c r="D63" s="908"/>
      <c r="E63" s="892" t="s">
        <v>788</v>
      </c>
      <c r="F63" s="295">
        <f t="shared" ca="1" si="0"/>
        <v>0</v>
      </c>
      <c r="I63" s="1363" t="s">
        <v>864</v>
      </c>
      <c r="J63" s="610">
        <v>70</v>
      </c>
      <c r="K63" s="610">
        <v>50</v>
      </c>
      <c r="L63" s="610">
        <v>80</v>
      </c>
      <c r="M63" s="1365">
        <v>0.02</v>
      </c>
      <c r="O63" s="1306" t="s">
        <v>865</v>
      </c>
      <c r="P63" s="1285"/>
      <c r="Q63" s="1285"/>
      <c r="R63" s="1285"/>
    </row>
    <row r="64" spans="1:18" s="1288" customFormat="1" ht="13.5" thickBot="1">
      <c r="A64" s="924" t="s">
        <v>789</v>
      </c>
      <c r="B64" s="892" t="s">
        <v>790</v>
      </c>
      <c r="C64" s="21">
        <f ca="1">ROUND(C57*F64,2)</f>
        <v>0</v>
      </c>
      <c r="D64" s="906" t="s">
        <v>791</v>
      </c>
      <c r="E64" s="892" t="s">
        <v>783</v>
      </c>
      <c r="F64" s="320">
        <f t="shared" ca="1" si="0"/>
        <v>0</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f ca="1">ROUND(C56*F65,2)</f>
        <v>0</v>
      </c>
      <c r="D65" s="906" t="s">
        <v>743</v>
      </c>
      <c r="E65" s="892" t="s">
        <v>744</v>
      </c>
      <c r="F65" s="321">
        <f t="shared" ca="1" si="0"/>
        <v>0</v>
      </c>
      <c r="I65" s="1363" t="s">
        <v>867</v>
      </c>
      <c r="J65" s="610">
        <v>40</v>
      </c>
      <c r="K65" s="610">
        <v>30</v>
      </c>
      <c r="L65" s="610">
        <v>50</v>
      </c>
      <c r="M65" s="1365">
        <v>0.02</v>
      </c>
      <c r="O65" s="1321" t="s">
        <v>403</v>
      </c>
      <c r="P65" s="1322" t="s">
        <v>868</v>
      </c>
      <c r="Q65" s="1323" t="e">
        <f ca="1">C40+J29</f>
        <v>#DIV/0!</v>
      </c>
      <c r="R65" s="1323" t="s">
        <v>818</v>
      </c>
    </row>
    <row r="66" spans="1:18" s="1288" customFormat="1" ht="16.5" thickBot="1">
      <c r="A66" s="924" t="s">
        <v>793</v>
      </c>
      <c r="B66" s="892" t="s">
        <v>728</v>
      </c>
      <c r="C66" s="21">
        <f ca="1">ROUND(C48*F66,2)</f>
        <v>0</v>
      </c>
      <c r="D66" s="906" t="s">
        <v>794</v>
      </c>
      <c r="E66" s="892" t="s">
        <v>712</v>
      </c>
      <c r="F66" s="304">
        <f t="shared" ca="1" si="0"/>
        <v>0</v>
      </c>
      <c r="O66" s="1321" t="s">
        <v>404</v>
      </c>
      <c r="P66" s="1322" t="s">
        <v>846</v>
      </c>
      <c r="Q66" s="1323" t="e">
        <f ca="1">L60</f>
        <v>#DIV/0!</v>
      </c>
      <c r="R66" s="1323" t="s">
        <v>869</v>
      </c>
    </row>
    <row r="67" spans="1:18" s="1288" customFormat="1" ht="16.5" thickBot="1">
      <c r="A67" s="899" t="s">
        <v>394</v>
      </c>
      <c r="B67" s="909" t="s">
        <v>752</v>
      </c>
      <c r="C67" s="308">
        <f ca="1">C48-C58</f>
        <v>0</v>
      </c>
      <c r="D67" s="905" t="s">
        <v>753</v>
      </c>
      <c r="E67" s="910"/>
      <c r="F67" s="911"/>
      <c r="O67" s="1330" t="s">
        <v>405</v>
      </c>
      <c r="P67" s="1322" t="s">
        <v>850</v>
      </c>
      <c r="Q67" s="1366">
        <f ca="1">L51</f>
        <v>0</v>
      </c>
      <c r="R67" s="1323" t="s">
        <v>870</v>
      </c>
    </row>
    <row r="68" spans="1:18" s="1288" customFormat="1" ht="16.5" thickBot="1">
      <c r="A68" s="889" t="s">
        <v>395</v>
      </c>
      <c r="B68" s="890" t="s">
        <v>774</v>
      </c>
      <c r="C68" s="293" t="e">
        <f ca="1">ROUND(C67*(1-((1+F70)/(1+F68))^F69)/(F68-F70),0)</f>
        <v>#DIV/0!</v>
      </c>
      <c r="D68" s="907" t="s">
        <v>758</v>
      </c>
      <c r="E68" s="892" t="s">
        <v>759</v>
      </c>
      <c r="F68" s="304">
        <f ca="1">F40</f>
        <v>0</v>
      </c>
      <c r="O68" s="1330" t="s">
        <v>406</v>
      </c>
      <c r="P68" s="1367" t="s">
        <v>871</v>
      </c>
      <c r="Q68" s="1323">
        <f ca="1">ROUND(Q69-Q70*Q71,0)</f>
        <v>0</v>
      </c>
      <c r="R68" s="1323" t="s">
        <v>414</v>
      </c>
    </row>
    <row r="69" spans="1:18" s="1288" customFormat="1" ht="13.5" thickBot="1">
      <c r="A69" s="893"/>
      <c r="B69" s="894"/>
      <c r="C69" s="298"/>
      <c r="D69" s="912" t="s">
        <v>762</v>
      </c>
      <c r="E69" s="892" t="s">
        <v>763</v>
      </c>
      <c r="F69" s="324">
        <f ca="1">F41</f>
        <v>0</v>
      </c>
      <c r="O69" s="1330" t="s">
        <v>411</v>
      </c>
      <c r="P69" s="1367" t="s">
        <v>872</v>
      </c>
      <c r="Q69" s="1323">
        <f ca="1">C39</f>
        <v>0</v>
      </c>
      <c r="R69" s="1323" t="s">
        <v>818</v>
      </c>
    </row>
    <row r="70" spans="1:18" s="1288" customFormat="1" ht="13.5" thickBot="1">
      <c r="A70" s="896"/>
      <c r="B70" s="897"/>
      <c r="C70" s="302"/>
      <c r="D70" s="908"/>
      <c r="E70" s="892" t="s">
        <v>766</v>
      </c>
      <c r="F70" s="987"/>
      <c r="O70" s="1330" t="s">
        <v>412</v>
      </c>
      <c r="P70" s="1367" t="s">
        <v>873</v>
      </c>
      <c r="Q70" s="1323">
        <f ca="1">C13</f>
        <v>0</v>
      </c>
      <c r="R70" s="1323" t="s">
        <v>818</v>
      </c>
    </row>
    <row r="71" spans="1:18" s="1288" customFormat="1" ht="13.5" thickBot="1">
      <c r="A71" s="913" t="s">
        <v>396</v>
      </c>
      <c r="B71" s="914" t="s">
        <v>776</v>
      </c>
      <c r="C71" s="327" t="e">
        <f ca="1">ROUND(C68*10000/F71,0)</f>
        <v>#DIV/0!</v>
      </c>
      <c r="D71" s="915" t="s">
        <v>777</v>
      </c>
      <c r="E71" s="916" t="s">
        <v>778</v>
      </c>
      <c r="F71" s="330">
        <f ca="1">F43</f>
        <v>0</v>
      </c>
      <c r="O71" s="1330" t="s">
        <v>413</v>
      </c>
      <c r="P71" s="1367" t="s">
        <v>874</v>
      </c>
      <c r="Q71" s="1333">
        <f ca="1">C76</f>
        <v>0</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0</v>
      </c>
      <c r="D75" s="1288"/>
      <c r="E75" s="1288"/>
      <c r="F75" s="1288"/>
      <c r="K75" s="1305"/>
      <c r="L75" s="1288"/>
      <c r="O75" s="1321" t="s">
        <v>409</v>
      </c>
      <c r="P75" s="1322" t="s">
        <v>838</v>
      </c>
      <c r="Q75" s="1323" t="e">
        <f ca="1">Q65+Q66</f>
        <v>#DIV/0!</v>
      </c>
      <c r="R75" s="1323" t="s">
        <v>410</v>
      </c>
    </row>
    <row r="76" spans="1:18">
      <c r="B76" s="333" t="s">
        <v>796</v>
      </c>
      <c r="C76" s="334">
        <f ca="1">INDIRECT("'数据-取费表'!j"&amp;$G$1)</f>
        <v>0</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7" priority="3">
      <formula>$F$10="自定义"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J11">
    <cfRule type="expression" dxfId="144" priority="2">
      <formula>$M$10="自定义"</formula>
    </cfRule>
  </conditionalFormatting>
  <conditionalFormatting sqref="K55 K60">
    <cfRule type="expression" dxfId="14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27ECE-7873-4C37-A001-95E3824E3BC5}">
  <sheetPr>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3328</v>
      </c>
      <c r="D1" s="1267" t="s">
        <v>43</v>
      </c>
      <c r="E1" s="1268" t="s">
        <v>678</v>
      </c>
      <c r="F1" s="995" t="e">
        <f ca="1">J53</f>
        <v>#N/A</v>
      </c>
      <c r="G1" s="1282"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t="e">
        <f ca="1">ROUND(D2/10000,4)</f>
        <v>#N/A</v>
      </c>
      <c r="C2" s="1285" t="s">
        <v>805</v>
      </c>
      <c r="D2" s="1371" t="e">
        <f ca="1">C40+J29+L46</f>
        <v>#N/A</v>
      </c>
      <c r="E2" s="1291" t="s">
        <v>880</v>
      </c>
      <c r="F2" s="1292"/>
      <c r="G2" s="2471"/>
      <c r="H2" s="2461"/>
      <c r="I2" s="2461"/>
      <c r="J2" s="2461"/>
      <c r="K2" s="2462"/>
      <c r="L2" s="2461"/>
      <c r="M2" s="2461"/>
    </row>
    <row r="3" spans="1:37" ht="18" customHeight="1" thickBot="1">
      <c r="A3" s="1293" t="s">
        <v>806</v>
      </c>
      <c r="B3" s="1294">
        <f ca="1">IF(ISERROR(D2/F43),0,ROUND(D2/F43,0))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t="e">
        <f ca="1">C6+C10+C12</f>
        <v>#N/A</v>
      </c>
      <c r="D5" s="1269" t="s">
        <v>693</v>
      </c>
      <c r="E5" s="1004"/>
      <c r="F5" s="1005"/>
      <c r="G5" s="1288"/>
      <c r="H5" s="291">
        <v>1</v>
      </c>
      <c r="I5" s="292" t="s">
        <v>692</v>
      </c>
      <c r="J5" s="1003" t="e">
        <f ca="1">J6+J10+J12</f>
        <v>#N/A</v>
      </c>
      <c r="K5" s="1269" t="s">
        <v>693</v>
      </c>
      <c r="L5" s="1004"/>
      <c r="M5" s="1005"/>
    </row>
    <row r="6" spans="1:37" ht="18" customHeight="1">
      <c r="A6" s="1002" t="s">
        <v>398</v>
      </c>
      <c r="B6" s="3351" t="s">
        <v>694</v>
      </c>
      <c r="C6" s="1007" t="e">
        <f ca="1">ROUND(F6*F8*F7*(1-F9),0)</f>
        <v>#N/A</v>
      </c>
      <c r="D6" s="147" t="s">
        <v>2106</v>
      </c>
      <c r="E6" s="294" t="s">
        <v>696</v>
      </c>
      <c r="F6" s="295" t="e">
        <f ca="1">INDIRECT("'数据-取费表'!u"&amp;$G$1)</f>
        <v>#N/A</v>
      </c>
      <c r="G6" s="1288"/>
      <c r="H6" s="1002" t="s">
        <v>398</v>
      </c>
      <c r="I6" s="3351" t="s">
        <v>694</v>
      </c>
      <c r="J6" s="293" t="e">
        <f ca="1">ROUND(M6*M8*M7*(1-M9),0)</f>
        <v>#N/A</v>
      </c>
      <c r="K6" s="1280" t="s">
        <v>2107</v>
      </c>
      <c r="L6" s="294" t="s">
        <v>696</v>
      </c>
      <c r="M6" s="295" t="e">
        <f ca="1">INDIRECT("'数据-取费表'!z"&amp;$G$1)</f>
        <v>#N/A</v>
      </c>
    </row>
    <row r="7" spans="1:37" ht="18" customHeight="1">
      <c r="A7" s="1006"/>
      <c r="B7" s="3352"/>
      <c r="C7" s="1008"/>
      <c r="D7" s="299"/>
      <c r="E7" s="1009" t="s">
        <v>697</v>
      </c>
      <c r="F7" s="295" t="e">
        <f ca="1">IF(INDIRECT("'数据-取费表'!ah"&amp;$G$1)="",INDIRECT("'数据-取费表'!k"&amp;$G$1),INDIRECT("'数据-取费表'!ah"&amp;$G$1))</f>
        <v>#N/A</v>
      </c>
      <c r="G7" s="1288"/>
      <c r="H7" s="296"/>
      <c r="I7" s="3352"/>
      <c r="J7" s="298"/>
      <c r="K7" s="299"/>
      <c r="L7" s="294" t="s">
        <v>697</v>
      </c>
      <c r="M7" s="295" t="e">
        <f ca="1">F7</f>
        <v>#N/A</v>
      </c>
    </row>
    <row r="8" spans="1:37" ht="18" customHeight="1">
      <c r="A8" s="296"/>
      <c r="B8" s="3352"/>
      <c r="C8" s="298"/>
      <c r="D8" s="299"/>
      <c r="E8" s="294" t="s">
        <v>698</v>
      </c>
      <c r="F8" s="295" t="e">
        <f ca="1">INDIRECT("'数据-取费表'!ai"&amp;$G$1)</f>
        <v>#N/A</v>
      </c>
      <c r="G8" s="1288"/>
      <c r="H8" s="296"/>
      <c r="I8" s="3352"/>
      <c r="J8" s="298"/>
      <c r="K8" s="299"/>
      <c r="L8" s="294" t="s">
        <v>698</v>
      </c>
      <c r="M8" s="295" t="e">
        <f ca="1">INDIRECT("'数据-取费表'!ai"&amp;$G$1)</f>
        <v>#N/A</v>
      </c>
    </row>
    <row r="9" spans="1:37" ht="18" customHeight="1">
      <c r="A9" s="296"/>
      <c r="B9" s="3353"/>
      <c r="C9" s="298"/>
      <c r="D9" s="299"/>
      <c r="E9" s="294" t="s">
        <v>699</v>
      </c>
      <c r="F9" s="304" t="e">
        <f ca="1">INDIRECT("'数据-取费表'!w"&amp;$G$1)</f>
        <v>#N/A</v>
      </c>
      <c r="G9" s="1288"/>
      <c r="H9" s="296"/>
      <c r="I9" s="3353"/>
      <c r="J9" s="298"/>
      <c r="K9" s="299"/>
      <c r="L9" s="305" t="s">
        <v>699</v>
      </c>
      <c r="M9" s="306" t="e">
        <f ca="1">INDIRECT("'数据-取费表'!ab"&amp;$G$1)</f>
        <v>#N/A</v>
      </c>
    </row>
    <row r="10" spans="1:37" ht="18" customHeight="1">
      <c r="A10" s="1002" t="s">
        <v>402</v>
      </c>
      <c r="B10" s="1270" t="s">
        <v>700</v>
      </c>
      <c r="C10" s="308" t="e">
        <f ca="1">ROUND(IF(F10="押一",C6/12*F11,IF(F10="押二",C6/12*2*F11,IF(F10="押三",C6/12*3*F11,C11*F11))),0)</f>
        <v>#N/A</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t="e">
        <f ca="1">ROUND(C29*F13,0)</f>
        <v>#N/A</v>
      </c>
      <c r="D13" s="1014" t="s">
        <v>705</v>
      </c>
      <c r="E13" s="1014" t="s">
        <v>706</v>
      </c>
      <c r="F13" s="1015" t="e">
        <f ca="1">INDIRECT("'数据-取费表'!y"&amp;$G$1)</f>
        <v>#N/A</v>
      </c>
      <c r="G13" s="1288"/>
      <c r="H13" s="1012">
        <v>2</v>
      </c>
      <c r="I13" s="1013" t="s">
        <v>704</v>
      </c>
      <c r="J13" s="1001" t="e">
        <f ca="1">ROUND(J14*J15,0)</f>
        <v>#N/A</v>
      </c>
      <c r="K13" s="1020" t="s">
        <v>705</v>
      </c>
      <c r="L13" s="1295"/>
      <c r="M13" s="1296"/>
    </row>
    <row r="14" spans="1:37" ht="18" customHeight="1">
      <c r="A14" s="924" t="s">
        <v>397</v>
      </c>
      <c r="B14" s="294" t="s">
        <v>707</v>
      </c>
      <c r="C14" s="310" t="e">
        <f ca="1">ROUND(INDIRECT("'数据-取费表'!l"&amp;$G$1)*F43+'数据-取费表'!L14*INDIRECT("'数据-取费表'!S"&amp;$G$1),0)</f>
        <v>#N/A</v>
      </c>
      <c r="D14" s="1253" t="s">
        <v>708</v>
      </c>
      <c r="E14" s="1251"/>
      <c r="F14" s="311"/>
      <c r="G14" s="1288"/>
      <c r="H14" s="924" t="s">
        <v>398</v>
      </c>
      <c r="I14" s="294" t="s">
        <v>709</v>
      </c>
      <c r="J14" s="21" t="e">
        <f ca="1">C29</f>
        <v>#N/A</v>
      </c>
      <c r="K14" s="12"/>
      <c r="L14" s="755"/>
      <c r="M14" s="756"/>
    </row>
    <row r="15" spans="1:37" s="1300" customFormat="1" ht="18" customHeight="1" thickBot="1">
      <c r="A15" s="924" t="s">
        <v>399</v>
      </c>
      <c r="B15" s="294" t="s">
        <v>710</v>
      </c>
      <c r="C15" s="21" t="e">
        <f ca="1">ROUND(C14*F15,0)</f>
        <v>#N/A</v>
      </c>
      <c r="D15" s="312" t="s">
        <v>711</v>
      </c>
      <c r="E15" s="312" t="s">
        <v>712</v>
      </c>
      <c r="F15" s="313">
        <f>'数据-取费表'!B33</f>
        <v>0.03</v>
      </c>
      <c r="G15" s="1299"/>
      <c r="H15" s="1022" t="s">
        <v>402</v>
      </c>
      <c r="I15" s="1023" t="s">
        <v>706</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t="e">
        <f ca="1">ROUND(INDIRECT("'数据-取费表'!l"&amp;$G$1)*F43*F16,0)</f>
        <v>#N/A</v>
      </c>
      <c r="D16" s="294" t="s">
        <v>711</v>
      </c>
      <c r="E16" s="294" t="s">
        <v>712</v>
      </c>
      <c r="F16" s="314" t="e">
        <f ca="1">IF(INDIRECT("'数据-取费表'!c"&amp;$G$1)="住宅",'数据-取费表'!B34,0)</f>
        <v>#N/A</v>
      </c>
      <c r="G16" s="1288"/>
      <c r="H16" s="1012" t="s">
        <v>393</v>
      </c>
      <c r="I16" s="1013" t="s">
        <v>714</v>
      </c>
      <c r="J16" s="302" t="e">
        <f ca="1">ROUND(J17+J22+J23+J24,0)</f>
        <v>#N/A</v>
      </c>
      <c r="K16" s="1020" t="s">
        <v>715</v>
      </c>
      <c r="L16" s="1021"/>
      <c r="M16" s="1005"/>
    </row>
    <row r="17" spans="1:37" s="1300" customFormat="1" ht="18" customHeight="1">
      <c r="A17" s="924" t="s">
        <v>681</v>
      </c>
      <c r="B17" s="294" t="s">
        <v>716</v>
      </c>
      <c r="C17" s="21" t="e">
        <f ca="1">ROUND(F17*(F43+INDIRECT("'数据-取费表'!S"&amp;$G$1)),0)</f>
        <v>#N/A</v>
      </c>
      <c r="D17" s="294" t="s">
        <v>717</v>
      </c>
      <c r="E17" s="294" t="s">
        <v>718</v>
      </c>
      <c r="F17" s="23">
        <f>'数据-取费表'!B35</f>
        <v>120</v>
      </c>
      <c r="G17" s="1299"/>
      <c r="H17" s="924" t="s">
        <v>398</v>
      </c>
      <c r="I17" s="294" t="s">
        <v>719</v>
      </c>
      <c r="J17" s="2134" t="e">
        <f ca="1">ROUND(IF(AND(项目基本情况!B11="自然人",项目基本情况!B10="北京市"),J6*M17/(1+'数据-取费表'!C42),J18+J19+J20),0)</f>
        <v>#N/A</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t="e">
        <f ca="1">ROUND(C14*F18,0)</f>
        <v>#N/A</v>
      </c>
      <c r="D18" s="294" t="s">
        <v>711</v>
      </c>
      <c r="E18" s="294" t="s">
        <v>712</v>
      </c>
      <c r="F18" s="314">
        <f>'数据-取费表'!B36</f>
        <v>1.4999999999999999E-2</v>
      </c>
      <c r="G18" s="1299"/>
      <c r="H18" s="924" t="s">
        <v>397</v>
      </c>
      <c r="I18" s="294" t="s">
        <v>723</v>
      </c>
      <c r="J18" s="21" t="e">
        <f ca="1">ROUND(J6*M18/(1+'数据-取费表'!C42),0)</f>
        <v>#N/A</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t="e">
        <f ca="1">SUM(C14:C18)</f>
        <v>#N/A</v>
      </c>
      <c r="D19" s="123" t="s">
        <v>726</v>
      </c>
      <c r="E19" s="1265"/>
      <c r="F19" s="23"/>
      <c r="G19" s="1288"/>
      <c r="H19" s="924" t="s">
        <v>399</v>
      </c>
      <c r="I19" s="294" t="s">
        <v>727</v>
      </c>
      <c r="J19" s="21" t="e">
        <f ca="1">IF(K19="按租金收入计税",ROUND(J6*M19/(1+'数据-取费表'!C42),0),ROUND(C29*M19*0.7,0))</f>
        <v>#N/A</v>
      </c>
      <c r="K19" s="1274" t="s">
        <v>3331</v>
      </c>
      <c r="L19" s="294" t="s">
        <v>712</v>
      </c>
      <c r="M19" s="314">
        <f>IF(K19="按租金收入计税",'数据-取费表'!B51,'数据-取费表'!B50)</f>
        <v>0.12</v>
      </c>
    </row>
    <row r="20" spans="1:37" s="1300" customFormat="1" ht="18" customHeight="1">
      <c r="A20" s="924" t="s">
        <v>402</v>
      </c>
      <c r="B20" s="294" t="s">
        <v>728</v>
      </c>
      <c r="C20" s="21" t="e">
        <f ca="1">ROUND(C19*F20,0)</f>
        <v>#N/A</v>
      </c>
      <c r="D20" s="315" t="s">
        <v>729</v>
      </c>
      <c r="E20" s="294" t="s">
        <v>712</v>
      </c>
      <c r="F20" s="314">
        <f>'数据-取费表'!B37</f>
        <v>0.02</v>
      </c>
      <c r="G20" s="1299"/>
      <c r="H20" s="924" t="s">
        <v>680</v>
      </c>
      <c r="I20" s="147" t="s">
        <v>730</v>
      </c>
      <c r="J20" s="22" t="e">
        <f ca="1">ROUND(M20*M21,0)</f>
        <v>#N/A</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t="e">
        <f ca="1">ROUND(J14*M22,0)</f>
        <v>#N/A</v>
      </c>
      <c r="K22" s="1252" t="s">
        <v>739</v>
      </c>
      <c r="L22" s="294" t="s">
        <v>712</v>
      </c>
      <c r="M22" s="320" t="e">
        <f ca="1">INDIRECT("'数据-取费表'!Ak"&amp;$G$1)</f>
        <v>#N/A</v>
      </c>
    </row>
    <row r="23" spans="1:37" s="1300" customFormat="1" ht="18" customHeight="1">
      <c r="A23" s="924"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t="e">
        <f ca="1">ROUND(J13*M23,0)</f>
        <v>#N/A</v>
      </c>
      <c r="K23" s="1252" t="s">
        <v>743</v>
      </c>
      <c r="L23" s="294" t="s">
        <v>712</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t="e">
        <f ca="1">ROUND(J5*M24,0)</f>
        <v>#N/A</v>
      </c>
      <c r="K24" s="1025" t="s">
        <v>748</v>
      </c>
      <c r="L24" s="1023" t="s">
        <v>712</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t="e">
        <f ca="1">J5-J16</f>
        <v>#N/A</v>
      </c>
      <c r="K25" s="1028" t="s">
        <v>753</v>
      </c>
      <c r="L25" s="1029"/>
      <c r="M25" s="1030"/>
    </row>
    <row r="26" spans="1:37" ht="18" customHeight="1">
      <c r="A26" s="924" t="s">
        <v>397</v>
      </c>
      <c r="B26" s="294" t="s">
        <v>754</v>
      </c>
      <c r="C26" s="21" t="e">
        <f ca="1">ROUND((C19+C20)*F26,0)</f>
        <v>#N/A</v>
      </c>
      <c r="D26" s="315" t="s">
        <v>755</v>
      </c>
      <c r="E26" s="305" t="s">
        <v>756</v>
      </c>
      <c r="F26" s="304" t="e">
        <f ca="1">INDIRECT("'数据-取费表'!q"&amp;$G$1)</f>
        <v>#N/A</v>
      </c>
      <c r="G26" s="1288"/>
      <c r="H26" s="291" t="s">
        <v>395</v>
      </c>
      <c r="I26" s="292" t="s">
        <v>757</v>
      </c>
      <c r="J26" s="293" t="e">
        <f ca="1">IF(J5&lt;&gt;0,ROUND(J25*(1-((1+M28)/(1+M26))^M27)/(M26-M28),0),0)</f>
        <v>#N/A</v>
      </c>
      <c r="K26" s="316" t="s">
        <v>758</v>
      </c>
      <c r="L26" s="294" t="s">
        <v>759</v>
      </c>
      <c r="M26" s="304" t="e">
        <f ca="1">INDIRECT("'数据-取费表'!I"&amp;$G$1)</f>
        <v>#N/A</v>
      </c>
    </row>
    <row r="27" spans="1:37" ht="18" customHeight="1">
      <c r="A27" s="924" t="s">
        <v>399</v>
      </c>
      <c r="B27" s="294" t="s">
        <v>760</v>
      </c>
      <c r="C27" s="21" t="e">
        <f ca="1">ROUND(F21*F26,4)</f>
        <v>#N/A</v>
      </c>
      <c r="D27" s="315" t="s">
        <v>761</v>
      </c>
      <c r="E27" s="312"/>
      <c r="F27" s="313"/>
      <c r="G27" s="1288"/>
      <c r="H27" s="296"/>
      <c r="I27" s="297"/>
      <c r="J27" s="298"/>
      <c r="K27" s="323" t="s">
        <v>762</v>
      </c>
      <c r="L27" s="294" t="s">
        <v>763</v>
      </c>
      <c r="M27" s="324" t="e">
        <f ca="1">INDIRECT("'数据-取费表'!ag"&amp;$G$1)</f>
        <v>#N/A</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t="e">
        <f ca="1">ROUND((C19+C20+C23+C26)/(1-F21-C24-C27-C28),0)</f>
        <v>#N/A</v>
      </c>
      <c r="D29" s="1025"/>
      <c r="E29" s="1023"/>
      <c r="F29" s="1026"/>
      <c r="G29" s="1299"/>
      <c r="H29" s="325" t="s">
        <v>396</v>
      </c>
      <c r="I29" s="326" t="s">
        <v>768</v>
      </c>
      <c r="J29" s="327" t="e">
        <f ca="1">ROUND(J26/(1+F40)^F41,0)</f>
        <v>#N/A</v>
      </c>
      <c r="K29" s="328" t="s">
        <v>769</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t="e">
        <f ca="1">ROUND(C31+C36+C37+C38,0)</f>
        <v>#N/A</v>
      </c>
      <c r="D30" s="1020" t="s">
        <v>715</v>
      </c>
      <c r="E30" s="1021"/>
      <c r="F30" s="1005"/>
      <c r="G30" s="1288"/>
      <c r="H30" s="2463"/>
      <c r="I30" s="1301"/>
      <c r="J30" s="1302"/>
      <c r="K30" s="121"/>
      <c r="L30" s="2464"/>
      <c r="M30" s="2465"/>
    </row>
    <row r="31" spans="1:37" ht="18" customHeight="1">
      <c r="A31" s="924" t="s">
        <v>398</v>
      </c>
      <c r="B31" s="294" t="s">
        <v>719</v>
      </c>
      <c r="C31" s="2134" t="e">
        <f ca="1">ROUND(IF(AND(项目基本情况!B11="自然人",项目基本情况!B10="北京市"),C6*F31/(1+'数据-取费表'!C42),C32+C33+C34),0)</f>
        <v>#N/A</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t="e">
        <f ca="1">IF(项目基本情况!B11="自然人","——",ROUND(C6*F32/(1+'数据-取费表'!C42),0))</f>
        <v>#N/A</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t="e">
        <f ca="1">IF(项目基本情况!B11="自然人","——",IF(D33="按租金收入计税",ROUND(C6*F33/(1+'数据-取费表'!C42),0),IF(D33="按房产原值计税",ROUND(C29*F33*0.7,0),INDIRECT("'数据-取费表'!Aj"&amp;$G$1))))</f>
        <v>#N/A</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t="e">
        <f ca="1">IF(项目基本情况!B11="自然人","——",ROUND(F34*F35,0))</f>
        <v>#N/A</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t="e">
        <f ca="1">INDIRECT("'数据-取费表'!r"&amp;$G$1)</f>
        <v>#N/A</v>
      </c>
      <c r="G35" s="1288"/>
      <c r="H35" s="2463"/>
      <c r="I35" s="1301"/>
      <c r="J35" s="1302"/>
      <c r="K35" s="2467"/>
      <c r="L35" s="2466"/>
      <c r="M35" s="2466"/>
    </row>
    <row r="36" spans="1:18" ht="18" customHeight="1">
      <c r="A36" s="1035" t="s">
        <v>402</v>
      </c>
      <c r="B36" s="294" t="s">
        <v>738</v>
      </c>
      <c r="C36" s="21" t="e">
        <f ca="1">ROUND(C29*F36,0)</f>
        <v>#N/A</v>
      </c>
      <c r="D36" s="1252" t="s">
        <v>771</v>
      </c>
      <c r="E36" s="294" t="s">
        <v>712</v>
      </c>
      <c r="F36" s="320" t="e">
        <f ca="1">INDIRECT("'数据-取费表'!Ak"&amp;$G$1)</f>
        <v>#N/A</v>
      </c>
      <c r="G36" s="1288"/>
      <c r="H36" s="2466"/>
      <c r="I36" s="1301"/>
      <c r="J36" s="1302"/>
      <c r="K36" s="2323"/>
      <c r="L36" s="2466"/>
      <c r="M36" s="2466"/>
    </row>
    <row r="37" spans="1:18" ht="18" customHeight="1">
      <c r="A37" s="924" t="s">
        <v>437</v>
      </c>
      <c r="B37" s="294" t="s">
        <v>742</v>
      </c>
      <c r="C37" s="21" t="e">
        <f ca="1">ROUND(C13*F37,0)</f>
        <v>#N/A</v>
      </c>
      <c r="D37" s="1252" t="s">
        <v>743</v>
      </c>
      <c r="E37" s="294" t="s">
        <v>712</v>
      </c>
      <c r="F37" s="321" t="e">
        <f ca="1">INDIRECT("'数据-取费表'!Al"&amp;$G$1)</f>
        <v>#N/A</v>
      </c>
      <c r="G37" s="1288"/>
      <c r="H37" s="2466"/>
      <c r="I37" s="1301"/>
      <c r="J37" s="1302"/>
      <c r="K37" s="2323"/>
      <c r="L37" s="2466"/>
      <c r="M37" s="2466"/>
    </row>
    <row r="38" spans="1:18" ht="18" customHeight="1" thickBot="1">
      <c r="A38" s="1022" t="s">
        <v>683</v>
      </c>
      <c r="B38" s="1023" t="s">
        <v>728</v>
      </c>
      <c r="C38" s="1024" t="e">
        <f ca="1">ROUND(C5*F38,0)</f>
        <v>#N/A</v>
      </c>
      <c r="D38" s="1025" t="s">
        <v>748</v>
      </c>
      <c r="E38" s="1023" t="s">
        <v>712</v>
      </c>
      <c r="F38" s="1019" t="e">
        <f ca="1">INDIRECT("'数据-取费表'!Am"&amp;$G$1)</f>
        <v>#N/A</v>
      </c>
      <c r="G38" s="1288"/>
      <c r="H38" s="2466"/>
      <c r="I38" s="1301"/>
      <c r="J38" s="1302"/>
      <c r="K38" s="2464"/>
      <c r="L38" s="2466"/>
      <c r="M38" s="2466"/>
    </row>
    <row r="39" spans="1:18" ht="24.6" customHeight="1" thickTop="1">
      <c r="A39" s="1012" t="s">
        <v>394</v>
      </c>
      <c r="B39" s="1027" t="s">
        <v>752</v>
      </c>
      <c r="C39" s="302" t="e">
        <f ca="1">C5-C30</f>
        <v>#N/A</v>
      </c>
      <c r="D39" s="1028" t="s">
        <v>753</v>
      </c>
      <c r="E39" s="1029"/>
      <c r="F39" s="1030"/>
      <c r="G39" s="1288"/>
      <c r="H39" s="2466"/>
      <c r="I39" s="1301"/>
      <c r="J39" s="1302"/>
      <c r="K39" s="2464"/>
      <c r="L39" s="2466"/>
      <c r="M39" s="2466"/>
    </row>
    <row r="40" spans="1:18" ht="18" customHeight="1">
      <c r="A40" s="291" t="s">
        <v>395</v>
      </c>
      <c r="B40" s="292" t="s">
        <v>774</v>
      </c>
      <c r="C40" s="293" t="e">
        <f ca="1">ROUND(C39*(1-((1+F42)/(1+F40))^F41)/(F40-F42),0)</f>
        <v>#N/A</v>
      </c>
      <c r="D40" s="316" t="s">
        <v>758</v>
      </c>
      <c r="E40" s="294" t="s">
        <v>759</v>
      </c>
      <c r="F40" s="304" t="e">
        <f ca="1">INDIRECT("'数据-取费表'!I"&amp;$G$1)</f>
        <v>#N/A</v>
      </c>
      <c r="G40" s="1288"/>
      <c r="H40" s="1362"/>
      <c r="I40" s="1301"/>
      <c r="J40" s="1302"/>
      <c r="K40" s="2464"/>
      <c r="L40" s="1362"/>
      <c r="M40" s="1362"/>
    </row>
    <row r="41" spans="1:18" ht="18" customHeight="1">
      <c r="A41" s="296"/>
      <c r="B41" s="297"/>
      <c r="C41" s="298"/>
      <c r="D41" s="323" t="s">
        <v>775</v>
      </c>
      <c r="E41" s="294" t="s">
        <v>763</v>
      </c>
      <c r="F41" s="324" t="e">
        <f ca="1">IF(INDIRECT("'数据-取费表'!af"&amp;$G$1)=0,INDIRECT("'数据-取费表'!ae"&amp;$G$1),INDIRECT("'数据-取费表'!af"&amp;$G$1))</f>
        <v>#N/A</v>
      </c>
      <c r="G41" s="1288"/>
      <c r="H41" s="121"/>
      <c r="I41" s="1301"/>
      <c r="J41" s="1302"/>
      <c r="K41" s="2323"/>
      <c r="L41" s="121"/>
      <c r="M41" s="121"/>
    </row>
    <row r="42" spans="1:18" ht="18" customHeight="1">
      <c r="A42" s="300"/>
      <c r="B42" s="301"/>
      <c r="C42" s="302"/>
      <c r="D42" s="319"/>
      <c r="E42" s="294" t="s">
        <v>766</v>
      </c>
      <c r="F42" s="304" t="e">
        <f ca="1">INDIRECT("'数据-取费表'!v"&amp;$G$1)</f>
        <v>#N/A</v>
      </c>
      <c r="G42" s="1288"/>
      <c r="H42" s="121"/>
      <c r="I42" s="1301"/>
      <c r="J42" s="1302"/>
      <c r="K42" s="2323"/>
      <c r="L42" s="121"/>
      <c r="M42" s="121"/>
    </row>
    <row r="43" spans="1:18" ht="18" customHeight="1" thickBot="1">
      <c r="A43" s="325" t="s">
        <v>396</v>
      </c>
      <c r="B43" s="326" t="s">
        <v>776</v>
      </c>
      <c r="C43" s="327" t="e">
        <f ca="1">ROUND(C40/F43,0)</f>
        <v>#N/A</v>
      </c>
      <c r="D43" s="328" t="s">
        <v>777</v>
      </c>
      <c r="E43" s="329" t="s">
        <v>778</v>
      </c>
      <c r="F43" s="330" t="e">
        <f ca="1">INDIRECT("'数据-取费表'!k"&amp;$G$1)</f>
        <v>#N/A</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#N/A</v>
      </c>
      <c r="D45" s="3121" t="s">
        <v>3348</v>
      </c>
      <c r="E45" s="1303"/>
      <c r="F45" s="1303"/>
      <c r="O45" s="1306" t="s">
        <v>808</v>
      </c>
      <c r="P45" s="1362"/>
      <c r="Q45" s="1362"/>
      <c r="R45" s="1362"/>
    </row>
    <row r="46" spans="1:18" s="1288" customFormat="1" ht="13.5" thickBot="1">
      <c r="A46" s="1307" t="s">
        <v>809</v>
      </c>
      <c r="C46" s="1308" t="e">
        <f ca="1">ROUND(C45,0)</f>
        <v>#N/A</v>
      </c>
      <c r="D46" s="1309" t="str">
        <f>C2</f>
        <v>万元</v>
      </c>
      <c r="I46" s="1310" t="s">
        <v>810</v>
      </c>
      <c r="J46" s="1311"/>
      <c r="K46" s="1312"/>
      <c r="L46" s="1313" t="e">
        <f ca="1">IF(M47="住宅",0,IF(L48&gt;J51,L60,J60))</f>
        <v>#N/A</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3" t="s">
        <v>438</v>
      </c>
      <c r="B48" s="292" t="s">
        <v>692</v>
      </c>
      <c r="C48" s="1264" t="e">
        <f ca="1">C49+C53+C55</f>
        <v>#N/A</v>
      </c>
      <c r="D48" s="1045"/>
      <c r="E48" s="1046"/>
      <c r="F48" s="904"/>
      <c r="G48" s="681"/>
      <c r="H48" s="682"/>
      <c r="I48" s="1324" t="s">
        <v>819</v>
      </c>
      <c r="J48" s="1325" t="s">
        <v>3448</v>
      </c>
      <c r="K48" s="1326" t="s">
        <v>820</v>
      </c>
      <c r="L48" s="1327" t="e">
        <f ca="1">INDIRECT("'数据-取费表'!f"&amp;$G$1)</f>
        <v>#N/A</v>
      </c>
      <c r="O48" s="1321" t="s">
        <v>404</v>
      </c>
      <c r="P48" s="1322" t="s">
        <v>821</v>
      </c>
      <c r="Q48" s="1323" t="e">
        <f ca="1">J60</f>
        <v>#N/A</v>
      </c>
      <c r="R48" s="1323" t="s">
        <v>822</v>
      </c>
    </row>
    <row r="49" spans="1:18" s="1288" customFormat="1" ht="13.5" thickBot="1">
      <c r="A49" s="917" t="s">
        <v>439</v>
      </c>
      <c r="B49" s="1275" t="s">
        <v>779</v>
      </c>
      <c r="C49" s="1047" t="e">
        <f ca="1">ROUND(F49*F51*F50*(1-F52),0)</f>
        <v>#N/A</v>
      </c>
      <c r="D49" s="988" t="s">
        <v>695</v>
      </c>
      <c r="E49" s="1276" t="s">
        <v>780</v>
      </c>
      <c r="F49" s="993"/>
      <c r="H49" s="682"/>
      <c r="I49" s="1324" t="s">
        <v>823</v>
      </c>
      <c r="J49" s="1328">
        <v>2022</v>
      </c>
      <c r="K49" s="1326" t="s">
        <v>824</v>
      </c>
      <c r="L49" s="1329"/>
      <c r="O49" s="1330" t="s">
        <v>405</v>
      </c>
      <c r="P49" s="1322" t="s">
        <v>825</v>
      </c>
      <c r="Q49" s="1323" t="e">
        <f ca="1">C29</f>
        <v>#N/A</v>
      </c>
      <c r="R49" s="1323" t="s">
        <v>818</v>
      </c>
    </row>
    <row r="50" spans="1:18" s="1288" customFormat="1" ht="13.5" thickBot="1">
      <c r="A50" s="918"/>
      <c r="B50" s="921"/>
      <c r="C50" s="922"/>
      <c r="D50" s="895"/>
      <c r="E50" s="989" t="s">
        <v>697</v>
      </c>
      <c r="F50" s="990" t="e">
        <f ca="1">F7</f>
        <v>#N/A</v>
      </c>
      <c r="H50" s="682"/>
      <c r="I50" s="1324" t="s">
        <v>826</v>
      </c>
      <c r="J50" s="1331">
        <f>SUMPRODUCT((I63:I65=J47)*(J62:L62=J48)*(J63:L65))</f>
        <v>60</v>
      </c>
      <c r="K50" s="1326" t="s">
        <v>827</v>
      </c>
      <c r="L50" s="1329"/>
      <c r="M50" s="1332"/>
      <c r="O50" s="1330" t="s">
        <v>406</v>
      </c>
      <c r="P50" s="1322" t="s">
        <v>828</v>
      </c>
      <c r="Q50" s="1333" t="e">
        <f ca="1">J58</f>
        <v>#N/A</v>
      </c>
      <c r="R50" s="1323"/>
    </row>
    <row r="51" spans="1:18" s="1288" customFormat="1" ht="13.5" thickBot="1">
      <c r="A51" s="919"/>
      <c r="B51" s="921"/>
      <c r="C51" s="922"/>
      <c r="D51" s="895"/>
      <c r="E51" s="923" t="s">
        <v>698</v>
      </c>
      <c r="F51" s="295" t="e">
        <f ca="1">F8</f>
        <v>#N/A</v>
      </c>
      <c r="I51" s="1334" t="s">
        <v>829</v>
      </c>
      <c r="J51" s="1327">
        <f>IF(J49="",J50,J49+J50-YEAR('数据-取费表'!B2))</f>
        <v>57</v>
      </c>
      <c r="K51" s="1335" t="s">
        <v>830</v>
      </c>
      <c r="L51" s="1336" t="e">
        <f ca="1">ROUND(-PV(INDIRECT("'数据-取费表'!h"&amp;$G$1),J51,(C39-C13*C76),0),0)</f>
        <v>#N/A</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f>'数据-取费表'!J9</f>
        <v>0</v>
      </c>
      <c r="K52" s="1338" t="s">
        <v>833</v>
      </c>
      <c r="L52" s="1339"/>
      <c r="O52" s="1330" t="s">
        <v>408</v>
      </c>
      <c r="P52" s="1322" t="s">
        <v>834</v>
      </c>
      <c r="Q52" s="1323" t="e">
        <f ca="1">J53</f>
        <v>#N/A</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t="e">
        <f ca="1">IF(M47="住宅",IF(D1="——",MAX(J51,L48),MAX(J51,L48-'数据-取费表'!B24)),IF(D1="——",MIN(J51,L48),MIN(J51,L48-'数据-取费表'!B24)))</f>
        <v>#N/A</v>
      </c>
      <c r="K53" s="3354" t="s">
        <v>837</v>
      </c>
      <c r="L53" s="3355"/>
      <c r="O53" s="1321" t="s">
        <v>409</v>
      </c>
      <c r="P53" s="1322" t="s">
        <v>838</v>
      </c>
      <c r="Q53" s="1323" t="e">
        <f ca="1">Q47+Q48</f>
        <v>#N/A</v>
      </c>
      <c r="R53" s="1323" t="s">
        <v>410</v>
      </c>
    </row>
    <row r="54" spans="1:18" s="1288" customFormat="1" ht="13.5" thickBot="1">
      <c r="A54" s="917"/>
      <c r="B54" s="1373" t="s">
        <v>891</v>
      </c>
      <c r="C54" s="901"/>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#N/A</v>
      </c>
      <c r="K55" s="1346" t="s">
        <v>841</v>
      </c>
      <c r="L55" s="1347"/>
      <c r="O55" s="1314" t="s">
        <v>811</v>
      </c>
      <c r="P55" s="1315" t="s">
        <v>812</v>
      </c>
      <c r="Q55" s="1316" t="s">
        <v>813</v>
      </c>
      <c r="R55" s="1316" t="s">
        <v>814</v>
      </c>
    </row>
    <row r="56" spans="1:18" s="1288" customFormat="1" ht="36" customHeight="1" thickTop="1" thickBot="1">
      <c r="A56" s="899">
        <v>2</v>
      </c>
      <c r="B56" s="900" t="s">
        <v>704</v>
      </c>
      <c r="C56" s="224" t="e">
        <f ca="1">C13</f>
        <v>#N/A</v>
      </c>
      <c r="D56" s="1348"/>
      <c r="E56" s="1349"/>
      <c r="F56" s="1341"/>
      <c r="I56" s="1350" t="s">
        <v>842</v>
      </c>
      <c r="J56" s="1351" t="s">
        <v>3449</v>
      </c>
      <c r="K56" s="1324" t="s">
        <v>843</v>
      </c>
      <c r="L56" s="1327" t="e">
        <f ca="1">IF(L48&lt;J51,"——",L48-J51)</f>
        <v>#N/A</v>
      </c>
      <c r="O56" s="1321" t="s">
        <v>403</v>
      </c>
      <c r="P56" s="1322" t="s">
        <v>817</v>
      </c>
      <c r="Q56" s="1323" t="e">
        <f ca="1">C40+J29</f>
        <v>#N/A</v>
      </c>
      <c r="R56" s="1323" t="s">
        <v>818</v>
      </c>
    </row>
    <row r="57" spans="1:18" s="1288" customFormat="1" ht="24.75" thickBot="1">
      <c r="A57" s="1352"/>
      <c r="B57" s="892" t="s">
        <v>767</v>
      </c>
      <c r="C57" s="230" t="e">
        <f ca="1">C29</f>
        <v>#N/A</v>
      </c>
      <c r="D57" s="1353"/>
      <c r="E57" s="1354"/>
      <c r="F57" s="1355"/>
      <c r="I57" s="1356" t="s">
        <v>844</v>
      </c>
      <c r="J57" s="1357" t="e">
        <f ca="1">IF(OR(M47="住宅",J51&lt;L48,J56="是"),"——",J51-L48)</f>
        <v>#N/A</v>
      </c>
      <c r="K57" s="1324" t="s">
        <v>892</v>
      </c>
      <c r="L57" s="1327" t="e">
        <f ca="1">IF(L48&lt;J51,"——",IF(L55="比较法",L49,IF(L55="基准地价",L50,L51)))</f>
        <v>#N/A</v>
      </c>
      <c r="O57" s="1321" t="s">
        <v>404</v>
      </c>
      <c r="P57" s="1322" t="s">
        <v>846</v>
      </c>
      <c r="Q57" s="1323" t="e">
        <f ca="1">L60</f>
        <v>#N/A</v>
      </c>
      <c r="R57" s="1323" t="s">
        <v>847</v>
      </c>
    </row>
    <row r="58" spans="1:18" s="1288" customFormat="1" ht="24.75" thickBot="1">
      <c r="A58" s="307" t="s">
        <v>393</v>
      </c>
      <c r="B58" s="900" t="s">
        <v>714</v>
      </c>
      <c r="C58" s="308" t="e">
        <f ca="1">ROUND(C59+C64+C65+C66,0)</f>
        <v>#N/A</v>
      </c>
      <c r="D58" s="902" t="s">
        <v>715</v>
      </c>
      <c r="E58" s="903"/>
      <c r="F58" s="904"/>
      <c r="I58" s="1356" t="s">
        <v>848</v>
      </c>
      <c r="J58" s="1358" t="e">
        <f ca="1">IF(J55&lt;0.4,0.4,J55)</f>
        <v>#N/A</v>
      </c>
      <c r="K58" s="1335" t="s">
        <v>895</v>
      </c>
      <c r="L58" s="1327" t="e">
        <f ca="1">ROUND(POWER(1+L52,L47-L48)*(POWER(1+L52,L48)-1)/(POWER(1+L52,L47)-1),4)</f>
        <v>#N/A</v>
      </c>
      <c r="O58" s="1330" t="s">
        <v>405</v>
      </c>
      <c r="P58" s="1322" t="s">
        <v>850</v>
      </c>
      <c r="Q58" s="1323">
        <f>IF(L55="比较法",L49,IF(L55="基准地价",L50,0))</f>
        <v>0</v>
      </c>
      <c r="R58" s="1323" t="s">
        <v>818</v>
      </c>
    </row>
    <row r="59" spans="1:18" s="1288" customFormat="1" ht="24.75" thickBot="1">
      <c r="A59" s="924" t="s">
        <v>398</v>
      </c>
      <c r="B59" s="892" t="s">
        <v>719</v>
      </c>
      <c r="C59" s="2134" t="e">
        <f ca="1">ROUND(IF(AND(项目基本情况!B11="自然人",项目基本情况!B10="北京市"),C49*F59/(1+'数据-取费表'!C42),C60+C61+C62),0)</f>
        <v>#N/A</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0" t="s">
        <v>406</v>
      </c>
      <c r="P59" s="1322" t="s">
        <v>852</v>
      </c>
      <c r="Q59" s="1333">
        <f>L52</f>
        <v>0</v>
      </c>
      <c r="R59" s="1323"/>
    </row>
    <row r="60" spans="1:18" s="1288" customFormat="1" ht="16.5" thickBot="1">
      <c r="A60" s="924" t="s">
        <v>397</v>
      </c>
      <c r="B60" s="892" t="s">
        <v>723</v>
      </c>
      <c r="C60" s="21" t="e">
        <f ca="1">IF(项目基本情况!B11="自然人","——",ROUND(C48*F60/(1+'数据-取费表'!C42),0))</f>
        <v>#N/A</v>
      </c>
      <c r="D60" s="906" t="s">
        <v>724</v>
      </c>
      <c r="E60" s="892" t="s">
        <v>712</v>
      </c>
      <c r="F60" s="322">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4" t="s">
        <v>781</v>
      </c>
      <c r="B61" s="892" t="s">
        <v>727</v>
      </c>
      <c r="C61" s="21" t="e">
        <f ca="1">IF(项目基本情况!B11="自然人","——",IF(D61="按租金收入计税",ROUND(C49*F61/(1+'数据-取费表'!C42),0),IF(D61="按房产原值计税",ROUND(C57*F61*0.7,0),INDIRECT("'数据-取费表'!Aj"&amp;$G$1))))</f>
        <v>#N/A</v>
      </c>
      <c r="D61" s="1274" t="s">
        <v>3331</v>
      </c>
      <c r="E61" s="892" t="s">
        <v>712</v>
      </c>
      <c r="F61" s="314">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4" t="s">
        <v>784</v>
      </c>
      <c r="B62" s="891" t="s">
        <v>730</v>
      </c>
      <c r="C62" s="22" t="e">
        <f ca="1">IF(项目基本情况!B11="自然人","——",ROUND(F62*F63,0))</f>
        <v>#N/A</v>
      </c>
      <c r="D62" s="907" t="s">
        <v>731</v>
      </c>
      <c r="E62" s="892" t="s">
        <v>732</v>
      </c>
      <c r="F62" s="317">
        <f t="shared" si="0"/>
        <v>0</v>
      </c>
      <c r="I62" s="1363" t="s">
        <v>858</v>
      </c>
      <c r="J62" s="610" t="s">
        <v>859</v>
      </c>
      <c r="K62" s="610" t="s">
        <v>860</v>
      </c>
      <c r="L62" s="610" t="s">
        <v>861</v>
      </c>
      <c r="M62" s="1364" t="s">
        <v>862</v>
      </c>
      <c r="O62" s="1321" t="s">
        <v>409</v>
      </c>
      <c r="P62" s="1322" t="s">
        <v>838</v>
      </c>
      <c r="Q62" s="1323" t="e">
        <f ca="1">Q56+Q57</f>
        <v>#N/A</v>
      </c>
      <c r="R62" s="1323" t="s">
        <v>410</v>
      </c>
    </row>
    <row r="63" spans="1:18" s="1288" customFormat="1" ht="13.5" thickBot="1">
      <c r="A63" s="318"/>
      <c r="B63" s="898"/>
      <c r="C63" s="26"/>
      <c r="D63" s="908"/>
      <c r="E63" s="892" t="s">
        <v>736</v>
      </c>
      <c r="F63" s="295" t="e">
        <f t="shared" ca="1" si="0"/>
        <v>#N/A</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t="e">
        <f ca="1">ROUND(C57*F64,0)</f>
        <v>#N/A</v>
      </c>
      <c r="D64" s="906" t="s">
        <v>771</v>
      </c>
      <c r="E64" s="892" t="s">
        <v>712</v>
      </c>
      <c r="F64" s="320" t="e">
        <f t="shared" ca="1" si="0"/>
        <v>#N/A</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t="e">
        <f ca="1">ROUND(C56*F65,0)</f>
        <v>#N/A</v>
      </c>
      <c r="D65" s="906" t="s">
        <v>743</v>
      </c>
      <c r="E65" s="892" t="s">
        <v>712</v>
      </c>
      <c r="F65" s="321" t="e">
        <f t="shared" ca="1" si="0"/>
        <v>#N/A</v>
      </c>
      <c r="I65" s="1363" t="s">
        <v>867</v>
      </c>
      <c r="J65" s="610">
        <v>40</v>
      </c>
      <c r="K65" s="610">
        <v>30</v>
      </c>
      <c r="L65" s="610">
        <v>50</v>
      </c>
      <c r="M65" s="1365">
        <v>0.02</v>
      </c>
      <c r="O65" s="1321" t="s">
        <v>403</v>
      </c>
      <c r="P65" s="1322" t="s">
        <v>817</v>
      </c>
      <c r="Q65" s="1323" t="e">
        <f ca="1">C40+J29</f>
        <v>#N/A</v>
      </c>
      <c r="R65" s="1323" t="s">
        <v>818</v>
      </c>
    </row>
    <row r="66" spans="1:18" s="1288" customFormat="1" ht="16.5" thickBot="1">
      <c r="A66" s="924" t="s">
        <v>793</v>
      </c>
      <c r="B66" s="892" t="s">
        <v>728</v>
      </c>
      <c r="C66" s="21" t="e">
        <f ca="1">ROUND(C48*F66,0)</f>
        <v>#N/A</v>
      </c>
      <c r="D66" s="906" t="s">
        <v>748</v>
      </c>
      <c r="E66" s="892" t="s">
        <v>712</v>
      </c>
      <c r="F66" s="304" t="e">
        <f t="shared" ca="1" si="0"/>
        <v>#N/A</v>
      </c>
      <c r="O66" s="1321" t="s">
        <v>404</v>
      </c>
      <c r="P66" s="1322" t="s">
        <v>846</v>
      </c>
      <c r="Q66" s="1323" t="e">
        <f ca="1">L60</f>
        <v>#N/A</v>
      </c>
      <c r="R66" s="1323" t="s">
        <v>869</v>
      </c>
    </row>
    <row r="67" spans="1:18" s="1288" customFormat="1" ht="16.5" thickBot="1">
      <c r="A67" s="899" t="s">
        <v>394</v>
      </c>
      <c r="B67" s="909" t="s">
        <v>752</v>
      </c>
      <c r="C67" s="308" t="e">
        <f ca="1">C48-C58</f>
        <v>#N/A</v>
      </c>
      <c r="D67" s="905" t="s">
        <v>753</v>
      </c>
      <c r="E67" s="910"/>
      <c r="F67" s="911"/>
      <c r="O67" s="1330" t="s">
        <v>405</v>
      </c>
      <c r="P67" s="1322" t="s">
        <v>850</v>
      </c>
      <c r="Q67" s="1366" t="e">
        <f ca="1">L51</f>
        <v>#N/A</v>
      </c>
      <c r="R67" s="1323" t="s">
        <v>870</v>
      </c>
    </row>
    <row r="68" spans="1:18" s="1288" customFormat="1" ht="16.5" thickBot="1">
      <c r="A68" s="889" t="s">
        <v>395</v>
      </c>
      <c r="B68" s="890" t="s">
        <v>774</v>
      </c>
      <c r="C68" s="293" t="e">
        <f ca="1">ROUND(C67*(1-((1+F70)/(1+F68))^F69)/(F68-F70),0)</f>
        <v>#N/A</v>
      </c>
      <c r="D68" s="907" t="s">
        <v>758</v>
      </c>
      <c r="E68" s="892" t="s">
        <v>759</v>
      </c>
      <c r="F68" s="304" t="e">
        <f ca="1">F40</f>
        <v>#N/A</v>
      </c>
      <c r="O68" s="1330" t="s">
        <v>406</v>
      </c>
      <c r="P68" s="1367" t="s">
        <v>871</v>
      </c>
      <c r="Q68" s="1323" t="e">
        <f ca="1">ROUND(Q69-Q70*Q71,0)</f>
        <v>#N/A</v>
      </c>
      <c r="R68" s="1323" t="s">
        <v>414</v>
      </c>
    </row>
    <row r="69" spans="1:18" s="1288" customFormat="1" ht="13.5" thickBot="1">
      <c r="A69" s="893"/>
      <c r="B69" s="894"/>
      <c r="C69" s="298"/>
      <c r="D69" s="912" t="s">
        <v>762</v>
      </c>
      <c r="E69" s="892" t="s">
        <v>763</v>
      </c>
      <c r="F69" s="324" t="e">
        <f ca="1">F41</f>
        <v>#N/A</v>
      </c>
      <c r="O69" s="1330" t="s">
        <v>411</v>
      </c>
      <c r="P69" s="1367" t="s">
        <v>872</v>
      </c>
      <c r="Q69" s="1323" t="e">
        <f ca="1">C39</f>
        <v>#N/A</v>
      </c>
      <c r="R69" s="1323" t="s">
        <v>818</v>
      </c>
    </row>
    <row r="70" spans="1:18" s="1288" customFormat="1" ht="13.5" thickBot="1">
      <c r="A70" s="896"/>
      <c r="B70" s="897"/>
      <c r="C70" s="302"/>
      <c r="D70" s="908"/>
      <c r="E70" s="892" t="s">
        <v>766</v>
      </c>
      <c r="F70" s="987"/>
      <c r="O70" s="1330" t="s">
        <v>412</v>
      </c>
      <c r="P70" s="1367" t="s">
        <v>873</v>
      </c>
      <c r="Q70" s="1323" t="e">
        <f ca="1">C13</f>
        <v>#N/A</v>
      </c>
      <c r="R70" s="1323" t="s">
        <v>818</v>
      </c>
    </row>
    <row r="71" spans="1:18" s="1288" customFormat="1" ht="13.5" thickBot="1">
      <c r="A71" s="913" t="s">
        <v>396</v>
      </c>
      <c r="B71" s="914" t="s">
        <v>776</v>
      </c>
      <c r="C71" s="327" t="e">
        <f ca="1">ROUND(C68/F71,0)</f>
        <v>#N/A</v>
      </c>
      <c r="D71" s="915" t="s">
        <v>777</v>
      </c>
      <c r="E71" s="916" t="s">
        <v>778</v>
      </c>
      <c r="F71" s="330" t="e">
        <f ca="1">F43</f>
        <v>#N/A</v>
      </c>
      <c r="O71" s="1330" t="s">
        <v>413</v>
      </c>
      <c r="P71" s="1367" t="s">
        <v>874</v>
      </c>
      <c r="Q71" s="1333" t="e">
        <f ca="1">C76</f>
        <v>#N/A</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#N/A</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1" t="s">
        <v>795</v>
      </c>
      <c r="C75" s="332" t="e">
        <f ca="1">ROUND(C13*C76,0)</f>
        <v>#N/A</v>
      </c>
      <c r="D75" s="1288"/>
      <c r="E75" s="1288"/>
      <c r="F75" s="1288"/>
      <c r="K75" s="1305"/>
      <c r="L75" s="1288"/>
      <c r="O75" s="1321" t="s">
        <v>409</v>
      </c>
      <c r="P75" s="1322" t="s">
        <v>838</v>
      </c>
      <c r="Q75" s="1323" t="e">
        <f ca="1">Q65+Q66</f>
        <v>#N/A</v>
      </c>
      <c r="R75" s="1323" t="s">
        <v>410</v>
      </c>
    </row>
    <row r="76" spans="1:18">
      <c r="B76" s="333" t="s">
        <v>796</v>
      </c>
      <c r="C76" s="334" t="e">
        <f ca="1">INDIRECT("'数据-取费表'!j"&amp;$G$1)</f>
        <v>#N/A</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J11">
    <cfRule type="expression" dxfId="139" priority="2">
      <formula>$M$10="自定义"</formula>
    </cfRule>
  </conditionalFormatting>
  <conditionalFormatting sqref="K55 K60">
    <cfRule type="expression" dxfId="138" priority="4">
      <formula>$L$48&gt;$J$51</formula>
    </cfRule>
  </conditionalFormatting>
  <dataValidations count="9">
    <dataValidation type="list" allowBlank="1" showInputMessage="1" showErrorMessage="1" sqref="D1" xr:uid="{490D4CB3-A4A7-4C1A-A8CE-355AA1450E0E}">
      <formula1>"在建（套用方法）,土地（套用方法）,——"</formula1>
    </dataValidation>
    <dataValidation type="list" allowBlank="1" showInputMessage="1" showErrorMessage="1" sqref="F10 F53 M10" xr:uid="{660F3F9A-BF43-4A0D-ADED-AA0AB3483514}">
      <formula1>"押一,押二,押三,自定义"</formula1>
    </dataValidation>
    <dataValidation type="list" allowBlank="1" showInputMessage="1" showErrorMessage="1" sqref="K19" xr:uid="{9663893A-5A50-4284-A746-66D14BB9083C}">
      <formula1>"按租金收入计税,按房产原值计税"</formula1>
    </dataValidation>
    <dataValidation type="list" allowBlank="1" showInputMessage="1" showErrorMessage="1" sqref="D33 D61" xr:uid="{C94F07D8-90A8-4965-B356-026E836BB193}">
      <formula1>"按租金收入计税,按房产原值计税,按票据"</formula1>
    </dataValidation>
    <dataValidation type="list" allowBlank="1" showInputMessage="1" showErrorMessage="1" sqref="C1" xr:uid="{EDE1866F-48B6-4B9F-82D9-02A24AB226CC}">
      <formula1>项目类型</formula1>
    </dataValidation>
    <dataValidation type="list" allowBlank="1" showInputMessage="1" showErrorMessage="1" sqref="J47" xr:uid="{746C6C8B-D0E7-4CE5-9C66-3F5BF9172630}">
      <formula1>"钢,钢混,砖混"</formula1>
    </dataValidation>
    <dataValidation type="list" allowBlank="1" showInputMessage="1" showErrorMessage="1" sqref="J48" xr:uid="{5591A98B-0C37-4382-9BBE-5F28603B7C94}">
      <formula1>"非生产用房,生产用房,受腐蚀的生产用房"</formula1>
    </dataValidation>
    <dataValidation type="list" allowBlank="1" showInputMessage="1" showErrorMessage="1" sqref="J56" xr:uid="{3C7356D6-D8F3-4714-A991-69DEF1AD7101}">
      <formula1>估价范围判定</formula1>
    </dataValidation>
    <dataValidation type="list" allowBlank="1" showInputMessage="1" showErrorMessage="1" sqref="L55" xr:uid="{22D9622E-AEB9-4F93-A760-A5F19157A829}">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3329</v>
      </c>
      <c r="C1" s="190"/>
      <c r="D1" s="190"/>
      <c r="E1" s="190"/>
      <c r="F1" s="190"/>
      <c r="G1" s="1058" t="e">
        <f>MATCH(B1,'数据-取费表'!A6:A16,0)+5</f>
        <v>#N/A</v>
      </c>
    </row>
    <row r="2" spans="1:9" s="192" customFormat="1" ht="18" customHeight="1">
      <c r="A2" s="193" t="s">
        <v>1462</v>
      </c>
      <c r="B2" s="194" t="e">
        <f ca="1">IF(D2="——",C52,C52-E2)</f>
        <v>#VALUE!</v>
      </c>
      <c r="C2" s="191" t="s">
        <v>1463</v>
      </c>
      <c r="D2" s="1707" t="s">
        <v>43</v>
      </c>
      <c r="E2" s="1085" t="e">
        <f ca="1">SUMIF(INDIRECT("'"&amp;G2&amp;"'"&amp;"!A:A"),"承租人权益价值",INDIRECT("'"&amp;G2&amp;"'"&amp;"!c:c"))</f>
        <v>#REF!</v>
      </c>
      <c r="F2" s="1708" t="s">
        <v>1463</v>
      </c>
      <c r="G2" s="1709"/>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t="e">
        <f ca="1">C6+C7+C8</f>
        <v>#VALUE!</v>
      </c>
      <c r="D5" s="203" t="s">
        <v>1469</v>
      </c>
      <c r="E5" s="204" t="s">
        <v>1470</v>
      </c>
      <c r="F5" s="204" t="s">
        <v>1471</v>
      </c>
      <c r="G5" s="205"/>
    </row>
    <row r="6" spans="1:9" s="206" customFormat="1" ht="13.5" customHeight="1">
      <c r="A6" s="728" t="s">
        <v>1472</v>
      </c>
      <c r="B6" s="207" t="s">
        <v>1473</v>
      </c>
      <c r="C6" s="208" t="e">
        <f>ROUND('基准地价修正 -办公'!I41/10000,0)</f>
        <v>#VALUE!</v>
      </c>
      <c r="D6" s="209"/>
      <c r="E6" s="210"/>
      <c r="F6" s="210"/>
      <c r="G6" s="211"/>
    </row>
    <row r="7" spans="1:9" s="206" customFormat="1" ht="13.5" customHeight="1">
      <c r="A7" s="728" t="s">
        <v>1474</v>
      </c>
      <c r="B7" s="207" t="s">
        <v>1475</v>
      </c>
      <c r="C7" s="212" t="e">
        <f>ROUND(C6*F7,0)</f>
        <v>#VALUE!</v>
      </c>
      <c r="D7" s="212"/>
      <c r="E7" s="210"/>
      <c r="F7" s="213">
        <f>IF(项目基本情况!B8="出让",0,'数据-取费表'!B48+'数据-取费表'!B49)</f>
        <v>3.0499999999999999E-2</v>
      </c>
      <c r="G7" s="211"/>
    </row>
    <row r="8" spans="1:9" s="215" customFormat="1">
      <c r="A8" s="728" t="s">
        <v>1476</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1502</v>
      </c>
      <c r="B23" s="207" t="s">
        <v>1503</v>
      </c>
      <c r="C23" s="1038" t="e">
        <f ca="1">ROUND(IF('数据-取费表'!B22&lt;=1,C5*F22*'数据-取费表'!B23,C5*(POWER((1+F22),'数据-取费表'!B23)-1)),0)</f>
        <v>#VALUE!</v>
      </c>
      <c r="D23" s="230"/>
      <c r="E23" s="230"/>
      <c r="F23" s="231"/>
      <c r="G23" s="232" t="s">
        <v>1504</v>
      </c>
    </row>
    <row r="24" spans="1:7" s="206" customFormat="1" ht="13.5" customHeight="1">
      <c r="A24" s="730" t="s">
        <v>1505</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1508</v>
      </c>
      <c r="B25" s="207" t="s">
        <v>1509</v>
      </c>
      <c r="C25" s="1038" t="e">
        <f ca="1">ROUND(IF('数据-取费表'!B22&lt;=1,C20*F22*'数据-取费表'!B23/2,C20*(POWER((1+F22),'数据-取费表'!B23/2)-1)),0)</f>
        <v>#VALUE!</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#VALUE!</v>
      </c>
      <c r="D27" s="227" t="e">
        <f ca="1">C29</f>
        <v>#N/A</v>
      </c>
      <c r="E27" s="228" t="s">
        <v>1514</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#VALUE!</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1543</v>
      </c>
      <c r="C42" s="230" t="e">
        <f ca="1">ROUND(IF('数据-取费表'!B22&lt;=1,C33*F22*'数据-取费表'!B21/2,C33*(POWER((1+F22),'数据-取费表'!B21/2)-1)),0)</f>
        <v>#N/A</v>
      </c>
      <c r="D42" s="230"/>
      <c r="E42" s="230"/>
      <c r="F42" s="231"/>
      <c r="G42" s="3348" t="s">
        <v>1544</v>
      </c>
    </row>
    <row r="43" spans="1:7" ht="13.5" customHeight="1">
      <c r="A43" s="730" t="s">
        <v>347</v>
      </c>
      <c r="B43" s="207" t="s">
        <v>1545</v>
      </c>
      <c r="C43" s="230" t="e">
        <f ca="1">ROUND(IF('数据-取费表'!B22&lt;=1,C39*F22*'数据-取费表'!B21/2,C39*(POWER((1+F22),'数据-取费表'!B21/2)-1)),0)</f>
        <v>#N/A</v>
      </c>
      <c r="D43" s="230"/>
      <c r="E43" s="230"/>
      <c r="F43" s="231"/>
      <c r="G43" s="3349"/>
    </row>
    <row r="44" spans="1:7" ht="13.5" customHeight="1">
      <c r="A44" s="730" t="s">
        <v>348</v>
      </c>
      <c r="B44" s="207" t="s">
        <v>1546</v>
      </c>
      <c r="C44" s="230">
        <f ca="1">ROUND(IF('数据-取费表'!B22&lt;=1,C40*F22*'数据-取费表'!B21/2,C40*(POWER((1+F22),'数据-取费表'!B21/2)-1)),4)</f>
        <v>5.9999999999999995E-4</v>
      </c>
      <c r="D44" s="230"/>
      <c r="E44" s="230"/>
      <c r="F44" s="231"/>
      <c r="G44" s="3350"/>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D2870-4E91-4EBF-8DB4-81A040F4962E}">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3329</v>
      </c>
      <c r="C1" s="1713" t="s">
        <v>1563</v>
      </c>
      <c r="D1" s="190"/>
      <c r="E1" s="190"/>
      <c r="F1" s="190"/>
      <c r="G1" s="1058" t="e">
        <f>MATCH(B1,'数据-取费表'!A6:A16,0)+5</f>
        <v>#N/A</v>
      </c>
      <c r="H1" s="994" t="str">
        <f>IF(ISERROR(FIND("住宅",B1)),"非住宅","住宅")</f>
        <v>非住宅</v>
      </c>
    </row>
    <row r="2" spans="1:8" s="192" customFormat="1" ht="18" customHeight="1">
      <c r="A2" s="193" t="s">
        <v>685</v>
      </c>
      <c r="B2" s="3114" t="e">
        <f ca="1">ROUND(IF(D2="——",C52/10000,C52/10000-E2),4)</f>
        <v>#VALUE!</v>
      </c>
      <c r="C2" s="191" t="s">
        <v>1463</v>
      </c>
      <c r="D2" s="1707" t="s">
        <v>43</v>
      </c>
      <c r="E2" s="1085" t="e">
        <f ca="1">SUMIF(INDIRECT("'"&amp;G2&amp;"'"&amp;"!A:A"),"承租人权益价值",INDIRECT("'"&amp;G2&amp;"'"&amp;"!c:c"))</f>
        <v>#REF!</v>
      </c>
      <c r="F2" s="1708" t="s">
        <v>1463</v>
      </c>
      <c r="G2" s="1709"/>
    </row>
    <row r="3" spans="1:8" s="192" customFormat="1" ht="18" customHeight="1" thickBot="1">
      <c r="A3" s="195" t="s">
        <v>686</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#VALUE!</v>
      </c>
      <c r="D5" s="203" t="s">
        <v>1469</v>
      </c>
      <c r="E5" s="204" t="s">
        <v>1470</v>
      </c>
      <c r="F5" s="204" t="s">
        <v>1471</v>
      </c>
      <c r="G5" s="205"/>
    </row>
    <row r="6" spans="1:8" s="206" customFormat="1" ht="13.5" customHeight="1">
      <c r="A6" s="728" t="s">
        <v>346</v>
      </c>
      <c r="B6" s="207" t="s">
        <v>1473</v>
      </c>
      <c r="C6" s="208" t="e">
        <f>'基准地价修正 -办公'!I41</f>
        <v>#VALUE!</v>
      </c>
      <c r="D6" s="209"/>
      <c r="E6" s="210"/>
      <c r="F6" s="210"/>
      <c r="G6" s="211"/>
    </row>
    <row r="7" spans="1:8" s="206" customFormat="1" ht="13.5" customHeight="1">
      <c r="A7" s="728" t="s">
        <v>347</v>
      </c>
      <c r="B7" s="207" t="s">
        <v>1475</v>
      </c>
      <c r="C7" s="212" t="e">
        <f>ROUND(C6*F7,0)</f>
        <v>#VALUE!</v>
      </c>
      <c r="D7" s="212"/>
      <c r="E7" s="210"/>
      <c r="F7" s="213">
        <f>IF(项目基本情况!B8="出让",0,'数据-取费表'!B48+'数据-取费表'!B49)</f>
        <v>3.0499999999999999E-2</v>
      </c>
      <c r="G7" s="211"/>
    </row>
    <row r="8" spans="1:8" s="215" customFormat="1">
      <c r="A8" s="728" t="s">
        <v>348</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230" t="e">
        <f ca="1">ROUND(IF('数据-取费表'!B22&lt;=1,C5*F22*'数据-取费表'!B22,C5*(POWER((1+F22),'数据-取费表'!B22)-1)),0)</f>
        <v>#VALUE!</v>
      </c>
      <c r="D23" s="230"/>
      <c r="E23" s="230"/>
      <c r="F23" s="231"/>
      <c r="G23" s="232" t="s">
        <v>1504</v>
      </c>
    </row>
    <row r="24" spans="1:7" s="206" customFormat="1" ht="13.5" customHeight="1">
      <c r="A24" s="730"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0" t="s">
        <v>348</v>
      </c>
      <c r="B25" s="207" t="s">
        <v>1509</v>
      </c>
      <c r="C25" s="230" t="e">
        <f ca="1">ROUND(IF('数据-取费表'!B22&lt;=1,C20*F22*'数据-取费表'!B22/2,C20*(POWER((1+F22),'数据-取费表'!B22/2)-1)),0)</f>
        <v>#VALUE!</v>
      </c>
      <c r="D25" s="230"/>
      <c r="E25" s="233"/>
      <c r="F25" s="231"/>
      <c r="G25" s="234" t="s">
        <v>1510</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#VALUE!</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ROUND((C5+C19+C20)*F27,0)</f>
        <v>#VALUE!</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ROUND(IF('数据-取费表'!B22&lt;=1,C33*F22*'数据-取费表'!B20/2,C33*(POWER((1+F22),'数据-取费表'!B20/2)-1)),0)</f>
        <v>#N/A</v>
      </c>
      <c r="D42" s="230"/>
      <c r="E42" s="230"/>
      <c r="F42" s="231"/>
      <c r="G42" s="3348" t="s">
        <v>1591</v>
      </c>
    </row>
    <row r="43" spans="1:7" ht="13.5" customHeight="1">
      <c r="A43" s="730" t="s">
        <v>347</v>
      </c>
      <c r="B43" s="207" t="s">
        <v>1506</v>
      </c>
      <c r="C43" s="230" t="e">
        <f ca="1">ROUND(IF('数据-取费表'!B22&lt;=1,C39*F22*'数据-取费表'!B20/2,C39*(POWER((1+F22),'数据-取费表'!B20/2)-1)),0)</f>
        <v>#N/A</v>
      </c>
      <c r="D43" s="230"/>
      <c r="E43" s="230"/>
      <c r="F43" s="231"/>
      <c r="G43" s="3349"/>
    </row>
    <row r="44" spans="1:7" ht="13.5" customHeight="1">
      <c r="A44" s="730" t="s">
        <v>348</v>
      </c>
      <c r="B44" s="207" t="s">
        <v>1509</v>
      </c>
      <c r="C44" s="230">
        <f ca="1">ROUND(IF('数据-取费表'!B22&lt;=1,C40*F22*'数据-取费表'!B20/2,C40*(POWER((1+F22),'数据-取费表'!B20/2)-1)),4)</f>
        <v>5.9999999999999995E-4</v>
      </c>
      <c r="D44" s="230"/>
      <c r="E44" s="230"/>
      <c r="F44" s="231"/>
      <c r="G44" s="3350"/>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6DFCE1D6-7775-4494-8436-F98E629E09DF}">
      <formula1>"需扣减承租人权益,——"</formula1>
    </dataValidation>
    <dataValidation type="list" allowBlank="1" showInputMessage="1" showErrorMessage="1" sqref="G2" xr:uid="{C6827274-5956-45F3-89A2-D8DC21EFD01D}">
      <formula1>估价方法</formula1>
    </dataValidation>
    <dataValidation type="list" allowBlank="1" showInputMessage="1" showErrorMessage="1" sqref="B1" xr:uid="{C4C5B3D1-D66C-48E8-A5BA-62D2766ECF5C}">
      <formula1>项目类型</formula1>
    </dataValidation>
    <dataValidation type="list" allowBlank="1" showInputMessage="1" showErrorMessage="1" sqref="G19" xr:uid="{3B3F9B85-B39F-4E4C-A25B-C4F0465CE4CA}">
      <formula1>"已包含在土地取得成本中,未包含在土地取得成本中"</formula1>
    </dataValidation>
    <dataValidation type="list" allowBlank="1" showInputMessage="1" showErrorMessage="1" sqref="G8" xr:uid="{D719488C-3802-436B-9245-C85BD331E6B2}">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A299C-CF8D-4903-9D97-181BF6BE9BD1}">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3329</v>
      </c>
      <c r="D1" s="1267" t="s">
        <v>43</v>
      </c>
      <c r="E1" s="1268" t="s">
        <v>678</v>
      </c>
      <c r="F1" s="995" t="e">
        <f ca="1">J53</f>
        <v>#N/A</v>
      </c>
      <c r="G1" s="1282"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t="e">
        <f ca="1">ROUND(D2/10000,4)</f>
        <v>#N/A</v>
      </c>
      <c r="C2" s="1285" t="s">
        <v>805</v>
      </c>
      <c r="D2" s="1371" t="e">
        <f ca="1">C40+J29+L46</f>
        <v>#N/A</v>
      </c>
      <c r="E2" s="1291" t="s">
        <v>880</v>
      </c>
      <c r="F2" s="1292"/>
      <c r="G2" s="2471"/>
      <c r="H2" s="2461"/>
      <c r="I2" s="2461"/>
      <c r="J2" s="2461"/>
      <c r="K2" s="2462"/>
      <c r="L2" s="2461"/>
      <c r="M2" s="2461"/>
    </row>
    <row r="3" spans="1:37" ht="18" customHeight="1" thickBot="1">
      <c r="A3" s="1293" t="s">
        <v>806</v>
      </c>
      <c r="B3" s="1294">
        <f ca="1">IF(ISERROR(D2/F43),0,ROUND(D2/F43,0))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t="e">
        <f ca="1">C6+C10+C12</f>
        <v>#N/A</v>
      </c>
      <c r="D5" s="1269" t="s">
        <v>693</v>
      </c>
      <c r="E5" s="1004"/>
      <c r="F5" s="1005"/>
      <c r="G5" s="1288"/>
      <c r="H5" s="291">
        <v>1</v>
      </c>
      <c r="I5" s="292" t="s">
        <v>692</v>
      </c>
      <c r="J5" s="1003" t="e">
        <f ca="1">J6+J10+J12</f>
        <v>#N/A</v>
      </c>
      <c r="K5" s="1269" t="s">
        <v>693</v>
      </c>
      <c r="L5" s="1004"/>
      <c r="M5" s="1005"/>
    </row>
    <row r="6" spans="1:37" ht="18" customHeight="1">
      <c r="A6" s="1002" t="s">
        <v>398</v>
      </c>
      <c r="B6" s="3351" t="s">
        <v>694</v>
      </c>
      <c r="C6" s="1007" t="e">
        <f ca="1">ROUND(F6*F8*F7*(1-F9),0)</f>
        <v>#N/A</v>
      </c>
      <c r="D6" s="147" t="s">
        <v>2106</v>
      </c>
      <c r="E6" s="294" t="s">
        <v>696</v>
      </c>
      <c r="F6" s="295" t="e">
        <f ca="1">INDIRECT("'数据-取费表'!u"&amp;$G$1)</f>
        <v>#N/A</v>
      </c>
      <c r="G6" s="1288"/>
      <c r="H6" s="1002" t="s">
        <v>398</v>
      </c>
      <c r="I6" s="3351" t="s">
        <v>694</v>
      </c>
      <c r="J6" s="293" t="e">
        <f ca="1">ROUND(M6*M8*M7*(1-M9),0)</f>
        <v>#N/A</v>
      </c>
      <c r="K6" s="1280" t="s">
        <v>2107</v>
      </c>
      <c r="L6" s="294" t="s">
        <v>696</v>
      </c>
      <c r="M6" s="295" t="e">
        <f ca="1">INDIRECT("'数据-取费表'!z"&amp;$G$1)</f>
        <v>#N/A</v>
      </c>
    </row>
    <row r="7" spans="1:37" ht="18" customHeight="1">
      <c r="A7" s="1006"/>
      <c r="B7" s="3352"/>
      <c r="C7" s="1008"/>
      <c r="D7" s="299"/>
      <c r="E7" s="1009" t="s">
        <v>697</v>
      </c>
      <c r="F7" s="295" t="e">
        <f ca="1">IF(INDIRECT("'数据-取费表'!ah"&amp;$G$1)="",INDIRECT("'数据-取费表'!k"&amp;$G$1),INDIRECT("'数据-取费表'!ah"&amp;$G$1))</f>
        <v>#N/A</v>
      </c>
      <c r="G7" s="1288"/>
      <c r="H7" s="296"/>
      <c r="I7" s="3352"/>
      <c r="J7" s="298"/>
      <c r="K7" s="299"/>
      <c r="L7" s="294" t="s">
        <v>697</v>
      </c>
      <c r="M7" s="295" t="e">
        <f ca="1">F7</f>
        <v>#N/A</v>
      </c>
    </row>
    <row r="8" spans="1:37" ht="18" customHeight="1">
      <c r="A8" s="296"/>
      <c r="B8" s="3352"/>
      <c r="C8" s="298"/>
      <c r="D8" s="299"/>
      <c r="E8" s="294" t="s">
        <v>698</v>
      </c>
      <c r="F8" s="295" t="e">
        <f ca="1">INDIRECT("'数据-取费表'!ai"&amp;$G$1)</f>
        <v>#N/A</v>
      </c>
      <c r="G8" s="1288"/>
      <c r="H8" s="296"/>
      <c r="I8" s="3352"/>
      <c r="J8" s="298"/>
      <c r="K8" s="299"/>
      <c r="L8" s="294" t="s">
        <v>698</v>
      </c>
      <c r="M8" s="295" t="e">
        <f ca="1">INDIRECT("'数据-取费表'!ai"&amp;$G$1)</f>
        <v>#N/A</v>
      </c>
    </row>
    <row r="9" spans="1:37" ht="18" customHeight="1">
      <c r="A9" s="296"/>
      <c r="B9" s="3353"/>
      <c r="C9" s="298"/>
      <c r="D9" s="299"/>
      <c r="E9" s="294" t="s">
        <v>699</v>
      </c>
      <c r="F9" s="304" t="e">
        <f ca="1">INDIRECT("'数据-取费表'!w"&amp;$G$1)</f>
        <v>#N/A</v>
      </c>
      <c r="G9" s="1288"/>
      <c r="H9" s="296"/>
      <c r="I9" s="3353"/>
      <c r="J9" s="298"/>
      <c r="K9" s="299"/>
      <c r="L9" s="305" t="s">
        <v>699</v>
      </c>
      <c r="M9" s="306" t="e">
        <f ca="1">INDIRECT("'数据-取费表'!ab"&amp;$G$1)</f>
        <v>#N/A</v>
      </c>
    </row>
    <row r="10" spans="1:37" ht="18" customHeight="1">
      <c r="A10" s="1002" t="s">
        <v>402</v>
      </c>
      <c r="B10" s="1270" t="s">
        <v>700</v>
      </c>
      <c r="C10" s="308" t="e">
        <f ca="1">ROUND(IF(F10="押一",C6/12*F11,IF(F10="押二",C6/12*2*F11,IF(F10="押三",C6/12*3*F11,C11*F11))),0)</f>
        <v>#N/A</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t="e">
        <f ca="1">ROUND(C29*F13,0)</f>
        <v>#N/A</v>
      </c>
      <c r="D13" s="1014" t="s">
        <v>705</v>
      </c>
      <c r="E13" s="1014" t="s">
        <v>706</v>
      </c>
      <c r="F13" s="1015" t="e">
        <f ca="1">INDIRECT("'数据-取费表'!y"&amp;$G$1)</f>
        <v>#N/A</v>
      </c>
      <c r="G13" s="1288"/>
      <c r="H13" s="1012">
        <v>2</v>
      </c>
      <c r="I13" s="1013" t="s">
        <v>704</v>
      </c>
      <c r="J13" s="1001" t="e">
        <f ca="1">ROUND(J14*J15,0)</f>
        <v>#N/A</v>
      </c>
      <c r="K13" s="1020" t="s">
        <v>705</v>
      </c>
      <c r="L13" s="1295"/>
      <c r="M13" s="1296"/>
    </row>
    <row r="14" spans="1:37" ht="18" customHeight="1">
      <c r="A14" s="924" t="s">
        <v>397</v>
      </c>
      <c r="B14" s="294" t="s">
        <v>707</v>
      </c>
      <c r="C14" s="310" t="e">
        <f ca="1">ROUND(INDIRECT("'数据-取费表'!l"&amp;$G$1)*F43+'数据-取费表'!L14*INDIRECT("'数据-取费表'!S"&amp;$G$1),0)</f>
        <v>#N/A</v>
      </c>
      <c r="D14" s="1253" t="s">
        <v>708</v>
      </c>
      <c r="E14" s="1251"/>
      <c r="F14" s="311"/>
      <c r="G14" s="1288"/>
      <c r="H14" s="924" t="s">
        <v>398</v>
      </c>
      <c r="I14" s="294" t="s">
        <v>709</v>
      </c>
      <c r="J14" s="21" t="e">
        <f ca="1">C29</f>
        <v>#N/A</v>
      </c>
      <c r="K14" s="12"/>
      <c r="L14" s="755"/>
      <c r="M14" s="756"/>
    </row>
    <row r="15" spans="1:37" s="1300" customFormat="1" ht="18" customHeight="1" thickBot="1">
      <c r="A15" s="924" t="s">
        <v>399</v>
      </c>
      <c r="B15" s="294" t="s">
        <v>710</v>
      </c>
      <c r="C15" s="21" t="e">
        <f ca="1">ROUND(C14*F15,0)</f>
        <v>#N/A</v>
      </c>
      <c r="D15" s="312" t="s">
        <v>711</v>
      </c>
      <c r="E15" s="312" t="s">
        <v>712</v>
      </c>
      <c r="F15" s="313">
        <f>'数据-取费表'!B33</f>
        <v>0.03</v>
      </c>
      <c r="G15" s="1299"/>
      <c r="H15" s="1022" t="s">
        <v>402</v>
      </c>
      <c r="I15" s="1023" t="s">
        <v>706</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t="e">
        <f ca="1">ROUND(INDIRECT("'数据-取费表'!l"&amp;$G$1)*F43*F16,0)</f>
        <v>#N/A</v>
      </c>
      <c r="D16" s="294" t="s">
        <v>711</v>
      </c>
      <c r="E16" s="294" t="s">
        <v>712</v>
      </c>
      <c r="F16" s="314" t="e">
        <f ca="1">IF(INDIRECT("'数据-取费表'!c"&amp;$G$1)="住宅",'数据-取费表'!B34,0)</f>
        <v>#N/A</v>
      </c>
      <c r="G16" s="1288"/>
      <c r="H16" s="1012" t="s">
        <v>393</v>
      </c>
      <c r="I16" s="1013" t="s">
        <v>714</v>
      </c>
      <c r="J16" s="302" t="e">
        <f ca="1">ROUND(J17+J22+J23+J24,0)</f>
        <v>#N/A</v>
      </c>
      <c r="K16" s="1020" t="s">
        <v>715</v>
      </c>
      <c r="L16" s="1021"/>
      <c r="M16" s="1005"/>
    </row>
    <row r="17" spans="1:37" s="1300" customFormat="1" ht="18" customHeight="1">
      <c r="A17" s="924" t="s">
        <v>681</v>
      </c>
      <c r="B17" s="294" t="s">
        <v>716</v>
      </c>
      <c r="C17" s="21" t="e">
        <f ca="1">ROUND(F17*(F43+INDIRECT("'数据-取费表'!S"&amp;$G$1)),0)</f>
        <v>#N/A</v>
      </c>
      <c r="D17" s="294" t="s">
        <v>717</v>
      </c>
      <c r="E17" s="294" t="s">
        <v>718</v>
      </c>
      <c r="F17" s="23">
        <f>'数据-取费表'!B35</f>
        <v>120</v>
      </c>
      <c r="G17" s="1299"/>
      <c r="H17" s="924" t="s">
        <v>398</v>
      </c>
      <c r="I17" s="294" t="s">
        <v>719</v>
      </c>
      <c r="J17" s="2134" t="e">
        <f ca="1">ROUND(IF(AND(项目基本情况!B11="自然人",项目基本情况!B10="北京市"),J6*M17/(1+'数据-取费表'!C42),J18+J19+J20),0)</f>
        <v>#N/A</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t="e">
        <f ca="1">ROUND(C14*F18,0)</f>
        <v>#N/A</v>
      </c>
      <c r="D18" s="294" t="s">
        <v>711</v>
      </c>
      <c r="E18" s="294" t="s">
        <v>712</v>
      </c>
      <c r="F18" s="314">
        <f>'数据-取费表'!B36</f>
        <v>1.4999999999999999E-2</v>
      </c>
      <c r="G18" s="1299"/>
      <c r="H18" s="924" t="s">
        <v>397</v>
      </c>
      <c r="I18" s="294" t="s">
        <v>723</v>
      </c>
      <c r="J18" s="21" t="e">
        <f ca="1">ROUND(J6*M18/(1+'数据-取费表'!C42),0)</f>
        <v>#N/A</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t="e">
        <f ca="1">SUM(C14:C18)</f>
        <v>#N/A</v>
      </c>
      <c r="D19" s="123" t="s">
        <v>726</v>
      </c>
      <c r="E19" s="1265"/>
      <c r="F19" s="23"/>
      <c r="G19" s="1288"/>
      <c r="H19" s="924" t="s">
        <v>399</v>
      </c>
      <c r="I19" s="294" t="s">
        <v>727</v>
      </c>
      <c r="J19" s="21" t="e">
        <f ca="1">IF(K19="按租金收入计税",ROUND(J6*M19/(1+'数据-取费表'!C42),0),ROUND(C29*M19*0.7,0))</f>
        <v>#N/A</v>
      </c>
      <c r="K19" s="1274" t="s">
        <v>3331</v>
      </c>
      <c r="L19" s="294" t="s">
        <v>712</v>
      </c>
      <c r="M19" s="314">
        <f>IF(K19="按租金收入计税",'数据-取费表'!B51,'数据-取费表'!B50)</f>
        <v>0.12</v>
      </c>
    </row>
    <row r="20" spans="1:37" s="1300" customFormat="1" ht="18" customHeight="1">
      <c r="A20" s="924" t="s">
        <v>402</v>
      </c>
      <c r="B20" s="294" t="s">
        <v>728</v>
      </c>
      <c r="C20" s="21" t="e">
        <f ca="1">ROUND(C19*F20,0)</f>
        <v>#N/A</v>
      </c>
      <c r="D20" s="315" t="s">
        <v>729</v>
      </c>
      <c r="E20" s="294" t="s">
        <v>712</v>
      </c>
      <c r="F20" s="314">
        <f>'数据-取费表'!B37</f>
        <v>0.02</v>
      </c>
      <c r="G20" s="1299"/>
      <c r="H20" s="924" t="s">
        <v>680</v>
      </c>
      <c r="I20" s="147" t="s">
        <v>730</v>
      </c>
      <c r="J20" s="22" t="e">
        <f ca="1">ROUND(M20*M21,0)</f>
        <v>#N/A</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t="e">
        <f ca="1">ROUND(J14*M22,0)</f>
        <v>#N/A</v>
      </c>
      <c r="K22" s="1252" t="s">
        <v>739</v>
      </c>
      <c r="L22" s="294" t="s">
        <v>712</v>
      </c>
      <c r="M22" s="320" t="e">
        <f ca="1">INDIRECT("'数据-取费表'!Ak"&amp;$G$1)</f>
        <v>#N/A</v>
      </c>
    </row>
    <row r="23" spans="1:37" s="1300" customFormat="1" ht="18" customHeight="1">
      <c r="A23" s="924"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t="e">
        <f ca="1">ROUND(J13*M23,0)</f>
        <v>#N/A</v>
      </c>
      <c r="K23" s="1252" t="s">
        <v>743</v>
      </c>
      <c r="L23" s="294" t="s">
        <v>712</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t="e">
        <f ca="1">ROUND(J5*M24,0)</f>
        <v>#N/A</v>
      </c>
      <c r="K24" s="1025" t="s">
        <v>748</v>
      </c>
      <c r="L24" s="1023" t="s">
        <v>712</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t="e">
        <f ca="1">J5-J16</f>
        <v>#N/A</v>
      </c>
      <c r="K25" s="1028" t="s">
        <v>753</v>
      </c>
      <c r="L25" s="1029"/>
      <c r="M25" s="1030"/>
    </row>
    <row r="26" spans="1:37" ht="18" customHeight="1">
      <c r="A26" s="924" t="s">
        <v>397</v>
      </c>
      <c r="B26" s="294" t="s">
        <v>754</v>
      </c>
      <c r="C26" s="21" t="e">
        <f ca="1">ROUND((C19+C20)*F26,0)</f>
        <v>#N/A</v>
      </c>
      <c r="D26" s="315" t="s">
        <v>755</v>
      </c>
      <c r="E26" s="305" t="s">
        <v>756</v>
      </c>
      <c r="F26" s="304" t="e">
        <f ca="1">INDIRECT("'数据-取费表'!q"&amp;$G$1)</f>
        <v>#N/A</v>
      </c>
      <c r="G26" s="1288"/>
      <c r="H26" s="291" t="s">
        <v>395</v>
      </c>
      <c r="I26" s="292" t="s">
        <v>757</v>
      </c>
      <c r="J26" s="293" t="e">
        <f ca="1">IF(J5&lt;&gt;0,ROUND(J25*(1-((1+M28)/(1+M26))^M27)/(M26-M28),0),0)</f>
        <v>#N/A</v>
      </c>
      <c r="K26" s="316" t="s">
        <v>758</v>
      </c>
      <c r="L26" s="294" t="s">
        <v>759</v>
      </c>
      <c r="M26" s="304" t="e">
        <f ca="1">INDIRECT("'数据-取费表'!I"&amp;$G$1)</f>
        <v>#N/A</v>
      </c>
    </row>
    <row r="27" spans="1:37" ht="18" customHeight="1">
      <c r="A27" s="924" t="s">
        <v>399</v>
      </c>
      <c r="B27" s="294" t="s">
        <v>760</v>
      </c>
      <c r="C27" s="21" t="e">
        <f ca="1">ROUND(F21*F26,4)</f>
        <v>#N/A</v>
      </c>
      <c r="D27" s="315" t="s">
        <v>761</v>
      </c>
      <c r="E27" s="312"/>
      <c r="F27" s="313"/>
      <c r="G27" s="1288"/>
      <c r="H27" s="296"/>
      <c r="I27" s="297"/>
      <c r="J27" s="298"/>
      <c r="K27" s="323" t="s">
        <v>762</v>
      </c>
      <c r="L27" s="294" t="s">
        <v>763</v>
      </c>
      <c r="M27" s="324" t="e">
        <f ca="1">INDIRECT("'数据-取费表'!ag"&amp;$G$1)</f>
        <v>#N/A</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t="e">
        <f ca="1">ROUND((C19+C20+C23+C26)/(1-F21-C24-C27-C28),0)</f>
        <v>#N/A</v>
      </c>
      <c r="D29" s="1025"/>
      <c r="E29" s="1023"/>
      <c r="F29" s="1026"/>
      <c r="G29" s="1299"/>
      <c r="H29" s="325" t="s">
        <v>396</v>
      </c>
      <c r="I29" s="326" t="s">
        <v>768</v>
      </c>
      <c r="J29" s="327" t="e">
        <f ca="1">ROUND(J26/(1+F40)^F41,0)</f>
        <v>#N/A</v>
      </c>
      <c r="K29" s="328" t="s">
        <v>769</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t="e">
        <f ca="1">ROUND(C31+C36+C37+C38,0)</f>
        <v>#N/A</v>
      </c>
      <c r="D30" s="1020" t="s">
        <v>715</v>
      </c>
      <c r="E30" s="1021"/>
      <c r="F30" s="1005"/>
      <c r="G30" s="1288"/>
      <c r="H30" s="2463"/>
      <c r="I30" s="1301"/>
      <c r="J30" s="1302"/>
      <c r="K30" s="121"/>
      <c r="L30" s="2464"/>
      <c r="M30" s="2465"/>
    </row>
    <row r="31" spans="1:37" ht="18" customHeight="1">
      <c r="A31" s="924" t="s">
        <v>398</v>
      </c>
      <c r="B31" s="294" t="s">
        <v>719</v>
      </c>
      <c r="C31" s="2134" t="e">
        <f ca="1">ROUND(IF(AND(项目基本情况!B11="自然人",项目基本情况!B10="北京市"),C6*F31/(1+'数据-取费表'!C42),C32+C33+C34),0)</f>
        <v>#N/A</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t="e">
        <f ca="1">IF(项目基本情况!B11="自然人","——",ROUND(C6*F32/(1+'数据-取费表'!C42),0))</f>
        <v>#N/A</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t="e">
        <f ca="1">IF(项目基本情况!B11="自然人","——",IF(D33="按租金收入计税",ROUND(C6*F33/(1+'数据-取费表'!C42),0),IF(D33="按房产原值计税",ROUND(C29*F33*0.7,0),INDIRECT("'数据-取费表'!Aj"&amp;$G$1))))</f>
        <v>#N/A</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t="e">
        <f ca="1">IF(项目基本情况!B11="自然人","——",ROUND(F34*F35,0))</f>
        <v>#N/A</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t="e">
        <f ca="1">INDIRECT("'数据-取费表'!r"&amp;$G$1)</f>
        <v>#N/A</v>
      </c>
      <c r="G35" s="1288"/>
      <c r="H35" s="2463"/>
      <c r="I35" s="1301"/>
      <c r="J35" s="1302"/>
      <c r="K35" s="2467"/>
      <c r="L35" s="2466"/>
      <c r="M35" s="2466"/>
    </row>
    <row r="36" spans="1:18" ht="18" customHeight="1">
      <c r="A36" s="1035" t="s">
        <v>402</v>
      </c>
      <c r="B36" s="294" t="s">
        <v>738</v>
      </c>
      <c r="C36" s="21" t="e">
        <f ca="1">ROUND(C29*F36,0)</f>
        <v>#N/A</v>
      </c>
      <c r="D36" s="1252" t="s">
        <v>771</v>
      </c>
      <c r="E36" s="294" t="s">
        <v>712</v>
      </c>
      <c r="F36" s="320" t="e">
        <f ca="1">INDIRECT("'数据-取费表'!Ak"&amp;$G$1)</f>
        <v>#N/A</v>
      </c>
      <c r="G36" s="1288"/>
      <c r="H36" s="2466"/>
      <c r="I36" s="1301"/>
      <c r="J36" s="1302"/>
      <c r="K36" s="2323"/>
      <c r="L36" s="2466"/>
      <c r="M36" s="2466"/>
    </row>
    <row r="37" spans="1:18" ht="18" customHeight="1">
      <c r="A37" s="924" t="s">
        <v>437</v>
      </c>
      <c r="B37" s="294" t="s">
        <v>742</v>
      </c>
      <c r="C37" s="21" t="e">
        <f ca="1">ROUND(C13*F37,0)</f>
        <v>#N/A</v>
      </c>
      <c r="D37" s="1252" t="s">
        <v>743</v>
      </c>
      <c r="E37" s="294" t="s">
        <v>712</v>
      </c>
      <c r="F37" s="321" t="e">
        <f ca="1">INDIRECT("'数据-取费表'!Al"&amp;$G$1)</f>
        <v>#N/A</v>
      </c>
      <c r="G37" s="1288"/>
      <c r="H37" s="2466"/>
      <c r="I37" s="1301"/>
      <c r="J37" s="1302"/>
      <c r="K37" s="2323"/>
      <c r="L37" s="2466"/>
      <c r="M37" s="2466"/>
    </row>
    <row r="38" spans="1:18" ht="18" customHeight="1" thickBot="1">
      <c r="A38" s="1022" t="s">
        <v>683</v>
      </c>
      <c r="B38" s="1023" t="s">
        <v>728</v>
      </c>
      <c r="C38" s="1024" t="e">
        <f ca="1">ROUND(C5*F38,0)</f>
        <v>#N/A</v>
      </c>
      <c r="D38" s="1025" t="s">
        <v>748</v>
      </c>
      <c r="E38" s="1023" t="s">
        <v>712</v>
      </c>
      <c r="F38" s="1019" t="e">
        <f ca="1">INDIRECT("'数据-取费表'!Am"&amp;$G$1)</f>
        <v>#N/A</v>
      </c>
      <c r="G38" s="1288"/>
      <c r="H38" s="2466"/>
      <c r="I38" s="1301"/>
      <c r="J38" s="1302"/>
      <c r="K38" s="2464"/>
      <c r="L38" s="2466"/>
      <c r="M38" s="2466"/>
    </row>
    <row r="39" spans="1:18" ht="24.6" customHeight="1" thickTop="1">
      <c r="A39" s="1012" t="s">
        <v>394</v>
      </c>
      <c r="B39" s="1027" t="s">
        <v>752</v>
      </c>
      <c r="C39" s="302" t="e">
        <f ca="1">C5-C30</f>
        <v>#N/A</v>
      </c>
      <c r="D39" s="1028" t="s">
        <v>753</v>
      </c>
      <c r="E39" s="1029"/>
      <c r="F39" s="1030"/>
      <c r="G39" s="1288"/>
      <c r="H39" s="2466"/>
      <c r="I39" s="1301"/>
      <c r="J39" s="1302"/>
      <c r="K39" s="2464"/>
      <c r="L39" s="2466"/>
      <c r="M39" s="2466"/>
    </row>
    <row r="40" spans="1:18" ht="18" customHeight="1">
      <c r="A40" s="291" t="s">
        <v>395</v>
      </c>
      <c r="B40" s="292" t="s">
        <v>774</v>
      </c>
      <c r="C40" s="293" t="e">
        <f ca="1">ROUND(C39*(1-((1+F42)/(1+F40))^F41)/(F40-F42),0)</f>
        <v>#N/A</v>
      </c>
      <c r="D40" s="316" t="s">
        <v>758</v>
      </c>
      <c r="E40" s="294" t="s">
        <v>759</v>
      </c>
      <c r="F40" s="304" t="e">
        <f ca="1">INDIRECT("'数据-取费表'!I"&amp;$G$1)</f>
        <v>#N/A</v>
      </c>
      <c r="G40" s="1288"/>
      <c r="H40" s="1362"/>
      <c r="I40" s="1301"/>
      <c r="J40" s="1302"/>
      <c r="K40" s="2464"/>
      <c r="L40" s="1362"/>
      <c r="M40" s="1362"/>
    </row>
    <row r="41" spans="1:18" ht="18" customHeight="1">
      <c r="A41" s="296"/>
      <c r="B41" s="297"/>
      <c r="C41" s="298"/>
      <c r="D41" s="323" t="s">
        <v>775</v>
      </c>
      <c r="E41" s="294" t="s">
        <v>763</v>
      </c>
      <c r="F41" s="324" t="e">
        <f ca="1">IF(INDIRECT("'数据-取费表'!af"&amp;$G$1)=0,INDIRECT("'数据-取费表'!ae"&amp;$G$1),INDIRECT("'数据-取费表'!af"&amp;$G$1))</f>
        <v>#N/A</v>
      </c>
      <c r="G41" s="1288"/>
      <c r="H41" s="121"/>
      <c r="I41" s="1301"/>
      <c r="J41" s="1302"/>
      <c r="K41" s="2323"/>
      <c r="L41" s="121"/>
      <c r="M41" s="121"/>
    </row>
    <row r="42" spans="1:18" ht="18" customHeight="1">
      <c r="A42" s="300"/>
      <c r="B42" s="301"/>
      <c r="C42" s="302"/>
      <c r="D42" s="319"/>
      <c r="E42" s="294" t="s">
        <v>766</v>
      </c>
      <c r="F42" s="304" t="e">
        <f ca="1">INDIRECT("'数据-取费表'!v"&amp;$G$1)</f>
        <v>#N/A</v>
      </c>
      <c r="G42" s="1288"/>
      <c r="H42" s="121"/>
      <c r="I42" s="1301"/>
      <c r="J42" s="1302"/>
      <c r="K42" s="2323"/>
      <c r="L42" s="121"/>
      <c r="M42" s="121"/>
    </row>
    <row r="43" spans="1:18" ht="18" customHeight="1" thickBot="1">
      <c r="A43" s="325" t="s">
        <v>396</v>
      </c>
      <c r="B43" s="326" t="s">
        <v>776</v>
      </c>
      <c r="C43" s="327" t="e">
        <f ca="1">ROUND(C40/F43,0)</f>
        <v>#N/A</v>
      </c>
      <c r="D43" s="328" t="s">
        <v>777</v>
      </c>
      <c r="E43" s="329" t="s">
        <v>778</v>
      </c>
      <c r="F43" s="330" t="e">
        <f ca="1">INDIRECT("'数据-取费表'!k"&amp;$G$1)</f>
        <v>#N/A</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#N/A</v>
      </c>
      <c r="D45" s="3121" t="s">
        <v>3348</v>
      </c>
      <c r="E45" s="1303"/>
      <c r="F45" s="1303"/>
      <c r="O45" s="1306" t="s">
        <v>808</v>
      </c>
      <c r="P45" s="1362"/>
      <c r="Q45" s="1362"/>
      <c r="R45" s="1362"/>
    </row>
    <row r="46" spans="1:18" s="1288" customFormat="1" ht="13.5" thickBot="1">
      <c r="A46" s="1307" t="s">
        <v>809</v>
      </c>
      <c r="C46" s="1308" t="e">
        <f ca="1">ROUND(C45,0)</f>
        <v>#N/A</v>
      </c>
      <c r="D46" s="1309" t="str">
        <f>C2</f>
        <v>万元</v>
      </c>
      <c r="I46" s="1310" t="s">
        <v>810</v>
      </c>
      <c r="J46" s="1311"/>
      <c r="K46" s="1312"/>
      <c r="L46" s="1313" t="e">
        <f ca="1">IF(M47="住宅",0,IF(L48&gt;J51,L60,J60))</f>
        <v>#N/A</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3" t="s">
        <v>438</v>
      </c>
      <c r="B48" s="292" t="s">
        <v>692</v>
      </c>
      <c r="C48" s="1264" t="e">
        <f ca="1">C49+C53+C55</f>
        <v>#N/A</v>
      </c>
      <c r="D48" s="1045"/>
      <c r="E48" s="1046"/>
      <c r="F48" s="904"/>
      <c r="G48" s="681"/>
      <c r="H48" s="682"/>
      <c r="I48" s="1324" t="s">
        <v>819</v>
      </c>
      <c r="J48" s="1325" t="s">
        <v>3448</v>
      </c>
      <c r="K48" s="1326" t="s">
        <v>820</v>
      </c>
      <c r="L48" s="1327" t="e">
        <f ca="1">INDIRECT("'数据-取费表'!f"&amp;$G$1)</f>
        <v>#N/A</v>
      </c>
      <c r="O48" s="1321" t="s">
        <v>404</v>
      </c>
      <c r="P48" s="1322" t="s">
        <v>821</v>
      </c>
      <c r="Q48" s="1323" t="e">
        <f ca="1">J60</f>
        <v>#N/A</v>
      </c>
      <c r="R48" s="1323" t="s">
        <v>822</v>
      </c>
    </row>
    <row r="49" spans="1:18" s="1288" customFormat="1" ht="13.5" thickBot="1">
      <c r="A49" s="917" t="s">
        <v>439</v>
      </c>
      <c r="B49" s="1275" t="s">
        <v>779</v>
      </c>
      <c r="C49" s="1047" t="e">
        <f ca="1">ROUND(F49*F51*F50*(1-F52),0)</f>
        <v>#N/A</v>
      </c>
      <c r="D49" s="988" t="s">
        <v>695</v>
      </c>
      <c r="E49" s="1276" t="s">
        <v>780</v>
      </c>
      <c r="F49" s="993"/>
      <c r="H49" s="682"/>
      <c r="I49" s="1324" t="s">
        <v>823</v>
      </c>
      <c r="J49" s="1328">
        <v>2022</v>
      </c>
      <c r="K49" s="1326" t="s">
        <v>824</v>
      </c>
      <c r="L49" s="1329"/>
      <c r="O49" s="1330" t="s">
        <v>405</v>
      </c>
      <c r="P49" s="1322" t="s">
        <v>825</v>
      </c>
      <c r="Q49" s="1323" t="e">
        <f ca="1">C29</f>
        <v>#N/A</v>
      </c>
      <c r="R49" s="1323" t="s">
        <v>818</v>
      </c>
    </row>
    <row r="50" spans="1:18" s="1288" customFormat="1" ht="13.5" thickBot="1">
      <c r="A50" s="918"/>
      <c r="B50" s="921"/>
      <c r="C50" s="922"/>
      <c r="D50" s="895"/>
      <c r="E50" s="989" t="s">
        <v>697</v>
      </c>
      <c r="F50" s="990" t="e">
        <f ca="1">F7</f>
        <v>#N/A</v>
      </c>
      <c r="H50" s="682"/>
      <c r="I50" s="1324" t="s">
        <v>826</v>
      </c>
      <c r="J50" s="1331">
        <f>SUMPRODUCT((I63:I65=J47)*(J62:L62=J48)*(J63:L65))</f>
        <v>60</v>
      </c>
      <c r="K50" s="1326" t="s">
        <v>827</v>
      </c>
      <c r="L50" s="1329"/>
      <c r="M50" s="1332"/>
      <c r="O50" s="1330" t="s">
        <v>406</v>
      </c>
      <c r="P50" s="1322" t="s">
        <v>828</v>
      </c>
      <c r="Q50" s="1333" t="e">
        <f ca="1">J58</f>
        <v>#N/A</v>
      </c>
      <c r="R50" s="1323"/>
    </row>
    <row r="51" spans="1:18" s="1288" customFormat="1" ht="13.5" thickBot="1">
      <c r="A51" s="919"/>
      <c r="B51" s="921"/>
      <c r="C51" s="922"/>
      <c r="D51" s="895"/>
      <c r="E51" s="923" t="s">
        <v>698</v>
      </c>
      <c r="F51" s="295" t="e">
        <f ca="1">F8</f>
        <v>#N/A</v>
      </c>
      <c r="I51" s="1334" t="s">
        <v>829</v>
      </c>
      <c r="J51" s="1327">
        <f>IF(J49="",J50,J49+J50-YEAR('数据-取费表'!B2))</f>
        <v>57</v>
      </c>
      <c r="K51" s="1335" t="s">
        <v>830</v>
      </c>
      <c r="L51" s="1336" t="e">
        <f ca="1">ROUND(-PV(INDIRECT("'数据-取费表'!h"&amp;$G$1),J51,(C39-C13*C76),0),0)</f>
        <v>#N/A</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f>'数据-取费表'!J8</f>
        <v>0</v>
      </c>
      <c r="K52" s="1338" t="s">
        <v>833</v>
      </c>
      <c r="L52" s="1339"/>
      <c r="O52" s="1330" t="s">
        <v>408</v>
      </c>
      <c r="P52" s="1322" t="s">
        <v>834</v>
      </c>
      <c r="Q52" s="1323" t="e">
        <f ca="1">J53</f>
        <v>#N/A</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t="e">
        <f ca="1">IF(M47="住宅",IF(D1="——",MAX(J51,L48),MAX(J51,L48-'数据-取费表'!B24)),IF(D1="——",MIN(J51,L48),MIN(J51,L48-'数据-取费表'!B24)))</f>
        <v>#N/A</v>
      </c>
      <c r="K53" s="3354" t="s">
        <v>837</v>
      </c>
      <c r="L53" s="3355"/>
      <c r="O53" s="1321" t="s">
        <v>409</v>
      </c>
      <c r="P53" s="1322" t="s">
        <v>838</v>
      </c>
      <c r="Q53" s="1323" t="e">
        <f ca="1">Q47+Q48</f>
        <v>#N/A</v>
      </c>
      <c r="R53" s="1323" t="s">
        <v>410</v>
      </c>
    </row>
    <row r="54" spans="1:18" s="1288" customFormat="1" ht="13.5" thickBot="1">
      <c r="A54" s="917"/>
      <c r="B54" s="1373" t="s">
        <v>891</v>
      </c>
      <c r="C54" s="901"/>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#N/A</v>
      </c>
      <c r="K55" s="1346" t="s">
        <v>841</v>
      </c>
      <c r="L55" s="1347"/>
      <c r="O55" s="1314" t="s">
        <v>811</v>
      </c>
      <c r="P55" s="1315" t="s">
        <v>812</v>
      </c>
      <c r="Q55" s="1316" t="s">
        <v>813</v>
      </c>
      <c r="R55" s="1316" t="s">
        <v>814</v>
      </c>
    </row>
    <row r="56" spans="1:18" s="1288" customFormat="1" ht="36" customHeight="1" thickTop="1" thickBot="1">
      <c r="A56" s="899">
        <v>2</v>
      </c>
      <c r="B56" s="900" t="s">
        <v>704</v>
      </c>
      <c r="C56" s="224" t="e">
        <f ca="1">C13</f>
        <v>#N/A</v>
      </c>
      <c r="D56" s="1348"/>
      <c r="E56" s="1349"/>
      <c r="F56" s="1341"/>
      <c r="I56" s="1350" t="s">
        <v>842</v>
      </c>
      <c r="J56" s="1351" t="s">
        <v>3449</v>
      </c>
      <c r="K56" s="1324" t="s">
        <v>843</v>
      </c>
      <c r="L56" s="1327" t="e">
        <f ca="1">IF(L48&lt;J51,"——",L48-J51)</f>
        <v>#N/A</v>
      </c>
      <c r="O56" s="1321" t="s">
        <v>403</v>
      </c>
      <c r="P56" s="1322" t="s">
        <v>817</v>
      </c>
      <c r="Q56" s="1323" t="e">
        <f ca="1">C40+J29</f>
        <v>#N/A</v>
      </c>
      <c r="R56" s="1323" t="s">
        <v>818</v>
      </c>
    </row>
    <row r="57" spans="1:18" s="1288" customFormat="1" ht="24.75" thickBot="1">
      <c r="A57" s="1352"/>
      <c r="B57" s="892" t="s">
        <v>767</v>
      </c>
      <c r="C57" s="230" t="e">
        <f ca="1">C29</f>
        <v>#N/A</v>
      </c>
      <c r="D57" s="1353"/>
      <c r="E57" s="1354"/>
      <c r="F57" s="1355"/>
      <c r="I57" s="1356" t="s">
        <v>844</v>
      </c>
      <c r="J57" s="1357" t="e">
        <f ca="1">IF(OR(M47="住宅",J51&lt;L48,J56="是"),"——",J51-L48)</f>
        <v>#N/A</v>
      </c>
      <c r="K57" s="1324" t="s">
        <v>892</v>
      </c>
      <c r="L57" s="1327" t="e">
        <f ca="1">IF(L48&lt;J51,"——",IF(L55="比较法",L49,IF(L55="基准地价",L50,L51)))</f>
        <v>#N/A</v>
      </c>
      <c r="O57" s="1321" t="s">
        <v>404</v>
      </c>
      <c r="P57" s="1322" t="s">
        <v>846</v>
      </c>
      <c r="Q57" s="1323" t="e">
        <f ca="1">L60</f>
        <v>#N/A</v>
      </c>
      <c r="R57" s="1323" t="s">
        <v>847</v>
      </c>
    </row>
    <row r="58" spans="1:18" s="1288" customFormat="1" ht="24.75" thickBot="1">
      <c r="A58" s="307" t="s">
        <v>393</v>
      </c>
      <c r="B58" s="900" t="s">
        <v>714</v>
      </c>
      <c r="C58" s="308" t="e">
        <f ca="1">ROUND(C59+C64+C65+C66,0)</f>
        <v>#N/A</v>
      </c>
      <c r="D58" s="902" t="s">
        <v>715</v>
      </c>
      <c r="E58" s="903"/>
      <c r="F58" s="904"/>
      <c r="I58" s="1356" t="s">
        <v>848</v>
      </c>
      <c r="J58" s="1358" t="e">
        <f ca="1">IF(J55&lt;0.4,0.4,J55)</f>
        <v>#N/A</v>
      </c>
      <c r="K58" s="1335" t="s">
        <v>895</v>
      </c>
      <c r="L58" s="1327" t="e">
        <f ca="1">ROUND(POWER(1+L52,L47-L48)*(POWER(1+L52,L48)-1)/(POWER(1+L52,L47)-1),4)</f>
        <v>#N/A</v>
      </c>
      <c r="O58" s="1330" t="s">
        <v>405</v>
      </c>
      <c r="P58" s="1322" t="s">
        <v>850</v>
      </c>
      <c r="Q58" s="1323">
        <f>IF(L55="比较法",L49,IF(L55="基准地价",L50,0))</f>
        <v>0</v>
      </c>
      <c r="R58" s="1323" t="s">
        <v>818</v>
      </c>
    </row>
    <row r="59" spans="1:18" s="1288" customFormat="1" ht="24.75" thickBot="1">
      <c r="A59" s="924" t="s">
        <v>398</v>
      </c>
      <c r="B59" s="892" t="s">
        <v>719</v>
      </c>
      <c r="C59" s="2134" t="e">
        <f ca="1">ROUND(IF(AND(项目基本情况!B11="自然人",项目基本情况!B10="北京市"),C49*F59/(1+'数据-取费表'!C42),C60+C61+C62),0)</f>
        <v>#N/A</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0" t="s">
        <v>406</v>
      </c>
      <c r="P59" s="1322" t="s">
        <v>852</v>
      </c>
      <c r="Q59" s="1333">
        <f>L52</f>
        <v>0</v>
      </c>
      <c r="R59" s="1323"/>
    </row>
    <row r="60" spans="1:18" s="1288" customFormat="1" ht="16.5" thickBot="1">
      <c r="A60" s="924" t="s">
        <v>397</v>
      </c>
      <c r="B60" s="892" t="s">
        <v>723</v>
      </c>
      <c r="C60" s="21" t="e">
        <f ca="1">IF(项目基本情况!B11="自然人","——",ROUND(C48*F60/(1+'数据-取费表'!C42),0))</f>
        <v>#N/A</v>
      </c>
      <c r="D60" s="906" t="s">
        <v>724</v>
      </c>
      <c r="E60" s="892" t="s">
        <v>712</v>
      </c>
      <c r="F60" s="322">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4" t="s">
        <v>781</v>
      </c>
      <c r="B61" s="892" t="s">
        <v>727</v>
      </c>
      <c r="C61" s="21" t="e">
        <f ca="1">IF(项目基本情况!B11="自然人","——",IF(D61="按租金收入计税",ROUND(C49*F61/(1+'数据-取费表'!C42),0),IF(D61="按房产原值计税",ROUND(C57*F61*0.7,0),INDIRECT("'数据-取费表'!Aj"&amp;$G$1))))</f>
        <v>#N/A</v>
      </c>
      <c r="D61" s="1274" t="s">
        <v>3331</v>
      </c>
      <c r="E61" s="892" t="s">
        <v>712</v>
      </c>
      <c r="F61" s="314">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4" t="s">
        <v>784</v>
      </c>
      <c r="B62" s="891" t="s">
        <v>730</v>
      </c>
      <c r="C62" s="22" t="e">
        <f ca="1">IF(项目基本情况!B11="自然人","——",ROUND(F62*F63,0))</f>
        <v>#N/A</v>
      </c>
      <c r="D62" s="907" t="s">
        <v>731</v>
      </c>
      <c r="E62" s="892" t="s">
        <v>732</v>
      </c>
      <c r="F62" s="317">
        <f t="shared" si="0"/>
        <v>0</v>
      </c>
      <c r="I62" s="1363" t="s">
        <v>858</v>
      </c>
      <c r="J62" s="610" t="s">
        <v>859</v>
      </c>
      <c r="K62" s="610" t="s">
        <v>860</v>
      </c>
      <c r="L62" s="610" t="s">
        <v>861</v>
      </c>
      <c r="M62" s="1364" t="s">
        <v>862</v>
      </c>
      <c r="O62" s="1321" t="s">
        <v>409</v>
      </c>
      <c r="P62" s="1322" t="s">
        <v>838</v>
      </c>
      <c r="Q62" s="1323" t="e">
        <f ca="1">Q56+Q57</f>
        <v>#N/A</v>
      </c>
      <c r="R62" s="1323" t="s">
        <v>410</v>
      </c>
    </row>
    <row r="63" spans="1:18" s="1288" customFormat="1" ht="13.5" thickBot="1">
      <c r="A63" s="318"/>
      <c r="B63" s="898"/>
      <c r="C63" s="26"/>
      <c r="D63" s="908"/>
      <c r="E63" s="892" t="s">
        <v>736</v>
      </c>
      <c r="F63" s="295" t="e">
        <f t="shared" ca="1" si="0"/>
        <v>#N/A</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t="e">
        <f ca="1">ROUND(C57*F64,0)</f>
        <v>#N/A</v>
      </c>
      <c r="D64" s="906" t="s">
        <v>771</v>
      </c>
      <c r="E64" s="892" t="s">
        <v>712</v>
      </c>
      <c r="F64" s="320" t="e">
        <f t="shared" ca="1" si="0"/>
        <v>#N/A</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t="e">
        <f ca="1">ROUND(C56*F65,0)</f>
        <v>#N/A</v>
      </c>
      <c r="D65" s="906" t="s">
        <v>743</v>
      </c>
      <c r="E65" s="892" t="s">
        <v>712</v>
      </c>
      <c r="F65" s="321" t="e">
        <f t="shared" ca="1" si="0"/>
        <v>#N/A</v>
      </c>
      <c r="I65" s="1363" t="s">
        <v>867</v>
      </c>
      <c r="J65" s="610">
        <v>40</v>
      </c>
      <c r="K65" s="610">
        <v>30</v>
      </c>
      <c r="L65" s="610">
        <v>50</v>
      </c>
      <c r="M65" s="1365">
        <v>0.02</v>
      </c>
      <c r="O65" s="1321" t="s">
        <v>403</v>
      </c>
      <c r="P65" s="1322" t="s">
        <v>817</v>
      </c>
      <c r="Q65" s="1323" t="e">
        <f ca="1">C40+J29</f>
        <v>#N/A</v>
      </c>
      <c r="R65" s="1323" t="s">
        <v>818</v>
      </c>
    </row>
    <row r="66" spans="1:18" s="1288" customFormat="1" ht="16.5" thickBot="1">
      <c r="A66" s="924" t="s">
        <v>793</v>
      </c>
      <c r="B66" s="892" t="s">
        <v>728</v>
      </c>
      <c r="C66" s="21" t="e">
        <f ca="1">ROUND(C48*F66,0)</f>
        <v>#N/A</v>
      </c>
      <c r="D66" s="906" t="s">
        <v>748</v>
      </c>
      <c r="E66" s="892" t="s">
        <v>712</v>
      </c>
      <c r="F66" s="304" t="e">
        <f t="shared" ca="1" si="0"/>
        <v>#N/A</v>
      </c>
      <c r="O66" s="1321" t="s">
        <v>404</v>
      </c>
      <c r="P66" s="1322" t="s">
        <v>846</v>
      </c>
      <c r="Q66" s="1323" t="e">
        <f ca="1">L60</f>
        <v>#N/A</v>
      </c>
      <c r="R66" s="1323" t="s">
        <v>869</v>
      </c>
    </row>
    <row r="67" spans="1:18" s="1288" customFormat="1" ht="16.5" thickBot="1">
      <c r="A67" s="899" t="s">
        <v>394</v>
      </c>
      <c r="B67" s="909" t="s">
        <v>752</v>
      </c>
      <c r="C67" s="308" t="e">
        <f ca="1">C48-C58</f>
        <v>#N/A</v>
      </c>
      <c r="D67" s="905" t="s">
        <v>753</v>
      </c>
      <c r="E67" s="910"/>
      <c r="F67" s="911"/>
      <c r="O67" s="1330" t="s">
        <v>405</v>
      </c>
      <c r="P67" s="1322" t="s">
        <v>850</v>
      </c>
      <c r="Q67" s="1366" t="e">
        <f ca="1">L51</f>
        <v>#N/A</v>
      </c>
      <c r="R67" s="1323" t="s">
        <v>870</v>
      </c>
    </row>
    <row r="68" spans="1:18" s="1288" customFormat="1" ht="16.5" thickBot="1">
      <c r="A68" s="889" t="s">
        <v>395</v>
      </c>
      <c r="B68" s="890" t="s">
        <v>774</v>
      </c>
      <c r="C68" s="293" t="e">
        <f ca="1">ROUND(C67*(1-((1+F70)/(1+F68))^F69)/(F68-F70),0)</f>
        <v>#N/A</v>
      </c>
      <c r="D68" s="907" t="s">
        <v>758</v>
      </c>
      <c r="E68" s="892" t="s">
        <v>759</v>
      </c>
      <c r="F68" s="304" t="e">
        <f ca="1">F40</f>
        <v>#N/A</v>
      </c>
      <c r="O68" s="1330" t="s">
        <v>406</v>
      </c>
      <c r="P68" s="1367" t="s">
        <v>871</v>
      </c>
      <c r="Q68" s="1323" t="e">
        <f ca="1">ROUND(Q69-Q70*Q71,0)</f>
        <v>#N/A</v>
      </c>
      <c r="R68" s="1323" t="s">
        <v>414</v>
      </c>
    </row>
    <row r="69" spans="1:18" s="1288" customFormat="1" ht="13.5" thickBot="1">
      <c r="A69" s="893"/>
      <c r="B69" s="894"/>
      <c r="C69" s="298"/>
      <c r="D69" s="912" t="s">
        <v>762</v>
      </c>
      <c r="E69" s="892" t="s">
        <v>763</v>
      </c>
      <c r="F69" s="324" t="e">
        <f ca="1">F41</f>
        <v>#N/A</v>
      </c>
      <c r="O69" s="1330" t="s">
        <v>411</v>
      </c>
      <c r="P69" s="1367" t="s">
        <v>872</v>
      </c>
      <c r="Q69" s="1323" t="e">
        <f ca="1">C39</f>
        <v>#N/A</v>
      </c>
      <c r="R69" s="1323" t="s">
        <v>818</v>
      </c>
    </row>
    <row r="70" spans="1:18" s="1288" customFormat="1" ht="13.5" thickBot="1">
      <c r="A70" s="896"/>
      <c r="B70" s="897"/>
      <c r="C70" s="302"/>
      <c r="D70" s="908"/>
      <c r="E70" s="892" t="s">
        <v>766</v>
      </c>
      <c r="F70" s="987"/>
      <c r="O70" s="1330" t="s">
        <v>412</v>
      </c>
      <c r="P70" s="1367" t="s">
        <v>873</v>
      </c>
      <c r="Q70" s="1323" t="e">
        <f ca="1">C13</f>
        <v>#N/A</v>
      </c>
      <c r="R70" s="1323" t="s">
        <v>818</v>
      </c>
    </row>
    <row r="71" spans="1:18" s="1288" customFormat="1" ht="13.5" thickBot="1">
      <c r="A71" s="913" t="s">
        <v>396</v>
      </c>
      <c r="B71" s="914" t="s">
        <v>776</v>
      </c>
      <c r="C71" s="327" t="e">
        <f ca="1">ROUND(C68/F71,0)</f>
        <v>#N/A</v>
      </c>
      <c r="D71" s="915" t="s">
        <v>777</v>
      </c>
      <c r="E71" s="916" t="s">
        <v>778</v>
      </c>
      <c r="F71" s="330" t="e">
        <f ca="1">F43</f>
        <v>#N/A</v>
      </c>
      <c r="O71" s="1330" t="s">
        <v>413</v>
      </c>
      <c r="P71" s="1367" t="s">
        <v>874</v>
      </c>
      <c r="Q71" s="1333" t="e">
        <f ca="1">C76</f>
        <v>#N/A</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#N/A</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1" t="s">
        <v>795</v>
      </c>
      <c r="C75" s="332" t="e">
        <f ca="1">ROUND(C13*C76,0)</f>
        <v>#N/A</v>
      </c>
      <c r="D75" s="1288"/>
      <c r="E75" s="1288"/>
      <c r="F75" s="1288"/>
      <c r="K75" s="1305"/>
      <c r="L75" s="1288"/>
      <c r="O75" s="1321" t="s">
        <v>409</v>
      </c>
      <c r="P75" s="1322" t="s">
        <v>838</v>
      </c>
      <c r="Q75" s="1323" t="e">
        <f ca="1">Q65+Q66</f>
        <v>#N/A</v>
      </c>
      <c r="R75" s="1323" t="s">
        <v>410</v>
      </c>
    </row>
    <row r="76" spans="1:18">
      <c r="B76" s="333" t="s">
        <v>796</v>
      </c>
      <c r="C76" s="334" t="e">
        <f ca="1">INDIRECT("'数据-取费表'!j"&amp;$G$1)</f>
        <v>#N/A</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L55" xr:uid="{08F004FB-235F-4C9D-8516-9C4B587169AB}">
      <formula1>"比较法,基准地价,收益还原"</formula1>
    </dataValidation>
    <dataValidation type="list" allowBlank="1" showInputMessage="1" showErrorMessage="1" sqref="J56" xr:uid="{9D71F99B-BF84-4901-9B60-3A7818ED00DC}">
      <formula1>估价范围判定</formula1>
    </dataValidation>
    <dataValidation type="list" allowBlank="1" showInputMessage="1" showErrorMessage="1" sqref="J48" xr:uid="{76D848BA-455D-4D69-BCF5-5B0D60B3FAF0}">
      <formula1>"非生产用房,生产用房,受腐蚀的生产用房"</formula1>
    </dataValidation>
    <dataValidation type="list" allowBlank="1" showInputMessage="1" showErrorMessage="1" sqref="J47" xr:uid="{09393693-62A9-4E5E-99D6-090B5BA8919E}">
      <formula1>"钢,钢混,砖混"</formula1>
    </dataValidation>
    <dataValidation type="list" allowBlank="1" showInputMessage="1" showErrorMessage="1" sqref="C1" xr:uid="{87417193-86DB-4A2E-BEE2-DB1E596B3FAF}">
      <formula1>项目类型</formula1>
    </dataValidation>
    <dataValidation type="list" allowBlank="1" showInputMessage="1" showErrorMessage="1" sqref="D33 D61" xr:uid="{35D5C6F6-C032-478D-95BB-83627223A316}">
      <formula1>"按租金收入计税,按房产原值计税,按票据"</formula1>
    </dataValidation>
    <dataValidation type="list" allowBlank="1" showInputMessage="1" showErrorMessage="1" sqref="K19" xr:uid="{BAACB802-832F-43D8-BA09-ACF27B9C78D7}">
      <formula1>"按租金收入计税,按房产原值计税"</formula1>
    </dataValidation>
    <dataValidation type="list" allowBlank="1" showInputMessage="1" showErrorMessage="1" sqref="F10 F53 M10" xr:uid="{253F48FE-50A1-4F40-B808-300DC0843A38}">
      <formula1>"押一,押二,押三,自定义"</formula1>
    </dataValidation>
    <dataValidation type="list" allowBlank="1" showInputMessage="1" showErrorMessage="1" sqref="D1" xr:uid="{B9CEC95F-9CB6-44F9-9721-45A07CE9FAB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5" zoomScaleNormal="70" zoomScaleSheetLayoutView="85" workbookViewId="0">
      <selection activeCell="T53" sqref="T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c r="D1" s="1267" t="s">
        <v>43</v>
      </c>
      <c r="E1" s="1268" t="s">
        <v>678</v>
      </c>
      <c r="F1" s="995">
        <f ca="1">J53</f>
        <v>0</v>
      </c>
      <c r="G1" s="1282">
        <f>MATCH(C1,'数据-取费表'!A6:A16,0)+5</f>
        <v>7</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878</v>
      </c>
      <c r="B2" s="3115" t="e">
        <f ca="1">ROUND(D2/10000,4)</f>
        <v>#DIV/0!</v>
      </c>
      <c r="C2" s="1285" t="s">
        <v>879</v>
      </c>
      <c r="D2" s="1371" t="e">
        <f ca="1">C40+J29+L46</f>
        <v>#DIV/0!</v>
      </c>
      <c r="E2" s="1291" t="s">
        <v>880</v>
      </c>
      <c r="F2" s="1292"/>
      <c r="G2" s="2471"/>
      <c r="H2" s="2461"/>
      <c r="I2" s="2461"/>
      <c r="J2" s="2461"/>
      <c r="K2" s="2462"/>
      <c r="L2" s="2461"/>
      <c r="M2" s="2461"/>
    </row>
    <row r="3" spans="1:37" ht="18" customHeight="1" thickBot="1">
      <c r="A3" s="1293" t="s">
        <v>881</v>
      </c>
      <c r="B3" s="1294">
        <f ca="1">IF(ISERROR(D2/F43),0,ROUND(D2/F43,0))</f>
        <v>0</v>
      </c>
      <c r="C3" s="1285" t="s">
        <v>882</v>
      </c>
      <c r="D3" s="1285"/>
      <c r="E3" s="1291"/>
      <c r="F3" s="1292"/>
      <c r="G3" s="2471"/>
      <c r="H3" s="649" t="s">
        <v>876</v>
      </c>
      <c r="I3" s="1286"/>
      <c r="J3" s="1286"/>
      <c r="K3" s="1287"/>
      <c r="L3" s="1286"/>
      <c r="M3" s="1286"/>
    </row>
    <row r="4" spans="1:37" ht="18" customHeight="1">
      <c r="A4" s="287" t="s">
        <v>883</v>
      </c>
      <c r="B4" s="288" t="s">
        <v>884</v>
      </c>
      <c r="C4" s="288" t="s">
        <v>885</v>
      </c>
      <c r="D4" s="288" t="s">
        <v>886</v>
      </c>
      <c r="E4" s="289" t="s">
        <v>887</v>
      </c>
      <c r="F4" s="290"/>
      <c r="G4" s="1288"/>
      <c r="H4" s="287" t="s">
        <v>883</v>
      </c>
      <c r="I4" s="288" t="s">
        <v>884</v>
      </c>
      <c r="J4" s="288" t="s">
        <v>885</v>
      </c>
      <c r="K4" s="288" t="s">
        <v>886</v>
      </c>
      <c r="L4" s="289" t="s">
        <v>887</v>
      </c>
      <c r="M4" s="290"/>
    </row>
    <row r="5" spans="1:37" ht="18" customHeight="1">
      <c r="A5" s="291">
        <v>1</v>
      </c>
      <c r="B5" s="292" t="s">
        <v>888</v>
      </c>
      <c r="C5" s="1003">
        <f ca="1">C6+C10+C12</f>
        <v>0</v>
      </c>
      <c r="D5" s="1269" t="s">
        <v>889</v>
      </c>
      <c r="E5" s="1004"/>
      <c r="F5" s="1005"/>
      <c r="G5" s="1288"/>
      <c r="H5" s="291">
        <v>1</v>
      </c>
      <c r="I5" s="292" t="s">
        <v>888</v>
      </c>
      <c r="J5" s="1003">
        <f ca="1">J6+J10+J12</f>
        <v>0</v>
      </c>
      <c r="K5" s="1269" t="s">
        <v>889</v>
      </c>
      <c r="L5" s="1004"/>
      <c r="M5" s="1005"/>
    </row>
    <row r="6" spans="1:37" ht="18" customHeight="1">
      <c r="A6" s="1002" t="s">
        <v>398</v>
      </c>
      <c r="B6" s="3351" t="s">
        <v>694</v>
      </c>
      <c r="C6" s="1007">
        <f ca="1">ROUND(F6*F8*F7*(1-F9),0)</f>
        <v>0</v>
      </c>
      <c r="D6" s="147" t="s">
        <v>2106</v>
      </c>
      <c r="E6" s="294" t="s">
        <v>696</v>
      </c>
      <c r="F6" s="295">
        <f ca="1">INDIRECT("'数据-取费表'!u"&amp;$G$1)</f>
        <v>0</v>
      </c>
      <c r="G6" s="1288"/>
      <c r="H6" s="1002" t="s">
        <v>398</v>
      </c>
      <c r="I6" s="3351" t="s">
        <v>694</v>
      </c>
      <c r="J6" s="293">
        <f ca="1">ROUND(M6*M8*M7*(1-M9),0)</f>
        <v>0</v>
      </c>
      <c r="K6" s="1280" t="s">
        <v>2107</v>
      </c>
      <c r="L6" s="294" t="s">
        <v>696</v>
      </c>
      <c r="M6" s="295">
        <f ca="1">INDIRECT("'数据-取费表'!z"&amp;$G$1)</f>
        <v>0</v>
      </c>
    </row>
    <row r="7" spans="1:37" ht="18" customHeight="1">
      <c r="A7" s="1006"/>
      <c r="B7" s="3352"/>
      <c r="C7" s="1008"/>
      <c r="D7" s="299"/>
      <c r="E7" s="1009" t="s">
        <v>697</v>
      </c>
      <c r="F7" s="295">
        <f ca="1">IF(INDIRECT("'数据-取费表'!ah"&amp;$G$1)="",INDIRECT("'数据-取费表'!k"&amp;$G$1),INDIRECT("'数据-取费表'!ah"&amp;$G$1))</f>
        <v>0</v>
      </c>
      <c r="G7" s="1288"/>
      <c r="H7" s="296"/>
      <c r="I7" s="3352"/>
      <c r="J7" s="298"/>
      <c r="K7" s="299"/>
      <c r="L7" s="294" t="s">
        <v>697</v>
      </c>
      <c r="M7" s="295">
        <f ca="1">F7</f>
        <v>0</v>
      </c>
    </row>
    <row r="8" spans="1:37" ht="18" customHeight="1">
      <c r="A8" s="296"/>
      <c r="B8" s="3352"/>
      <c r="C8" s="298"/>
      <c r="D8" s="299"/>
      <c r="E8" s="294" t="s">
        <v>698</v>
      </c>
      <c r="F8" s="295">
        <f ca="1">INDIRECT("'数据-取费表'!ai"&amp;$G$1)</f>
        <v>0</v>
      </c>
      <c r="G8" s="1288"/>
      <c r="H8" s="296"/>
      <c r="I8" s="3352"/>
      <c r="J8" s="298"/>
      <c r="K8" s="299"/>
      <c r="L8" s="294" t="s">
        <v>698</v>
      </c>
      <c r="M8" s="295">
        <f ca="1">INDIRECT("'数据-取费表'!ai"&amp;$G$1)</f>
        <v>0</v>
      </c>
    </row>
    <row r="9" spans="1:37" ht="18" customHeight="1">
      <c r="A9" s="296"/>
      <c r="B9" s="3353"/>
      <c r="C9" s="298"/>
      <c r="D9" s="299"/>
      <c r="E9" s="294" t="s">
        <v>699</v>
      </c>
      <c r="F9" s="304">
        <f ca="1">INDIRECT("'数据-取费表'!w"&amp;$G$1)</f>
        <v>0</v>
      </c>
      <c r="G9" s="1288"/>
      <c r="H9" s="296"/>
      <c r="I9" s="3353"/>
      <c r="J9" s="298"/>
      <c r="K9" s="299"/>
      <c r="L9" s="305" t="s">
        <v>699</v>
      </c>
      <c r="M9" s="306">
        <f ca="1">INDIRECT("'数据-取费表'!ab"&amp;$G$1)</f>
        <v>0</v>
      </c>
    </row>
    <row r="10" spans="1:37" ht="18" customHeight="1">
      <c r="A10" s="1002" t="s">
        <v>402</v>
      </c>
      <c r="B10" s="1270" t="s">
        <v>700</v>
      </c>
      <c r="C10" s="308">
        <f ca="1">ROUND(IF(F10="押一",C6/12*F11,IF(F10="押二",C6/12*2*F11,IF(F10="押三",C6/12*3*F11,C11*F11))),0)</f>
        <v>0</v>
      </c>
      <c r="D10" s="150" t="s">
        <v>2116</v>
      </c>
      <c r="E10" s="305" t="s">
        <v>701</v>
      </c>
      <c r="F10" s="1049"/>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f ca="1">ROUND(C29*F13,0)</f>
        <v>0</v>
      </c>
      <c r="D13" s="1014" t="s">
        <v>705</v>
      </c>
      <c r="E13" s="1014" t="s">
        <v>706</v>
      </c>
      <c r="F13" s="1015">
        <f ca="1">INDIRECT("'数据-取费表'!y"&amp;$G$1)</f>
        <v>0</v>
      </c>
      <c r="G13" s="1288"/>
      <c r="H13" s="1012">
        <v>2</v>
      </c>
      <c r="I13" s="1013" t="s">
        <v>704</v>
      </c>
      <c r="J13" s="1001">
        <f ca="1">ROUND(J14*J15,0)</f>
        <v>0</v>
      </c>
      <c r="K13" s="1020" t="s">
        <v>705</v>
      </c>
      <c r="L13" s="1295"/>
      <c r="M13" s="1296"/>
    </row>
    <row r="14" spans="1:37" ht="18" customHeight="1">
      <c r="A14" s="924" t="s">
        <v>397</v>
      </c>
      <c r="B14" s="294" t="s">
        <v>707</v>
      </c>
      <c r="C14" s="310">
        <f ca="1">ROUND(INDIRECT("'数据-取费表'!l"&amp;$G$1)*F43+'数据-取费表'!L14*INDIRECT("'数据-取费表'!S"&amp;$G$1),0)</f>
        <v>0</v>
      </c>
      <c r="D14" s="1253" t="s">
        <v>708</v>
      </c>
      <c r="E14" s="1251"/>
      <c r="F14" s="311"/>
      <c r="G14" s="1288"/>
      <c r="H14" s="924" t="s">
        <v>398</v>
      </c>
      <c r="I14" s="294" t="s">
        <v>709</v>
      </c>
      <c r="J14" s="21">
        <f ca="1">C29</f>
        <v>0</v>
      </c>
      <c r="K14" s="12"/>
      <c r="L14" s="755"/>
      <c r="M14" s="756"/>
    </row>
    <row r="15" spans="1:37" s="1300" customFormat="1" ht="18" customHeight="1" thickBot="1">
      <c r="A15" s="924" t="s">
        <v>399</v>
      </c>
      <c r="B15" s="294" t="s">
        <v>710</v>
      </c>
      <c r="C15" s="21">
        <f ca="1">ROUND(C14*F15,0)</f>
        <v>0</v>
      </c>
      <c r="D15" s="312" t="s">
        <v>711</v>
      </c>
      <c r="E15" s="312" t="s">
        <v>712</v>
      </c>
      <c r="F15" s="313">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f ca="1">ROUND(INDIRECT("'数据-取费表'!l"&amp;$G$1)*F43*F16,0)</f>
        <v>0</v>
      </c>
      <c r="D16" s="294" t="s">
        <v>711</v>
      </c>
      <c r="E16" s="294" t="s">
        <v>712</v>
      </c>
      <c r="F16" s="314">
        <f ca="1">IF(INDIRECT("'数据-取费表'!c"&amp;$G$1)="住宅",'数据-取费表'!B34,0)</f>
        <v>0</v>
      </c>
      <c r="G16" s="1288"/>
      <c r="H16" s="1012" t="s">
        <v>393</v>
      </c>
      <c r="I16" s="1013" t="s">
        <v>714</v>
      </c>
      <c r="J16" s="302">
        <f ca="1">ROUND(J17+J22+J23+J24,0)</f>
        <v>0</v>
      </c>
      <c r="K16" s="1020" t="s">
        <v>715</v>
      </c>
      <c r="L16" s="1021"/>
      <c r="M16" s="1005"/>
    </row>
    <row r="17" spans="1:37" s="1300" customFormat="1" ht="18" customHeight="1">
      <c r="A17" s="924" t="s">
        <v>681</v>
      </c>
      <c r="B17" s="294" t="s">
        <v>716</v>
      </c>
      <c r="C17" s="21">
        <f ca="1">ROUND(F17*(F43+INDIRECT("'数据-取费表'!S"&amp;$G$1)),0)</f>
        <v>0</v>
      </c>
      <c r="D17" s="294" t="s">
        <v>717</v>
      </c>
      <c r="E17" s="294" t="s">
        <v>718</v>
      </c>
      <c r="F17" s="23">
        <f>'数据-取费表'!B35</f>
        <v>120</v>
      </c>
      <c r="G17" s="1299"/>
      <c r="H17" s="924" t="s">
        <v>398</v>
      </c>
      <c r="I17" s="294" t="s">
        <v>719</v>
      </c>
      <c r="J17" s="2134">
        <f ca="1">ROUND(IF(AND(项目基本情况!B11="自然人",项目基本情况!B10="北京市"),J6*M17/(1+'数据-取费表'!C42),J18+J19+J20),0)</f>
        <v>0</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f ca="1">ROUND(C14*F18,0)</f>
        <v>0</v>
      </c>
      <c r="D18" s="294" t="s">
        <v>711</v>
      </c>
      <c r="E18" s="294" t="s">
        <v>712</v>
      </c>
      <c r="F18" s="314">
        <f>'数据-取费表'!B36</f>
        <v>1.4999999999999999E-2</v>
      </c>
      <c r="G18" s="1299"/>
      <c r="H18" s="924" t="s">
        <v>397</v>
      </c>
      <c r="I18" s="294" t="s">
        <v>723</v>
      </c>
      <c r="J18" s="21">
        <f ca="1">ROUND(J6*M18/(1+'数据-取费表'!C42),0)</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f ca="1">SUM(C14:C18)</f>
        <v>0</v>
      </c>
      <c r="D19" s="123" t="s">
        <v>726</v>
      </c>
      <c r="E19" s="1265"/>
      <c r="F19" s="23"/>
      <c r="G19" s="1288"/>
      <c r="H19" s="924" t="s">
        <v>399</v>
      </c>
      <c r="I19" s="294" t="s">
        <v>727</v>
      </c>
      <c r="J19" s="21">
        <f ca="1">IF(K19="按租金收入计税",ROUND(J6*M19/(1+'数据-取费表'!C42),0),ROUND(C29*M19*0.7,0))</f>
        <v>0</v>
      </c>
      <c r="K19" s="1274" t="s">
        <v>3331</v>
      </c>
      <c r="L19" s="294" t="s">
        <v>712</v>
      </c>
      <c r="M19" s="314">
        <f>IF(K19="按租金收入计税",'数据-取费表'!B51,'数据-取费表'!B50)</f>
        <v>0.12</v>
      </c>
    </row>
    <row r="20" spans="1:37" s="1300" customFormat="1" ht="18" customHeight="1">
      <c r="A20" s="924" t="s">
        <v>402</v>
      </c>
      <c r="B20" s="294" t="s">
        <v>728</v>
      </c>
      <c r="C20" s="21">
        <f ca="1">ROUND(C19*F20,0)</f>
        <v>0</v>
      </c>
      <c r="D20" s="315" t="s">
        <v>729</v>
      </c>
      <c r="E20" s="294" t="s">
        <v>712</v>
      </c>
      <c r="F20" s="314">
        <f>'数据-取费表'!B37</f>
        <v>0.02</v>
      </c>
      <c r="G20" s="1299"/>
      <c r="H20" s="924" t="s">
        <v>680</v>
      </c>
      <c r="I20" s="147" t="s">
        <v>730</v>
      </c>
      <c r="J20" s="22">
        <f ca="1">ROUND(M20*M21,0)</f>
        <v>0</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f ca="1">ROUND(J14*M22,0)</f>
        <v>0</v>
      </c>
      <c r="K22" s="1252" t="s">
        <v>739</v>
      </c>
      <c r="L22" s="294" t="s">
        <v>712</v>
      </c>
      <c r="M22" s="320">
        <f ca="1">INDIRECT("'数据-取费表'!Ak"&amp;$G$1)</f>
        <v>0</v>
      </c>
    </row>
    <row r="23" spans="1:37" s="1300" customFormat="1" ht="18" customHeight="1">
      <c r="A23" s="924"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f ca="1">ROUND(J13*M23,0)</f>
        <v>0</v>
      </c>
      <c r="K23" s="1252" t="s">
        <v>743</v>
      </c>
      <c r="L23" s="294" t="s">
        <v>744</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684</v>
      </c>
      <c r="I24" s="1023" t="s">
        <v>728</v>
      </c>
      <c r="J24" s="1024">
        <f ca="1">ROUND(J5*M24,0)</f>
        <v>0</v>
      </c>
      <c r="K24" s="1025" t="s">
        <v>748</v>
      </c>
      <c r="L24" s="1023" t="s">
        <v>744</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f ca="1">J5-J16</f>
        <v>0</v>
      </c>
      <c r="K25" s="1028" t="s">
        <v>753</v>
      </c>
      <c r="L25" s="1029"/>
      <c r="M25" s="1030"/>
    </row>
    <row r="26" spans="1:37" ht="18" customHeight="1">
      <c r="A26" s="924" t="s">
        <v>397</v>
      </c>
      <c r="B26" s="294" t="s">
        <v>754</v>
      </c>
      <c r="C26" s="21">
        <f ca="1">ROUND((C19+C20)*F26,0)</f>
        <v>0</v>
      </c>
      <c r="D26" s="315" t="s">
        <v>755</v>
      </c>
      <c r="E26" s="305" t="s">
        <v>756</v>
      </c>
      <c r="F26" s="304">
        <f ca="1">INDIRECT("'数据-取费表'!q"&amp;$G$1)</f>
        <v>0</v>
      </c>
      <c r="G26" s="1288"/>
      <c r="H26" s="291" t="s">
        <v>395</v>
      </c>
      <c r="I26" s="292" t="s">
        <v>757</v>
      </c>
      <c r="J26" s="293">
        <f ca="1">IF(J5&lt;&gt;0,ROUND(J25*(1-((1+M28)/(1+M26))^M27)/(M26-M28),0),0)</f>
        <v>0</v>
      </c>
      <c r="K26" s="316" t="s">
        <v>758</v>
      </c>
      <c r="L26" s="294" t="s">
        <v>759</v>
      </c>
      <c r="M26" s="304">
        <f ca="1">INDIRECT("'数据-取费表'!I"&amp;$G$1)</f>
        <v>0</v>
      </c>
    </row>
    <row r="27" spans="1:37" ht="18" customHeight="1">
      <c r="A27" s="924" t="s">
        <v>399</v>
      </c>
      <c r="B27" s="294" t="s">
        <v>760</v>
      </c>
      <c r="C27" s="21">
        <f ca="1">ROUND(F21*F26,4)</f>
        <v>0</v>
      </c>
      <c r="D27" s="315" t="s">
        <v>761</v>
      </c>
      <c r="E27" s="312"/>
      <c r="F27" s="313"/>
      <c r="G27" s="1288"/>
      <c r="H27" s="296"/>
      <c r="I27" s="297"/>
      <c r="J27" s="298"/>
      <c r="K27" s="323" t="s">
        <v>762</v>
      </c>
      <c r="L27" s="294" t="s">
        <v>763</v>
      </c>
      <c r="M27" s="324">
        <f ca="1">INDIRECT("'数据-取费表'!ag"&amp;$G$1)</f>
        <v>0</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0</v>
      </c>
      <c r="D29" s="1025"/>
      <c r="E29" s="1023"/>
      <c r="F29" s="1026"/>
      <c r="G29" s="1299"/>
      <c r="H29" s="325" t="s">
        <v>396</v>
      </c>
      <c r="I29" s="326" t="s">
        <v>768</v>
      </c>
      <c r="J29" s="327">
        <f ca="1">ROUND(J26/(1+F40)^F41,0)</f>
        <v>0</v>
      </c>
      <c r="K29" s="328" t="s">
        <v>769</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f ca="1">ROUND(C31+C36+C37+C38,0)</f>
        <v>0</v>
      </c>
      <c r="D30" s="1020" t="s">
        <v>715</v>
      </c>
      <c r="E30" s="1021"/>
      <c r="F30" s="1005"/>
      <c r="G30" s="1288"/>
      <c r="H30" s="2463"/>
      <c r="I30" s="1301"/>
      <c r="J30" s="1302"/>
      <c r="K30" s="121"/>
      <c r="L30" s="2464"/>
      <c r="M30" s="2465"/>
    </row>
    <row r="31" spans="1:37" ht="18" customHeight="1">
      <c r="A31" s="924" t="s">
        <v>398</v>
      </c>
      <c r="B31" s="294" t="s">
        <v>719</v>
      </c>
      <c r="C31" s="2134">
        <f ca="1">ROUND(IF(AND(项目基本情况!B11="自然人",项目基本情况!B10="北京市"),C6*F31/(1+'数据-取费表'!C42),C32+C33+C34),0)</f>
        <v>0</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f ca="1">IF(项目基本情况!B11="自然人","——",ROUND(C6*F32/(1+'数据-取费表'!C42),0))</f>
        <v>0</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f ca="1">IF(项目基本情况!B11="自然人","——",IF(D33="按租金收入计税",ROUND(C6*F33/(1+'数据-取费表'!C42),0),IF(D33="按房产原值计税",ROUND(C29*F33*0.7,0),INDIRECT("'数据-取费表'!Aj"&amp;$G$1))))</f>
        <v>0</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f ca="1">IF(项目基本情况!B11="自然人","——",ROUND(F34*F35,0))</f>
        <v>0</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f ca="1">INDIRECT("'数据-取费表'!r"&amp;$G$1)</f>
        <v>0</v>
      </c>
      <c r="G35" s="1288"/>
      <c r="H35" s="2463"/>
      <c r="I35" s="1301"/>
      <c r="J35" s="1302"/>
      <c r="K35" s="2467"/>
      <c r="L35" s="2466"/>
      <c r="M35" s="2466"/>
    </row>
    <row r="36" spans="1:18" ht="18" customHeight="1">
      <c r="A36" s="1035" t="s">
        <v>402</v>
      </c>
      <c r="B36" s="294" t="s">
        <v>738</v>
      </c>
      <c r="C36" s="21">
        <f ca="1">ROUND(C29*F36,0)</f>
        <v>0</v>
      </c>
      <c r="D36" s="1252" t="s">
        <v>771</v>
      </c>
      <c r="E36" s="294" t="s">
        <v>712</v>
      </c>
      <c r="F36" s="320">
        <f ca="1">INDIRECT("'数据-取费表'!Ak"&amp;$G$1)</f>
        <v>0</v>
      </c>
      <c r="G36" s="1288"/>
      <c r="H36" s="2466"/>
      <c r="I36" s="1301"/>
      <c r="J36" s="1302"/>
      <c r="K36" s="2323"/>
      <c r="L36" s="2466"/>
      <c r="M36" s="2466"/>
    </row>
    <row r="37" spans="1:18" ht="18" customHeight="1">
      <c r="A37" s="924" t="s">
        <v>437</v>
      </c>
      <c r="B37" s="294" t="s">
        <v>742</v>
      </c>
      <c r="C37" s="21">
        <f ca="1">ROUND(C13*F37,0)</f>
        <v>0</v>
      </c>
      <c r="D37" s="1252" t="s">
        <v>743</v>
      </c>
      <c r="E37" s="294" t="s">
        <v>744</v>
      </c>
      <c r="F37" s="321">
        <f ca="1">INDIRECT("'数据-取费表'!Al"&amp;$G$1)</f>
        <v>0</v>
      </c>
      <c r="G37" s="1288"/>
      <c r="H37" s="2466"/>
      <c r="I37" s="1301"/>
      <c r="J37" s="1302"/>
      <c r="K37" s="2323"/>
      <c r="L37" s="2466"/>
      <c r="M37" s="2466"/>
    </row>
    <row r="38" spans="1:18" ht="18" customHeight="1" thickBot="1">
      <c r="A38" s="1022" t="s">
        <v>684</v>
      </c>
      <c r="B38" s="1023" t="s">
        <v>728</v>
      </c>
      <c r="C38" s="1024">
        <f ca="1">ROUND(C5*F38,0)</f>
        <v>0</v>
      </c>
      <c r="D38" s="1025" t="s">
        <v>748</v>
      </c>
      <c r="E38" s="1023" t="s">
        <v>744</v>
      </c>
      <c r="F38" s="1019">
        <f ca="1">INDIRECT("'数据-取费表'!Am"&amp;$G$1)</f>
        <v>0</v>
      </c>
      <c r="G38" s="1288"/>
      <c r="H38" s="2466"/>
      <c r="I38" s="1301"/>
      <c r="J38" s="1302"/>
      <c r="K38" s="2464"/>
      <c r="L38" s="2466"/>
      <c r="M38" s="2466"/>
    </row>
    <row r="39" spans="1:18" ht="24.6" customHeight="1" thickTop="1">
      <c r="A39" s="1012" t="s">
        <v>394</v>
      </c>
      <c r="B39" s="1027" t="s">
        <v>772</v>
      </c>
      <c r="C39" s="302">
        <f ca="1">C5-C30</f>
        <v>0</v>
      </c>
      <c r="D39" s="1028" t="s">
        <v>773</v>
      </c>
      <c r="E39" s="1029"/>
      <c r="F39" s="1030"/>
      <c r="G39" s="1288"/>
      <c r="H39" s="2466"/>
      <c r="I39" s="1301"/>
      <c r="J39" s="1302"/>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8"/>
      <c r="H40" s="1362"/>
      <c r="I40" s="1301"/>
      <c r="J40" s="1302"/>
      <c r="K40" s="2464"/>
      <c r="L40" s="1362"/>
      <c r="M40" s="1362"/>
    </row>
    <row r="41" spans="1:18" ht="18" customHeight="1">
      <c r="A41" s="296"/>
      <c r="B41" s="297"/>
      <c r="C41" s="298"/>
      <c r="D41" s="323" t="s">
        <v>775</v>
      </c>
      <c r="E41" s="294" t="s">
        <v>763</v>
      </c>
      <c r="F41" s="324">
        <f ca="1">IF(INDIRECT("'数据-取费表'!af"&amp;$G$1)=0,INDIRECT("'数据-取费表'!ae"&amp;$G$1),INDIRECT("'数据-取费表'!af"&amp;$G$1))</f>
        <v>0</v>
      </c>
      <c r="G41" s="1288"/>
      <c r="H41" s="121"/>
      <c r="I41" s="1301"/>
      <c r="J41" s="1302"/>
      <c r="K41" s="2323"/>
      <c r="L41" s="121"/>
      <c r="M41" s="121"/>
    </row>
    <row r="42" spans="1:18" ht="18" customHeight="1">
      <c r="A42" s="300"/>
      <c r="B42" s="301"/>
      <c r="C42" s="302"/>
      <c r="D42" s="319"/>
      <c r="E42" s="294" t="s">
        <v>766</v>
      </c>
      <c r="F42" s="304">
        <f ca="1">INDIRECT("'数据-取费表'!v"&amp;$G$1)</f>
        <v>0</v>
      </c>
      <c r="G42" s="1288"/>
      <c r="H42" s="121"/>
      <c r="I42" s="1301"/>
      <c r="J42" s="1302"/>
      <c r="K42" s="2323"/>
      <c r="L42" s="121"/>
      <c r="M42" s="121"/>
    </row>
    <row r="43" spans="1:18" ht="18" customHeight="1" thickBot="1">
      <c r="A43" s="325" t="s">
        <v>396</v>
      </c>
      <c r="B43" s="326" t="s">
        <v>776</v>
      </c>
      <c r="C43" s="327" t="e">
        <f ca="1">ROUND(C40/F43,0)</f>
        <v>#DIV/0!</v>
      </c>
      <c r="D43" s="328" t="s">
        <v>777</v>
      </c>
      <c r="E43" s="329" t="s">
        <v>778</v>
      </c>
      <c r="F43" s="330">
        <f ca="1">INDIRECT("'数据-取费表'!k"&amp;$G$1)</f>
        <v>0</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#DIV/0!</v>
      </c>
      <c r="D45" s="3121" t="s">
        <v>3348</v>
      </c>
      <c r="E45" s="1303"/>
      <c r="F45" s="1303"/>
      <c r="O45" s="1306" t="s">
        <v>808</v>
      </c>
      <c r="P45" s="1362"/>
      <c r="Q45" s="1362"/>
      <c r="R45" s="1362"/>
    </row>
    <row r="46" spans="1:18" s="1288" customFormat="1" ht="13.5" thickBot="1">
      <c r="A46" s="1307" t="s">
        <v>809</v>
      </c>
      <c r="C46" s="1308" t="e">
        <f ca="1">ROUND(C45,0)</f>
        <v>#DIV/0!</v>
      </c>
      <c r="D46" s="1309" t="str">
        <f>C2</f>
        <v>万元</v>
      </c>
      <c r="I46" s="1310" t="s">
        <v>810</v>
      </c>
      <c r="J46" s="1311"/>
      <c r="K46" s="1312"/>
      <c r="L46" s="1313" t="e">
        <f ca="1">IF(M47="住宅",0,IF(L48&gt;J51,L60,J60))</f>
        <v>#DIV/0!</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3" t="s">
        <v>438</v>
      </c>
      <c r="B48" s="292" t="s">
        <v>692</v>
      </c>
      <c r="C48" s="1264">
        <f ca="1">C49+C53+C55</f>
        <v>0</v>
      </c>
      <c r="D48" s="1045"/>
      <c r="E48" s="1046"/>
      <c r="F48" s="904"/>
      <c r="G48" s="681"/>
      <c r="H48" s="682"/>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7" t="s">
        <v>439</v>
      </c>
      <c r="B49" s="1275" t="s">
        <v>779</v>
      </c>
      <c r="C49" s="1047">
        <f ca="1">ROUND(F49*F51*F50*(1-F52),0)</f>
        <v>0</v>
      </c>
      <c r="D49" s="988" t="s">
        <v>695</v>
      </c>
      <c r="E49" s="1276" t="s">
        <v>780</v>
      </c>
      <c r="F49" s="993"/>
      <c r="H49" s="682"/>
      <c r="I49" s="1324" t="s">
        <v>823</v>
      </c>
      <c r="J49" s="1328"/>
      <c r="K49" s="1326" t="s">
        <v>824</v>
      </c>
      <c r="L49" s="1329"/>
      <c r="O49" s="1330" t="s">
        <v>405</v>
      </c>
      <c r="P49" s="1322" t="s">
        <v>825</v>
      </c>
      <c r="Q49" s="1323">
        <f ca="1">C29</f>
        <v>0</v>
      </c>
      <c r="R49" s="1323" t="s">
        <v>818</v>
      </c>
    </row>
    <row r="50" spans="1:18" s="1288" customFormat="1" ht="13.5" thickBot="1">
      <c r="A50" s="918"/>
      <c r="B50" s="921"/>
      <c r="C50" s="922"/>
      <c r="D50" s="895"/>
      <c r="E50" s="989" t="s">
        <v>697</v>
      </c>
      <c r="F50" s="990">
        <f ca="1">F7</f>
        <v>0</v>
      </c>
      <c r="H50" s="682"/>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19"/>
      <c r="B51" s="921"/>
      <c r="C51" s="922"/>
      <c r="D51" s="895"/>
      <c r="E51" s="923" t="s">
        <v>698</v>
      </c>
      <c r="F51" s="295">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c r="K52" s="1338" t="s">
        <v>833</v>
      </c>
      <c r="L52" s="1339"/>
      <c r="O52" s="1330" t="s">
        <v>408</v>
      </c>
      <c r="P52" s="1322" t="s">
        <v>834</v>
      </c>
      <c r="Q52" s="1323">
        <f ca="1">J53</f>
        <v>0</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f ca="1">IF(M47="住宅",IF(D1="——",MAX(J51,L48),MAX(J51,L48-'数据-取费表'!B24)),IF(D1="——",MIN(J51,L48),MIN(J51,L48-'数据-取费表'!B24)))</f>
        <v>0</v>
      </c>
      <c r="K53" s="3354" t="s">
        <v>837</v>
      </c>
      <c r="L53" s="3355"/>
      <c r="O53" s="1321" t="s">
        <v>409</v>
      </c>
      <c r="P53" s="1322" t="s">
        <v>838</v>
      </c>
      <c r="Q53" s="1323" t="e">
        <f ca="1">Q47+Q48</f>
        <v>#DIV/0!</v>
      </c>
      <c r="R53" s="1323" t="s">
        <v>410</v>
      </c>
    </row>
    <row r="54" spans="1:18" s="1288" customFormat="1" ht="13.5" thickBot="1">
      <c r="A54" s="917"/>
      <c r="B54" s="1373" t="s">
        <v>891</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36" customHeight="1" thickTop="1" thickBot="1">
      <c r="A56" s="899">
        <v>2</v>
      </c>
      <c r="B56" s="900" t="s">
        <v>704</v>
      </c>
      <c r="C56" s="224">
        <f ca="1">C13</f>
        <v>0</v>
      </c>
      <c r="D56" s="1348"/>
      <c r="E56" s="1349"/>
      <c r="F56" s="1341"/>
      <c r="I56" s="1350" t="s">
        <v>842</v>
      </c>
      <c r="J56" s="1351"/>
      <c r="K56" s="1324" t="s">
        <v>843</v>
      </c>
      <c r="L56" s="1327">
        <f ca="1">IF(L48&lt;J51,"——",L48-J51)</f>
        <v>0</v>
      </c>
      <c r="O56" s="1321" t="s">
        <v>403</v>
      </c>
      <c r="P56" s="1322" t="s">
        <v>817</v>
      </c>
      <c r="Q56" s="1323" t="e">
        <f ca="1">C40+J29</f>
        <v>#DIV/0!</v>
      </c>
      <c r="R56" s="1323" t="s">
        <v>818</v>
      </c>
    </row>
    <row r="57" spans="1:18" s="1288" customFormat="1" ht="24.75" thickBot="1">
      <c r="A57" s="1352"/>
      <c r="B57" s="892" t="s">
        <v>767</v>
      </c>
      <c r="C57" s="230">
        <f ca="1">C29</f>
        <v>0</v>
      </c>
      <c r="D57" s="1353"/>
      <c r="E57" s="1354"/>
      <c r="F57" s="1355"/>
      <c r="I57" s="1356" t="s">
        <v>844</v>
      </c>
      <c r="J57" s="1357">
        <f ca="1">IF(OR(M47="住宅",J51&lt;L48,J56="是"),"——",J51-L48)</f>
        <v>0</v>
      </c>
      <c r="K57" s="1324" t="s">
        <v>892</v>
      </c>
      <c r="L57" s="1327">
        <f ca="1">IF(L48&lt;J51,"——",IF(L55="比较法",L49,IF(L55="基准地价",L50,L51)))</f>
        <v>0</v>
      </c>
      <c r="O57" s="1321" t="s">
        <v>404</v>
      </c>
      <c r="P57" s="1322" t="s">
        <v>893</v>
      </c>
      <c r="Q57" s="1323" t="e">
        <f ca="1">L60</f>
        <v>#DIV/0!</v>
      </c>
      <c r="R57" s="1323" t="s">
        <v>894</v>
      </c>
    </row>
    <row r="58" spans="1:18" s="1288" customFormat="1" ht="24.75" thickBot="1">
      <c r="A58" s="307" t="s">
        <v>393</v>
      </c>
      <c r="B58" s="900" t="s">
        <v>714</v>
      </c>
      <c r="C58" s="308">
        <f ca="1">ROUND(C59+C64+C65+C66,0)</f>
        <v>0</v>
      </c>
      <c r="D58" s="902" t="s">
        <v>715</v>
      </c>
      <c r="E58" s="903"/>
      <c r="F58" s="904"/>
      <c r="I58" s="1356" t="s">
        <v>848</v>
      </c>
      <c r="J58" s="1358" t="e">
        <f ca="1">IF(J55&lt;0.4,0.4,J55)</f>
        <v>#DIV/0!</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4">
        <f ca="1">ROUND(IF(AND(项目基本情况!B11="自然人",项目基本情况!B10="北京市"),C49*F59/(1+'数据-取费表'!C42),C60+C61+C62),0)</f>
        <v>0</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IF(项目基本情况!B11="自然人","——",ROUND(C48*F60/(1+'数据-取费表'!C42),0))</f>
        <v>0</v>
      </c>
      <c r="D60" s="906" t="s">
        <v>724</v>
      </c>
      <c r="E60" s="892" t="s">
        <v>712</v>
      </c>
      <c r="F60" s="322">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4" t="s">
        <v>781</v>
      </c>
      <c r="B61" s="892" t="s">
        <v>782</v>
      </c>
      <c r="C61" s="21">
        <f ca="1">IF(项目基本情况!B11="自然人","——",IF(D61="按租金收入计税",ROUND(C49*F61/(1+'数据-取费表'!C42),0),IF(D61="按房产原值计税",ROUND(C57*F61*0.7,0),INDIRECT("'数据-取费表'!Aj"&amp;$G$1))))</f>
        <v>0</v>
      </c>
      <c r="D61" s="1274" t="s">
        <v>3331</v>
      </c>
      <c r="E61" s="892"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785</v>
      </c>
      <c r="C62" s="22">
        <f ca="1">IF(项目基本情况!B11="自然人","——",ROUND(F62*F63,0))</f>
        <v>0</v>
      </c>
      <c r="D62" s="907" t="s">
        <v>786</v>
      </c>
      <c r="E62" s="892" t="s">
        <v>787</v>
      </c>
      <c r="F62" s="317">
        <f t="shared" si="0"/>
        <v>0</v>
      </c>
      <c r="I62" s="1363" t="s">
        <v>858</v>
      </c>
      <c r="J62" s="610" t="s">
        <v>859</v>
      </c>
      <c r="K62" s="610" t="s">
        <v>860</v>
      </c>
      <c r="L62" s="610" t="s">
        <v>861</v>
      </c>
      <c r="M62" s="1364" t="s">
        <v>862</v>
      </c>
      <c r="O62" s="1321" t="s">
        <v>409</v>
      </c>
      <c r="P62" s="1322" t="s">
        <v>863</v>
      </c>
      <c r="Q62" s="1323" t="e">
        <f ca="1">Q56+Q57</f>
        <v>#DIV/0!</v>
      </c>
      <c r="R62" s="1323" t="s">
        <v>410</v>
      </c>
    </row>
    <row r="63" spans="1:18" s="1288" customFormat="1" ht="13.5" thickBot="1">
      <c r="A63" s="318"/>
      <c r="B63" s="898"/>
      <c r="C63" s="26"/>
      <c r="D63" s="908"/>
      <c r="E63" s="892" t="s">
        <v>788</v>
      </c>
      <c r="F63" s="295">
        <f t="shared" ca="1" si="0"/>
        <v>0</v>
      </c>
      <c r="I63" s="1363" t="s">
        <v>864</v>
      </c>
      <c r="J63" s="610">
        <v>70</v>
      </c>
      <c r="K63" s="610">
        <v>50</v>
      </c>
      <c r="L63" s="610">
        <v>80</v>
      </c>
      <c r="M63" s="1365">
        <v>0.02</v>
      </c>
      <c r="O63" s="1306" t="s">
        <v>865</v>
      </c>
      <c r="P63" s="1285"/>
      <c r="Q63" s="1285"/>
      <c r="R63" s="1285"/>
    </row>
    <row r="64" spans="1:18" s="1288" customFormat="1" ht="13.5" thickBot="1">
      <c r="A64" s="924" t="s">
        <v>789</v>
      </c>
      <c r="B64" s="892" t="s">
        <v>790</v>
      </c>
      <c r="C64" s="21">
        <f ca="1">ROUND(C57*F64,0)</f>
        <v>0</v>
      </c>
      <c r="D64" s="906" t="s">
        <v>791</v>
      </c>
      <c r="E64" s="892" t="s">
        <v>783</v>
      </c>
      <c r="F64" s="320">
        <f t="shared" ca="1" si="0"/>
        <v>0</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f ca="1">ROUND(C56*F65,0)</f>
        <v>0</v>
      </c>
      <c r="D65" s="906" t="s">
        <v>743</v>
      </c>
      <c r="E65" s="892" t="s">
        <v>744</v>
      </c>
      <c r="F65" s="321">
        <f t="shared" ca="1" si="0"/>
        <v>0</v>
      </c>
      <c r="I65" s="1363" t="s">
        <v>867</v>
      </c>
      <c r="J65" s="610">
        <v>40</v>
      </c>
      <c r="K65" s="610">
        <v>30</v>
      </c>
      <c r="L65" s="610">
        <v>50</v>
      </c>
      <c r="M65" s="1365">
        <v>0.02</v>
      </c>
      <c r="O65" s="1321" t="s">
        <v>403</v>
      </c>
      <c r="P65" s="1322" t="s">
        <v>868</v>
      </c>
      <c r="Q65" s="1323" t="e">
        <f ca="1">C40+J29</f>
        <v>#DIV/0!</v>
      </c>
      <c r="R65" s="1323" t="s">
        <v>818</v>
      </c>
    </row>
    <row r="66" spans="1:18" s="1288" customFormat="1" ht="16.5" thickBot="1">
      <c r="A66" s="924" t="s">
        <v>793</v>
      </c>
      <c r="B66" s="892" t="s">
        <v>728</v>
      </c>
      <c r="C66" s="21">
        <f ca="1">ROUND(C48*F66,0)</f>
        <v>0</v>
      </c>
      <c r="D66" s="906" t="s">
        <v>794</v>
      </c>
      <c r="E66" s="892" t="s">
        <v>712</v>
      </c>
      <c r="F66" s="304">
        <f t="shared" ca="1" si="0"/>
        <v>0</v>
      </c>
      <c r="O66" s="1321" t="s">
        <v>404</v>
      </c>
      <c r="P66" s="1322" t="s">
        <v>846</v>
      </c>
      <c r="Q66" s="1323" t="e">
        <f ca="1">L60</f>
        <v>#DIV/0!</v>
      </c>
      <c r="R66" s="1323" t="s">
        <v>869</v>
      </c>
    </row>
    <row r="67" spans="1:18" s="1288" customFormat="1" ht="16.5" thickBot="1">
      <c r="A67" s="899" t="s">
        <v>394</v>
      </c>
      <c r="B67" s="909" t="s">
        <v>752</v>
      </c>
      <c r="C67" s="308">
        <f ca="1">C48-C58</f>
        <v>0</v>
      </c>
      <c r="D67" s="905" t="s">
        <v>753</v>
      </c>
      <c r="E67" s="910"/>
      <c r="F67" s="911"/>
      <c r="O67" s="1330" t="s">
        <v>405</v>
      </c>
      <c r="P67" s="1322" t="s">
        <v>850</v>
      </c>
      <c r="Q67" s="1366">
        <f ca="1">L51</f>
        <v>0</v>
      </c>
      <c r="R67" s="1323" t="s">
        <v>870</v>
      </c>
    </row>
    <row r="68" spans="1:18" s="1288" customFormat="1" ht="16.5" thickBot="1">
      <c r="A68" s="889" t="s">
        <v>395</v>
      </c>
      <c r="B68" s="890" t="s">
        <v>774</v>
      </c>
      <c r="C68" s="293" t="e">
        <f ca="1">ROUND(C67*(1-((1+F70)/(1+F68))^F69)/(F68-F70),0)</f>
        <v>#DIV/0!</v>
      </c>
      <c r="D68" s="907" t="s">
        <v>758</v>
      </c>
      <c r="E68" s="892" t="s">
        <v>759</v>
      </c>
      <c r="F68" s="304">
        <f ca="1">F40</f>
        <v>0</v>
      </c>
      <c r="O68" s="1330" t="s">
        <v>406</v>
      </c>
      <c r="P68" s="1367" t="s">
        <v>871</v>
      </c>
      <c r="Q68" s="1323">
        <f ca="1">ROUND(Q69-Q70*Q71,0)</f>
        <v>0</v>
      </c>
      <c r="R68" s="1323" t="s">
        <v>414</v>
      </c>
    </row>
    <row r="69" spans="1:18" s="1288" customFormat="1" ht="13.5" thickBot="1">
      <c r="A69" s="893"/>
      <c r="B69" s="894"/>
      <c r="C69" s="298"/>
      <c r="D69" s="912" t="s">
        <v>762</v>
      </c>
      <c r="E69" s="892" t="s">
        <v>763</v>
      </c>
      <c r="F69" s="324">
        <f ca="1">F41</f>
        <v>0</v>
      </c>
      <c r="O69" s="1330" t="s">
        <v>411</v>
      </c>
      <c r="P69" s="1367" t="s">
        <v>872</v>
      </c>
      <c r="Q69" s="1323">
        <f ca="1">C39</f>
        <v>0</v>
      </c>
      <c r="R69" s="1323" t="s">
        <v>818</v>
      </c>
    </row>
    <row r="70" spans="1:18" s="1288" customFormat="1" ht="13.5" thickBot="1">
      <c r="A70" s="896"/>
      <c r="B70" s="897"/>
      <c r="C70" s="302"/>
      <c r="D70" s="908"/>
      <c r="E70" s="892" t="s">
        <v>766</v>
      </c>
      <c r="F70" s="987"/>
      <c r="O70" s="1330" t="s">
        <v>412</v>
      </c>
      <c r="P70" s="1367" t="s">
        <v>873</v>
      </c>
      <c r="Q70" s="1323">
        <f ca="1">C13</f>
        <v>0</v>
      </c>
      <c r="R70" s="1323" t="s">
        <v>818</v>
      </c>
    </row>
    <row r="71" spans="1:18" s="1288" customFormat="1" ht="13.5" thickBot="1">
      <c r="A71" s="913" t="s">
        <v>396</v>
      </c>
      <c r="B71" s="914" t="s">
        <v>776</v>
      </c>
      <c r="C71" s="327" t="e">
        <f ca="1">ROUND(C68/F71,0)</f>
        <v>#DIV/0!</v>
      </c>
      <c r="D71" s="915" t="s">
        <v>777</v>
      </c>
      <c r="E71" s="916" t="s">
        <v>778</v>
      </c>
      <c r="F71" s="330">
        <f ca="1">F43</f>
        <v>0</v>
      </c>
      <c r="O71" s="1330" t="s">
        <v>413</v>
      </c>
      <c r="P71" s="1367" t="s">
        <v>874</v>
      </c>
      <c r="Q71" s="1333">
        <f ca="1">C76</f>
        <v>0</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0</v>
      </c>
      <c r="D75" s="1288"/>
      <c r="E75" s="1288"/>
      <c r="F75" s="1288"/>
      <c r="K75" s="1305"/>
      <c r="L75" s="1288"/>
      <c r="O75" s="1321" t="s">
        <v>409</v>
      </c>
      <c r="P75" s="1322" t="s">
        <v>838</v>
      </c>
      <c r="Q75" s="1323" t="e">
        <f ca="1">Q65+Q66</f>
        <v>#DIV/0!</v>
      </c>
      <c r="R75" s="1323" t="s">
        <v>410</v>
      </c>
    </row>
    <row r="76" spans="1:18">
      <c r="B76" s="333" t="s">
        <v>796</v>
      </c>
      <c r="C76" s="334">
        <f ca="1">INDIRECT("'数据-取费表'!j"&amp;$G$1)</f>
        <v>0</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估价结果一览表（市场价值不需“结果表-1”）</v>
      </c>
      <c r="B3" s="3172"/>
      <c r="C3" s="3172"/>
      <c r="D3" s="3172"/>
      <c r="E3" s="3172"/>
    </row>
    <row r="4" spans="1:5" ht="19.5" thickBot="1">
      <c r="A4" s="1387"/>
      <c r="B4" s="3170" t="s">
        <v>917</v>
      </c>
      <c r="C4" s="3170"/>
      <c r="D4" s="3170"/>
      <c r="E4" s="1387"/>
    </row>
    <row r="5" spans="1:5" ht="16.5" thickTop="1">
      <c r="B5" s="3168" t="s">
        <v>909</v>
      </c>
      <c r="C5" s="1388" t="s">
        <v>910</v>
      </c>
      <c r="D5" s="793" t="e">
        <f ca="1">结果表!H101</f>
        <v>#REF!</v>
      </c>
    </row>
    <row r="6" spans="1:5" ht="15.75">
      <c r="B6" s="3168"/>
      <c r="C6" s="1388" t="s">
        <v>911</v>
      </c>
      <c r="D6" s="793" t="e">
        <f ca="1">NUMBERSTRING(INT(D5*10000),2)&amp;"元整"</f>
        <v>#REF!</v>
      </c>
    </row>
    <row r="7" spans="1:5" ht="15.75">
      <c r="B7" s="3173"/>
      <c r="C7" s="1389" t="s">
        <v>912</v>
      </c>
      <c r="D7" s="794" t="e">
        <f ca="1">结果表!H102</f>
        <v>#REF!</v>
      </c>
    </row>
    <row r="8" spans="1:5" ht="15.75">
      <c r="B8" s="3174" t="str">
        <f>结果表!E103</f>
        <v>2.估价师知悉的法定优先受偿款</v>
      </c>
      <c r="C8" s="1390" t="s">
        <v>913</v>
      </c>
      <c r="D8" s="794">
        <f>结果表!H103</f>
        <v>0</v>
      </c>
    </row>
    <row r="9" spans="1:5" ht="15.75">
      <c r="B9" s="3176"/>
      <c r="C9" s="1388" t="s">
        <v>911</v>
      </c>
      <c r="D9" s="793" t="str">
        <f>NUMBERSTRING(INT(D8*10000),2)&amp;"元整"</f>
        <v>零元整</v>
      </c>
    </row>
    <row r="10" spans="1:5" ht="15">
      <c r="B10" s="1391" t="s">
        <v>916</v>
      </c>
      <c r="C10" s="1392" t="s">
        <v>914</v>
      </c>
      <c r="D10" s="795">
        <f>结果表!H104</f>
        <v>0</v>
      </c>
    </row>
    <row r="11" spans="1:5" ht="15">
      <c r="B11" s="1391" t="s">
        <v>918</v>
      </c>
      <c r="C11" s="1392" t="s">
        <v>919</v>
      </c>
      <c r="D11" s="795">
        <f>结果表!H105</f>
        <v>0</v>
      </c>
    </row>
    <row r="12" spans="1:5" ht="15">
      <c r="B12" s="1391" t="s">
        <v>920</v>
      </c>
      <c r="C12" s="1392" t="s">
        <v>919</v>
      </c>
      <c r="D12" s="795">
        <f>结果表!H106</f>
        <v>0</v>
      </c>
    </row>
    <row r="13" spans="1:5" ht="15.75">
      <c r="B13" s="3167" t="str">
        <f>结果表!E107</f>
        <v>3.房地产抵押价值</v>
      </c>
      <c r="C13" s="1393" t="s">
        <v>910</v>
      </c>
      <c r="D13" s="796" t="e">
        <f ca="1">结果表!H107</f>
        <v>#REF!</v>
      </c>
    </row>
    <row r="14" spans="1:5" ht="15.75">
      <c r="B14" s="3168"/>
      <c r="C14" s="1388" t="s">
        <v>911</v>
      </c>
      <c r="D14" s="793" t="e">
        <f ca="1">NUMBERSTRING(INT(D13*10000),2)&amp;"元整"</f>
        <v>#REF!</v>
      </c>
    </row>
    <row r="15" spans="1:5" ht="15">
      <c r="B15" s="3173"/>
      <c r="C15" s="1389" t="s">
        <v>921</v>
      </c>
      <c r="D15" s="802" t="e">
        <f ca="1">结果表!H108</f>
        <v>#REF!</v>
      </c>
    </row>
    <row r="16" spans="1:5" ht="15">
      <c r="B16" s="3174" t="str">
        <f>结果表!E109</f>
        <v>——</v>
      </c>
      <c r="C16" s="1393" t="s">
        <v>922</v>
      </c>
      <c r="D16" s="1394" t="str">
        <f>结果表!H109</f>
        <v>——</v>
      </c>
    </row>
    <row r="17" spans="1:5" ht="15.75">
      <c r="B17" s="3175"/>
      <c r="C17" s="1388" t="s">
        <v>923</v>
      </c>
      <c r="D17" s="793" t="e">
        <f>NUMBERSTRING(INT(D16*10000),2)&amp;"元整"</f>
        <v>#VALUE!</v>
      </c>
    </row>
    <row r="18" spans="1:5" ht="15">
      <c r="B18" s="3176"/>
      <c r="C18" s="1389" t="s">
        <v>912</v>
      </c>
      <c r="D18" s="802" t="str">
        <f>结果表!H110</f>
        <v>——</v>
      </c>
    </row>
    <row r="19" spans="1:5" ht="15.75">
      <c r="B19" s="3167" t="str">
        <f>结果表!E111</f>
        <v>——</v>
      </c>
      <c r="C19" s="1393" t="s">
        <v>910</v>
      </c>
      <c r="D19" s="794" t="str">
        <f>结果表!H111</f>
        <v>——</v>
      </c>
    </row>
    <row r="20" spans="1:5" ht="15.75">
      <c r="B20" s="3168"/>
      <c r="C20" s="1388" t="s">
        <v>923</v>
      </c>
      <c r="D20" s="793" t="e">
        <f>NUMBERSTRING(INT(D19*10000),2)&amp;"元整"</f>
        <v>#VALUE!</v>
      </c>
    </row>
    <row r="21" spans="1:5" ht="15.75" thickBot="1">
      <c r="B21" s="3169"/>
      <c r="C21" s="1395" t="s">
        <v>921</v>
      </c>
      <c r="D21" s="803" t="str">
        <f>结果表!H112</f>
        <v>——</v>
      </c>
    </row>
    <row r="22" spans="1:5" ht="15" thickTop="1">
      <c r="B22" s="1396" t="s">
        <v>924</v>
      </c>
    </row>
    <row r="24" spans="1:5" ht="18.75">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2431</v>
      </c>
      <c r="B1" s="2576"/>
      <c r="C1" s="2588"/>
      <c r="D1" s="2588"/>
      <c r="E1" s="2577"/>
      <c r="F1" s="2578"/>
      <c r="G1" s="2579"/>
      <c r="J1" s="2582" t="s">
        <v>2310</v>
      </c>
      <c r="K1" s="2583"/>
      <c r="L1" s="2583"/>
      <c r="M1" s="2583"/>
      <c r="N1" s="2583"/>
      <c r="O1" s="2583"/>
      <c r="P1" s="2583"/>
      <c r="Q1" s="2583"/>
      <c r="R1" s="2584"/>
      <c r="S1" s="2585"/>
      <c r="T1" s="2585"/>
      <c r="U1" s="2585"/>
    </row>
    <row r="2" spans="1:22" s="2597" customFormat="1" ht="13.15" customHeight="1">
      <c r="A2" s="1289" t="s">
        <v>2311</v>
      </c>
      <c r="B2" s="2587" t="e">
        <f>IF(D2="——",C40,C40+E2)</f>
        <v>#DIV/0!</v>
      </c>
      <c r="C2" s="2588" t="s">
        <v>2312</v>
      </c>
      <c r="D2" s="3129" t="s">
        <v>3354</v>
      </c>
      <c r="E2" s="3130"/>
      <c r="F2" s="2590"/>
      <c r="G2" s="2591"/>
      <c r="H2" s="2592"/>
      <c r="I2" s="2593"/>
      <c r="J2" s="3362" t="s">
        <v>2313</v>
      </c>
      <c r="K2" s="3363"/>
      <c r="L2" s="2594" t="s">
        <v>2314</v>
      </c>
      <c r="M2" s="2594" t="s">
        <v>2315</v>
      </c>
      <c r="N2" s="2594" t="s">
        <v>2316</v>
      </c>
      <c r="O2" s="2594" t="s">
        <v>2317</v>
      </c>
      <c r="P2" s="2594" t="s">
        <v>2318</v>
      </c>
      <c r="Q2" s="2595" t="s">
        <v>2319</v>
      </c>
      <c r="R2" s="2596" t="s">
        <v>2320</v>
      </c>
      <c r="S2" s="2585"/>
      <c r="T2" s="2585"/>
      <c r="U2" s="2585"/>
      <c r="V2" s="2593"/>
    </row>
    <row r="3" spans="1:22" s="2597" customFormat="1" ht="13.15" customHeight="1">
      <c r="A3" s="2598" t="s">
        <v>2321</v>
      </c>
      <c r="B3" s="2599" t="e">
        <f>ROUND(B2*10000/B4,0)</f>
        <v>#DIV/0!</v>
      </c>
      <c r="C3" s="2588" t="s">
        <v>2322</v>
      </c>
      <c r="D3" s="2588"/>
      <c r="E3" s="2589"/>
      <c r="F3" s="2590"/>
      <c r="G3" s="2591"/>
      <c r="H3" s="2592"/>
      <c r="I3" s="2593"/>
      <c r="J3" s="3364" t="s">
        <v>2323</v>
      </c>
      <c r="K3" s="3365"/>
      <c r="L3" s="2600"/>
      <c r="M3" s="2600"/>
      <c r="N3" s="2600"/>
      <c r="O3" s="2600"/>
      <c r="P3" s="2600"/>
      <c r="Q3" s="2601"/>
      <c r="R3" s="2602">
        <f>SUM(L3:Q3)</f>
        <v>0</v>
      </c>
      <c r="S3" s="2585"/>
      <c r="T3" s="2585"/>
      <c r="U3" s="2585"/>
      <c r="V3" s="2593"/>
    </row>
    <row r="4" spans="1:22" s="2597" customFormat="1" ht="13.15" customHeight="1">
      <c r="A4" s="2603" t="s">
        <v>2324</v>
      </c>
      <c r="B4" s="2604"/>
      <c r="C4" s="2588"/>
      <c r="D4" s="2588"/>
      <c r="E4" s="2589"/>
      <c r="F4" s="2590"/>
      <c r="G4" s="2591"/>
      <c r="H4" s="2592"/>
      <c r="I4" s="2593"/>
      <c r="J4" s="3364" t="s">
        <v>2325</v>
      </c>
      <c r="K4" s="3365"/>
      <c r="L4" s="2605"/>
      <c r="M4" s="2605"/>
      <c r="N4" s="2605"/>
      <c r="O4" s="2605"/>
      <c r="P4" s="2605"/>
      <c r="Q4" s="2606"/>
      <c r="R4" s="2607">
        <f>SUM(L4:Q4)</f>
        <v>0</v>
      </c>
      <c r="S4" s="2585"/>
      <c r="T4" s="2585"/>
      <c r="U4" s="2585"/>
      <c r="V4" s="2593"/>
    </row>
    <row r="5" spans="1:22" s="2597" customFormat="1" ht="13.15" customHeight="1" thickBot="1">
      <c r="A5" s="2608" t="s">
        <v>2326</v>
      </c>
      <c r="B5" s="2609"/>
      <c r="C5" s="2588"/>
      <c r="D5" s="2610"/>
      <c r="E5" s="2590"/>
      <c r="F5" s="2590"/>
      <c r="G5" s="2591"/>
      <c r="H5" s="2592"/>
      <c r="I5" s="2593"/>
      <c r="J5" s="2611" t="s">
        <v>2327</v>
      </c>
      <c r="K5" s="2612"/>
      <c r="L5" s="2612"/>
      <c r="M5" s="2613"/>
      <c r="N5" s="2613"/>
      <c r="O5" s="2613"/>
      <c r="P5" s="2613"/>
      <c r="Q5" s="2613"/>
      <c r="R5" s="2596">
        <f>SUM(R14,R19,R24,R25,R27,R28)</f>
        <v>0</v>
      </c>
      <c r="S5" s="2585"/>
      <c r="T5" s="2585" t="s">
        <v>2328</v>
      </c>
      <c r="U5" s="2585" t="e">
        <f>ROUND(R5*10000/365/R3,1)</f>
        <v>#DIV/0!</v>
      </c>
      <c r="V5" s="2593"/>
    </row>
    <row r="6" spans="1:22" s="2597" customFormat="1" ht="13.15" customHeight="1" thickBot="1">
      <c r="A6" s="3370" t="s">
        <v>2329</v>
      </c>
      <c r="B6" s="3371"/>
      <c r="C6" s="3372"/>
      <c r="D6" s="2614"/>
      <c r="E6" s="2615"/>
      <c r="F6" s="2616"/>
      <c r="G6" s="2617"/>
      <c r="H6" s="2592"/>
      <c r="I6" s="2593"/>
      <c r="J6" s="3356">
        <v>1</v>
      </c>
      <c r="K6" s="3357" t="s">
        <v>2330</v>
      </c>
      <c r="L6" s="2618" t="s">
        <v>2331</v>
      </c>
      <c r="M6" s="2619" t="s">
        <v>2332</v>
      </c>
      <c r="N6" s="2619" t="s">
        <v>2333</v>
      </c>
      <c r="O6" s="2619" t="s">
        <v>2334</v>
      </c>
      <c r="P6" s="2619" t="s">
        <v>2335</v>
      </c>
      <c r="Q6" s="2619" t="s">
        <v>2336</v>
      </c>
      <c r="R6" s="2602" t="s">
        <v>2337</v>
      </c>
      <c r="S6" s="2585"/>
      <c r="T6" s="2585" t="s">
        <v>2338</v>
      </c>
      <c r="U6" s="2585"/>
      <c r="V6" s="2593"/>
    </row>
    <row r="7" spans="1:22" s="2597" customFormat="1" ht="13.15" customHeight="1">
      <c r="A7" s="2620" t="s">
        <v>2339</v>
      </c>
      <c r="B7" s="2621"/>
      <c r="C7" s="2622"/>
      <c r="D7" s="2623">
        <f>SUM(D9,D10,D11,D17,0)</f>
        <v>0</v>
      </c>
      <c r="E7" s="2624" t="e">
        <f>E9+E10+E11+E17</f>
        <v>#DIV/0!</v>
      </c>
      <c r="F7" s="2625"/>
      <c r="G7" s="2626"/>
      <c r="H7" s="2592"/>
      <c r="I7" s="2593"/>
      <c r="J7" s="3356"/>
      <c r="K7" s="3358"/>
      <c r="L7" s="2627" t="s">
        <v>2340</v>
      </c>
      <c r="M7" s="2628"/>
      <c r="N7" s="2604"/>
      <c r="O7" s="2629"/>
      <c r="P7" s="2629"/>
      <c r="Q7" s="2630">
        <v>365</v>
      </c>
      <c r="R7" s="2631">
        <f>ROUND(M7*N7*O7*P7*Q7/10000,0)</f>
        <v>0</v>
      </c>
      <c r="S7" s="2585"/>
      <c r="T7" s="2585" t="s">
        <v>2341</v>
      </c>
      <c r="U7" s="2585"/>
      <c r="V7" s="2593"/>
    </row>
    <row r="8" spans="1:22" s="2597" customFormat="1" ht="13.15" customHeight="1">
      <c r="A8" s="2632" t="s">
        <v>2342</v>
      </c>
      <c r="B8" s="3373" t="s">
        <v>2343</v>
      </c>
      <c r="C8" s="3374"/>
      <c r="D8" s="2633" t="s">
        <v>2344</v>
      </c>
      <c r="E8" s="2634" t="s">
        <v>2345</v>
      </c>
      <c r="F8" s="2635" t="s">
        <v>2346</v>
      </c>
      <c r="G8" s="2636"/>
      <c r="H8" s="2592"/>
      <c r="I8" s="2593"/>
      <c r="J8" s="3356"/>
      <c r="K8" s="3358"/>
      <c r="L8" s="2627" t="s">
        <v>2347</v>
      </c>
      <c r="M8" s="2628"/>
      <c r="N8" s="2604"/>
      <c r="O8" s="2629"/>
      <c r="P8" s="2629"/>
      <c r="Q8" s="2630">
        <v>365</v>
      </c>
      <c r="R8" s="2631">
        <f t="shared" ref="R8:R13" si="0">ROUND(M8*N8*O8*P8*Q8/10000,0)</f>
        <v>0</v>
      </c>
      <c r="S8" s="2585"/>
      <c r="T8" s="2585" t="s">
        <v>2348</v>
      </c>
      <c r="U8" s="2585"/>
      <c r="V8" s="2593"/>
    </row>
    <row r="9" spans="1:22" s="2597" customFormat="1" ht="13.15" customHeight="1">
      <c r="A9" s="2632">
        <v>1</v>
      </c>
      <c r="B9" s="3373" t="s">
        <v>2349</v>
      </c>
      <c r="C9" s="3374"/>
      <c r="D9" s="2633">
        <f>ROUND(D6*E9,0)</f>
        <v>0</v>
      </c>
      <c r="E9" s="2637"/>
      <c r="F9" s="2638" t="s">
        <v>2350</v>
      </c>
      <c r="G9" s="2617"/>
      <c r="H9" s="2592"/>
      <c r="I9" s="2593"/>
      <c r="J9" s="3356"/>
      <c r="K9" s="3358"/>
      <c r="L9" s="2627" t="s">
        <v>2351</v>
      </c>
      <c r="M9" s="2628"/>
      <c r="N9" s="2604"/>
      <c r="O9" s="2629"/>
      <c r="P9" s="2629"/>
      <c r="Q9" s="2630">
        <v>365</v>
      </c>
      <c r="R9" s="2631">
        <f t="shared" si="0"/>
        <v>0</v>
      </c>
      <c r="S9" s="2585"/>
      <c r="T9" s="2585"/>
      <c r="U9" s="2585"/>
      <c r="V9" s="2593"/>
    </row>
    <row r="10" spans="1:22" s="2597" customFormat="1" ht="13.15" customHeight="1">
      <c r="A10" s="2632">
        <v>2</v>
      </c>
      <c r="B10" s="3373" t="s">
        <v>2352</v>
      </c>
      <c r="C10" s="3374"/>
      <c r="D10" s="2633">
        <f>ROUND(D6*E10,0)</f>
        <v>0</v>
      </c>
      <c r="E10" s="2637"/>
      <c r="F10" s="2638" t="s">
        <v>2353</v>
      </c>
      <c r="G10" s="2617"/>
      <c r="H10" s="2592"/>
      <c r="I10" s="2593"/>
      <c r="J10" s="3356"/>
      <c r="K10" s="3358"/>
      <c r="L10" s="2627" t="s">
        <v>2354</v>
      </c>
      <c r="M10" s="2628"/>
      <c r="N10" s="2604"/>
      <c r="O10" s="2629"/>
      <c r="P10" s="2629"/>
      <c r="Q10" s="2630">
        <v>365</v>
      </c>
      <c r="R10" s="2631">
        <f t="shared" si="0"/>
        <v>0</v>
      </c>
      <c r="S10" s="2585"/>
      <c r="T10" s="2585"/>
      <c r="U10" s="2585"/>
      <c r="V10" s="2593"/>
    </row>
    <row r="11" spans="1:22" s="2597" customFormat="1" ht="13.15" customHeight="1">
      <c r="A11" s="2632">
        <v>3</v>
      </c>
      <c r="B11" s="3373" t="s">
        <v>2355</v>
      </c>
      <c r="C11" s="3374"/>
      <c r="D11" s="2633">
        <f>D12+D14+D15+D16</f>
        <v>0</v>
      </c>
      <c r="E11" s="2639" t="e">
        <f>D11/D6</f>
        <v>#DIV/0!</v>
      </c>
      <c r="F11" s="2635"/>
      <c r="G11" s="2636"/>
      <c r="H11" s="2592"/>
      <c r="I11" s="2593"/>
      <c r="J11" s="3356"/>
      <c r="K11" s="3358"/>
      <c r="L11" s="2627" t="s">
        <v>2356</v>
      </c>
      <c r="M11" s="2628"/>
      <c r="N11" s="2604"/>
      <c r="O11" s="2629"/>
      <c r="P11" s="2629"/>
      <c r="Q11" s="2630">
        <v>365</v>
      </c>
      <c r="R11" s="2631">
        <f t="shared" si="0"/>
        <v>0</v>
      </c>
      <c r="S11" s="2585"/>
      <c r="T11" s="2585"/>
      <c r="U11" s="2585"/>
      <c r="V11" s="2593"/>
    </row>
    <row r="12" spans="1:22" s="2597" customFormat="1" ht="13.15" customHeight="1">
      <c r="A12" s="2640" t="s">
        <v>2357</v>
      </c>
      <c r="B12" s="3366" t="s">
        <v>2358</v>
      </c>
      <c r="C12" s="3367"/>
      <c r="D12" s="2641">
        <f>ROUND(D13*1.2%*(1-30%),0)</f>
        <v>0</v>
      </c>
      <c r="E12" s="2642">
        <v>1.2E-2</v>
      </c>
      <c r="F12" s="2635" t="s">
        <v>2359</v>
      </c>
      <c r="G12" s="2636"/>
      <c r="H12" s="2592"/>
      <c r="I12" s="2593"/>
      <c r="J12" s="3356"/>
      <c r="K12" s="3358"/>
      <c r="L12" s="2627" t="s">
        <v>2360</v>
      </c>
      <c r="M12" s="2628"/>
      <c r="N12" s="2604"/>
      <c r="O12" s="2629"/>
      <c r="P12" s="2629"/>
      <c r="Q12" s="2630">
        <v>365</v>
      </c>
      <c r="R12" s="2631">
        <f t="shared" si="0"/>
        <v>0</v>
      </c>
      <c r="S12" s="2585"/>
      <c r="T12" s="2585"/>
      <c r="U12" s="2585"/>
      <c r="V12" s="2593"/>
    </row>
    <row r="13" spans="1:22" s="2597" customFormat="1" ht="13.15" customHeight="1">
      <c r="A13" s="2640"/>
      <c r="B13" s="2643"/>
      <c r="C13" s="2644" t="s">
        <v>2361</v>
      </c>
      <c r="D13" s="2645"/>
      <c r="E13" s="2646"/>
      <c r="F13" s="2635"/>
      <c r="G13" s="2636"/>
      <c r="H13" s="2592"/>
      <c r="I13" s="2593"/>
      <c r="J13" s="3356"/>
      <c r="K13" s="3358"/>
      <c r="L13" s="2627" t="s">
        <v>2362</v>
      </c>
      <c r="M13" s="2628"/>
      <c r="N13" s="2604"/>
      <c r="O13" s="2629"/>
      <c r="P13" s="2629"/>
      <c r="Q13" s="2630">
        <v>365</v>
      </c>
      <c r="R13" s="2631">
        <f t="shared" si="0"/>
        <v>0</v>
      </c>
      <c r="S13" s="2585"/>
      <c r="T13" s="2585"/>
      <c r="U13" s="2585"/>
      <c r="V13" s="2593"/>
    </row>
    <row r="14" spans="1:22" s="2597" customFormat="1" ht="13.15" customHeight="1">
      <c r="A14" s="2640" t="s">
        <v>2363</v>
      </c>
      <c r="B14" s="3366" t="s">
        <v>2364</v>
      </c>
      <c r="C14" s="3367"/>
      <c r="D14" s="2641">
        <f>ROUND(E14*B5/10000,0)</f>
        <v>0</v>
      </c>
      <c r="E14" s="2630"/>
      <c r="F14" s="2635" t="s">
        <v>2365</v>
      </c>
      <c r="G14" s="2636"/>
      <c r="H14" s="2592"/>
      <c r="I14" s="2593"/>
      <c r="J14" s="3356"/>
      <c r="K14" s="3359"/>
      <c r="L14" s="2647" t="s">
        <v>2366</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2367</v>
      </c>
      <c r="B15" s="3366" t="s">
        <v>2368</v>
      </c>
      <c r="C15" s="3367"/>
      <c r="D15" s="2641">
        <f>ROUND(D6*E15,0)</f>
        <v>0</v>
      </c>
      <c r="E15" s="2642">
        <v>5.5E-2</v>
      </c>
      <c r="F15" s="2635" t="s">
        <v>2369</v>
      </c>
      <c r="G15" s="2617"/>
      <c r="H15" s="2592"/>
      <c r="I15" s="2593"/>
      <c r="J15" s="3356">
        <v>2</v>
      </c>
      <c r="K15" s="3357" t="s">
        <v>2370</v>
      </c>
      <c r="L15" s="2627" t="s">
        <v>2371</v>
      </c>
      <c r="M15" s="2628" t="s">
        <v>2372</v>
      </c>
      <c r="N15" s="2628" t="s">
        <v>2373</v>
      </c>
      <c r="O15" s="2629" t="s">
        <v>2374</v>
      </c>
      <c r="P15" s="2629" t="s">
        <v>2336</v>
      </c>
      <c r="Q15" s="2604" t="s">
        <v>2375</v>
      </c>
      <c r="R15" s="2651" t="s">
        <v>2337</v>
      </c>
      <c r="S15" s="2585"/>
      <c r="T15" s="2585"/>
      <c r="U15" s="2585"/>
      <c r="V15" s="2593"/>
    </row>
    <row r="16" spans="1:22" s="2597" customFormat="1" ht="13.15" customHeight="1">
      <c r="A16" s="2640" t="s">
        <v>2376</v>
      </c>
      <c r="B16" s="3366" t="s">
        <v>2377</v>
      </c>
      <c r="C16" s="3367"/>
      <c r="D16" s="2652">
        <f>D6*E16</f>
        <v>0</v>
      </c>
      <c r="E16" s="2653"/>
      <c r="F16" s="2638" t="s">
        <v>2378</v>
      </c>
      <c r="G16" s="2617"/>
      <c r="H16" s="2592"/>
      <c r="I16" s="2593"/>
      <c r="J16" s="3356"/>
      <c r="K16" s="3358"/>
      <c r="L16" s="2627" t="s">
        <v>2379</v>
      </c>
      <c r="M16" s="2628"/>
      <c r="N16" s="2628"/>
      <c r="O16" s="2629"/>
      <c r="P16" s="2630">
        <v>365</v>
      </c>
      <c r="Q16" s="2604"/>
      <c r="R16" s="2651">
        <f>ROUND(M16*N16*O16*P16/10000,0)</f>
        <v>0</v>
      </c>
      <c r="S16" s="2585"/>
      <c r="T16" s="2585"/>
      <c r="U16" s="2585"/>
      <c r="V16" s="2593"/>
    </row>
    <row r="17" spans="1:22" s="2597" customFormat="1" ht="13.15" customHeight="1" thickBot="1">
      <c r="A17" s="2654">
        <v>4</v>
      </c>
      <c r="B17" s="3368" t="s">
        <v>2380</v>
      </c>
      <c r="C17" s="3369"/>
      <c r="D17" s="2655">
        <f>ROUND(D6*E17,0)</f>
        <v>0</v>
      </c>
      <c r="E17" s="2656"/>
      <c r="F17" s="2657" t="s">
        <v>2381</v>
      </c>
      <c r="G17" s="2617"/>
      <c r="H17" s="2592"/>
      <c r="I17" s="2593"/>
      <c r="J17" s="3356"/>
      <c r="K17" s="3358"/>
      <c r="L17" s="2627" t="s">
        <v>2382</v>
      </c>
      <c r="M17" s="2628"/>
      <c r="N17" s="2628"/>
      <c r="O17" s="2629"/>
      <c r="P17" s="2630">
        <v>365</v>
      </c>
      <c r="Q17" s="2604"/>
      <c r="R17" s="2651">
        <f>ROUND(M17*N17*O17*P17/10000,0)</f>
        <v>0</v>
      </c>
      <c r="S17" s="2585"/>
      <c r="T17" s="2585"/>
      <c r="U17" s="2585"/>
      <c r="V17" s="2593"/>
    </row>
    <row r="18" spans="1:22" s="2597" customFormat="1" ht="13.15" customHeight="1" thickBot="1">
      <c r="A18" s="2620" t="s">
        <v>2383</v>
      </c>
      <c r="B18" s="2621"/>
      <c r="C18" s="2621"/>
      <c r="D18" s="2658">
        <f>ROUND(D6*E18,0)</f>
        <v>0</v>
      </c>
      <c r="E18" s="2659"/>
      <c r="F18" s="2660" t="s">
        <v>2384</v>
      </c>
      <c r="G18" s="2617"/>
      <c r="H18" s="2592"/>
      <c r="I18" s="2593"/>
      <c r="J18" s="3356"/>
      <c r="K18" s="3358"/>
      <c r="L18" s="2627" t="s">
        <v>2385</v>
      </c>
      <c r="M18" s="2628"/>
      <c r="N18" s="2628"/>
      <c r="O18" s="2629"/>
      <c r="P18" s="2630">
        <v>365</v>
      </c>
      <c r="Q18" s="2604"/>
      <c r="R18" s="2651">
        <f>ROUND(M18*N18*O18*P18/10000,0)</f>
        <v>0</v>
      </c>
      <c r="S18" s="2585"/>
      <c r="T18" s="2585"/>
      <c r="U18" s="2585"/>
      <c r="V18" s="2593"/>
    </row>
    <row r="19" spans="1:22" s="2597" customFormat="1" ht="13.15" customHeight="1" thickBot="1">
      <c r="A19" s="2661" t="s">
        <v>2386</v>
      </c>
      <c r="B19" s="2615"/>
      <c r="C19" s="2615"/>
      <c r="D19" s="2615"/>
      <c r="E19" s="2615"/>
      <c r="F19" s="2616"/>
      <c r="G19" s="2636"/>
      <c r="H19" s="2592"/>
      <c r="I19" s="2593"/>
      <c r="J19" s="3356"/>
      <c r="K19" s="3359"/>
      <c r="L19" s="2647" t="s">
        <v>2366</v>
      </c>
      <c r="M19" s="2648"/>
      <c r="N19" s="2648">
        <f>SUM(N16:N18)</f>
        <v>0</v>
      </c>
      <c r="O19" s="2649"/>
      <c r="P19" s="2662" t="s">
        <v>2430</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356">
        <v>3</v>
      </c>
      <c r="K20" s="3357" t="s">
        <v>2387</v>
      </c>
      <c r="L20" s="2627" t="s">
        <v>2388</v>
      </c>
      <c r="M20" s="2628" t="s">
        <v>2389</v>
      </c>
      <c r="N20" s="2665" t="s">
        <v>2390</v>
      </c>
      <c r="O20" s="2629" t="s">
        <v>2391</v>
      </c>
      <c r="P20" s="2630" t="s">
        <v>2392</v>
      </c>
      <c r="Q20" s="2604" t="s">
        <v>2393</v>
      </c>
      <c r="R20" s="2651" t="s">
        <v>2394</v>
      </c>
      <c r="S20" s="2585"/>
      <c r="T20" s="2585"/>
      <c r="U20" s="2585"/>
      <c r="V20" s="2593"/>
    </row>
    <row r="21" spans="1:22" s="2597" customFormat="1" ht="13.15" customHeight="1">
      <c r="A21" s="2620"/>
      <c r="B21" s="2621"/>
      <c r="C21" s="2666" t="s">
        <v>2395</v>
      </c>
      <c r="D21" s="2667" t="s">
        <v>2396</v>
      </c>
      <c r="E21" s="2668" t="s">
        <v>2397</v>
      </c>
      <c r="F21" s="2664"/>
      <c r="G21" s="2636"/>
      <c r="H21" s="2592"/>
      <c r="I21" s="2593"/>
      <c r="J21" s="3356"/>
      <c r="K21" s="3358"/>
      <c r="L21" s="2627" t="s">
        <v>2398</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2399</v>
      </c>
      <c r="D22" s="2671" t="s">
        <v>2400</v>
      </c>
      <c r="E22" s="2672" t="s">
        <v>2401</v>
      </c>
      <c r="F22" s="2664"/>
      <c r="G22" s="2585"/>
      <c r="H22" s="2592"/>
      <c r="I22" s="2593"/>
      <c r="J22" s="3356"/>
      <c r="K22" s="3358"/>
      <c r="L22" s="2627" t="s">
        <v>2402</v>
      </c>
      <c r="M22" s="2628"/>
      <c r="N22" s="2628"/>
      <c r="O22" s="2629"/>
      <c r="P22" s="2630">
        <v>365</v>
      </c>
      <c r="Q22" s="2604"/>
      <c r="R22" s="2669">
        <f>ROUND(M22*N22*O22*P22/10000,0)</f>
        <v>0</v>
      </c>
      <c r="S22" s="2585"/>
      <c r="T22" s="2585"/>
      <c r="U22" s="2585"/>
      <c r="V22" s="2593"/>
    </row>
    <row r="23" spans="1:22" s="2597" customFormat="1" ht="13.15" customHeight="1">
      <c r="A23" s="2673">
        <v>1</v>
      </c>
      <c r="B23" s="2674" t="s">
        <v>2403</v>
      </c>
      <c r="C23" s="2675">
        <f>D6</f>
        <v>0</v>
      </c>
      <c r="D23" s="2676">
        <f>C23*(1+D24)</f>
        <v>0</v>
      </c>
      <c r="E23" s="2677">
        <f>D23*(1+E24)</f>
        <v>0</v>
      </c>
      <c r="F23" s="2678"/>
      <c r="G23" s="2679"/>
      <c r="H23" s="2592"/>
      <c r="I23" s="2593"/>
      <c r="J23" s="3356"/>
      <c r="K23" s="3358"/>
      <c r="L23" s="2627" t="s">
        <v>2404</v>
      </c>
      <c r="M23" s="2628"/>
      <c r="N23" s="2628"/>
      <c r="O23" s="2629"/>
      <c r="P23" s="2630">
        <v>365</v>
      </c>
      <c r="Q23" s="2604"/>
      <c r="R23" s="2669">
        <f>ROUND(M23*N23*O23*P23/10000,0)</f>
        <v>0</v>
      </c>
      <c r="S23" s="2585"/>
      <c r="T23" s="2585"/>
      <c r="U23" s="2585"/>
      <c r="V23" s="2593"/>
    </row>
    <row r="24" spans="1:22" s="2597" customFormat="1" ht="13.15" customHeight="1">
      <c r="A24" s="2680"/>
      <c r="B24" s="2681" t="s">
        <v>2405</v>
      </c>
      <c r="C24" s="2682"/>
      <c r="D24" s="2683"/>
      <c r="E24" s="2684"/>
      <c r="F24" s="2685"/>
      <c r="G24" s="2679"/>
      <c r="H24" s="2592"/>
      <c r="I24" s="2593"/>
      <c r="J24" s="3356"/>
      <c r="K24" s="3359"/>
      <c r="L24" s="2647" t="s">
        <v>2366</v>
      </c>
      <c r="M24" s="2648">
        <f>SUM(M21:M23)</f>
        <v>0</v>
      </c>
      <c r="N24" s="2648"/>
      <c r="O24" s="2649"/>
      <c r="P24" s="2662" t="s">
        <v>2430</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2406</v>
      </c>
      <c r="L25" s="2688"/>
      <c r="M25" s="2688"/>
      <c r="N25" s="2688"/>
      <c r="O25" s="2688"/>
      <c r="P25" s="2689"/>
      <c r="Q25" s="2690">
        <v>0</v>
      </c>
      <c r="R25" s="2663">
        <f>ROUND(R14*Q25,0)</f>
        <v>0</v>
      </c>
      <c r="S25" s="2585"/>
      <c r="T25" s="2585"/>
      <c r="U25" s="2585"/>
      <c r="V25" s="2691"/>
    </row>
    <row r="26" spans="1:22" s="2692" customFormat="1" ht="13.15" customHeight="1">
      <c r="A26" s="2673">
        <v>2</v>
      </c>
      <c r="B26" s="2674" t="s">
        <v>2407</v>
      </c>
      <c r="C26" s="2675">
        <f>D7</f>
        <v>0</v>
      </c>
      <c r="D26" s="2676">
        <f>D23*D27</f>
        <v>0</v>
      </c>
      <c r="E26" s="2677">
        <f>E23*E27</f>
        <v>0</v>
      </c>
      <c r="F26" s="2678"/>
      <c r="G26" s="2679"/>
      <c r="H26" s="2592"/>
      <c r="I26" s="2593"/>
      <c r="J26" s="3360">
        <v>5</v>
      </c>
      <c r="K26" s="2693" t="s">
        <v>2408</v>
      </c>
      <c r="L26" s="2694"/>
      <c r="M26" s="2695"/>
      <c r="N26" s="2696" t="s">
        <v>2409</v>
      </c>
      <c r="O26" s="2696" t="s">
        <v>2410</v>
      </c>
      <c r="P26" s="2697" t="s">
        <v>2411</v>
      </c>
      <c r="Q26" s="2697" t="s">
        <v>2412</v>
      </c>
      <c r="R26" s="2602" t="s">
        <v>2337</v>
      </c>
      <c r="S26" s="2636"/>
      <c r="T26" s="2636"/>
      <c r="U26" s="2636"/>
      <c r="V26" s="2691"/>
    </row>
    <row r="27" spans="1:22" s="2597" customFormat="1" ht="13.15" customHeight="1">
      <c r="A27" s="2680"/>
      <c r="B27" s="2681" t="s">
        <v>2413</v>
      </c>
      <c r="C27" s="2698" t="e">
        <f>E7</f>
        <v>#DIV/0!</v>
      </c>
      <c r="D27" s="2683"/>
      <c r="E27" s="2684"/>
      <c r="F27" s="2685"/>
      <c r="G27" s="2679"/>
      <c r="H27" s="2699"/>
      <c r="I27" s="2691"/>
      <c r="J27" s="3361"/>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2414</v>
      </c>
      <c r="F28" s="2685"/>
      <c r="G28" s="2585"/>
      <c r="H28" s="2699"/>
      <c r="I28" s="2691"/>
      <c r="J28" s="2705">
        <v>6</v>
      </c>
      <c r="K28" s="2706" t="s">
        <v>2415</v>
      </c>
      <c r="L28" s="2707" t="s">
        <v>2416</v>
      </c>
      <c r="M28" s="2708"/>
      <c r="N28" s="2707" t="s">
        <v>2417</v>
      </c>
      <c r="O28" s="2709"/>
      <c r="P28" s="2707" t="s">
        <v>2418</v>
      </c>
      <c r="Q28" s="2710">
        <v>1.4999999999999999E-2</v>
      </c>
      <c r="R28" s="2711"/>
      <c r="S28" s="2585"/>
      <c r="T28" s="2585"/>
      <c r="U28" s="2585"/>
      <c r="V28" s="2691"/>
    </row>
    <row r="29" spans="1:22" s="2692" customFormat="1" ht="13.15" customHeight="1">
      <c r="A29" s="2673">
        <v>3</v>
      </c>
      <c r="B29" s="2674" t="s">
        <v>2419</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2413</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2420</v>
      </c>
      <c r="K31" s="2583"/>
      <c r="L31" s="2583"/>
      <c r="M31" s="2583"/>
      <c r="N31" s="2583"/>
      <c r="O31" s="2583"/>
      <c r="P31" s="2583"/>
      <c r="Q31" s="2583"/>
      <c r="R31" s="2584"/>
      <c r="S31" s="2585"/>
      <c r="T31" s="2585"/>
      <c r="U31" s="2585"/>
      <c r="V31" s="2691"/>
    </row>
    <row r="32" spans="1:22" s="2692" customFormat="1" ht="13.15" customHeight="1">
      <c r="A32" s="2673">
        <v>4</v>
      </c>
      <c r="B32" s="2674" t="s">
        <v>2421</v>
      </c>
      <c r="C32" s="2675">
        <f>C23-C26-C29</f>
        <v>0</v>
      </c>
      <c r="D32" s="2676">
        <f>D23-D26-D29</f>
        <v>0</v>
      </c>
      <c r="E32" s="2677">
        <f>E23-E26-E29</f>
        <v>0</v>
      </c>
      <c r="F32" s="2678"/>
      <c r="G32" s="2585"/>
      <c r="H32" s="2592"/>
      <c r="I32" s="2593"/>
      <c r="J32" s="3362" t="s">
        <v>2313</v>
      </c>
      <c r="K32" s="3363"/>
      <c r="L32" s="2594" t="s">
        <v>2314</v>
      </c>
      <c r="M32" s="2594" t="s">
        <v>2315</v>
      </c>
      <c r="N32" s="2594" t="s">
        <v>2316</v>
      </c>
      <c r="O32" s="2594" t="s">
        <v>2317</v>
      </c>
      <c r="P32" s="2594" t="s">
        <v>2318</v>
      </c>
      <c r="Q32" s="2595" t="s">
        <v>2319</v>
      </c>
      <c r="R32" s="2714" t="s">
        <v>2320</v>
      </c>
      <c r="S32" s="2585"/>
      <c r="T32" s="2585"/>
      <c r="U32" s="2585"/>
      <c r="V32" s="2691"/>
    </row>
    <row r="33" spans="1:23" s="2597" customFormat="1" ht="13.15" customHeight="1">
      <c r="A33" s="2673"/>
      <c r="B33" s="2674"/>
      <c r="C33" s="2675"/>
      <c r="D33" s="2715"/>
      <c r="E33" s="2716"/>
      <c r="F33" s="2678"/>
      <c r="G33" s="2585"/>
      <c r="H33" s="2699"/>
      <c r="I33" s="2691"/>
      <c r="J33" s="3364" t="s">
        <v>2323</v>
      </c>
      <c r="K33" s="3365"/>
      <c r="L33" s="2600"/>
      <c r="M33" s="2600"/>
      <c r="N33" s="2600"/>
      <c r="O33" s="2600"/>
      <c r="P33" s="2600"/>
      <c r="Q33" s="2601"/>
      <c r="R33" s="2717">
        <f>SUM(L33:Q33)</f>
        <v>0</v>
      </c>
      <c r="S33" s="2585"/>
      <c r="T33" s="2585"/>
      <c r="U33" s="2585"/>
      <c r="V33" s="2593"/>
    </row>
    <row r="34" spans="1:23" s="2597" customFormat="1" ht="13.15" customHeight="1">
      <c r="A34" s="2673">
        <v>5</v>
      </c>
      <c r="B34" s="2674" t="s">
        <v>2422</v>
      </c>
      <c r="C34" s="2718"/>
      <c r="D34" s="2719"/>
      <c r="E34" s="2720"/>
      <c r="F34" s="2678"/>
      <c r="G34" s="2585"/>
      <c r="H34" s="2699"/>
      <c r="I34" s="2691"/>
      <c r="J34" s="3364" t="s">
        <v>2325</v>
      </c>
      <c r="K34" s="3365"/>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2423</v>
      </c>
      <c r="C35" s="2722"/>
      <c r="D35" s="2723"/>
      <c r="E35" s="2724"/>
      <c r="F35" s="2678"/>
      <c r="G35" s="2725"/>
      <c r="H35" s="2592"/>
      <c r="I35" s="2691"/>
      <c r="J35" s="2611" t="s">
        <v>2327</v>
      </c>
      <c r="K35" s="2612"/>
      <c r="L35" s="2612"/>
      <c r="M35" s="2613"/>
      <c r="N35" s="2613"/>
      <c r="O35" s="2613"/>
      <c r="P35" s="2613"/>
      <c r="Q35" s="2613"/>
      <c r="R35" s="2726">
        <f>R40+R41+R43</f>
        <v>0</v>
      </c>
      <c r="S35" s="2585"/>
      <c r="T35" s="2585" t="s">
        <v>2328</v>
      </c>
      <c r="U35" s="2585"/>
      <c r="V35" s="2593"/>
    </row>
    <row r="36" spans="1:23" s="2597" customFormat="1" ht="13.15" customHeight="1" thickBot="1">
      <c r="A36" s="2673">
        <v>7</v>
      </c>
      <c r="B36" s="2727" t="s">
        <v>2424</v>
      </c>
      <c r="C36" s="2728"/>
      <c r="D36" s="2729"/>
      <c r="E36" s="2730"/>
      <c r="F36" s="2731">
        <f>C36+D36+E36</f>
        <v>0</v>
      </c>
      <c r="G36" s="2585"/>
      <c r="H36" s="2592"/>
      <c r="I36" s="2593"/>
      <c r="J36" s="3356">
        <v>1</v>
      </c>
      <c r="K36" s="3357" t="s">
        <v>2425</v>
      </c>
      <c r="L36" s="2618"/>
      <c r="M36" s="2619"/>
      <c r="N36" s="2619"/>
      <c r="O36" s="2619"/>
      <c r="P36" s="2619"/>
      <c r="Q36" s="2619"/>
      <c r="R36" s="2602" t="s">
        <v>2337</v>
      </c>
      <c r="S36" s="2585"/>
      <c r="T36" s="2585" t="s">
        <v>2338</v>
      </c>
      <c r="U36" s="2585"/>
      <c r="V36" s="2593"/>
    </row>
    <row r="37" spans="1:23" s="2597" customFormat="1" ht="13.15" customHeight="1">
      <c r="A37" s="2673"/>
      <c r="B37" s="2674"/>
      <c r="C37" s="2674"/>
      <c r="D37" s="2674"/>
      <c r="E37" s="2674"/>
      <c r="F37" s="2678"/>
      <c r="G37" s="2585"/>
      <c r="H37" s="2592"/>
      <c r="I37" s="2593"/>
      <c r="J37" s="3356"/>
      <c r="K37" s="3358"/>
      <c r="L37" s="2627"/>
      <c r="M37" s="2628"/>
      <c r="N37" s="2604"/>
      <c r="O37" s="2629"/>
      <c r="P37" s="2629"/>
      <c r="Q37" s="2630"/>
      <c r="R37" s="2631"/>
      <c r="S37" s="2585"/>
      <c r="T37" s="2585" t="s">
        <v>2341</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356"/>
      <c r="K38" s="3358"/>
      <c r="L38" s="2627"/>
      <c r="M38" s="2628"/>
      <c r="N38" s="2604"/>
      <c r="O38" s="2629"/>
      <c r="P38" s="2629"/>
      <c r="Q38" s="2630"/>
      <c r="R38" s="2631"/>
      <c r="S38" s="2585"/>
      <c r="T38" s="2585" t="s">
        <v>2348</v>
      </c>
      <c r="U38" s="2585"/>
      <c r="V38" s="2593"/>
    </row>
    <row r="39" spans="1:23" s="2597" customFormat="1" ht="13.15" customHeight="1">
      <c r="A39" s="2673">
        <v>9</v>
      </c>
      <c r="B39" s="2674" t="s">
        <v>2426</v>
      </c>
      <c r="C39" s="2641" t="e">
        <f>C38</f>
        <v>#DIV/0!</v>
      </c>
      <c r="D39" s="2674">
        <f>D38/(1+D34)^C36</f>
        <v>0</v>
      </c>
      <c r="E39" s="2674">
        <f>E38/(1+E34)^(C36+D36)</f>
        <v>0</v>
      </c>
      <c r="F39" s="2678"/>
      <c r="G39" s="2593"/>
      <c r="H39" s="2592"/>
      <c r="I39" s="2593"/>
      <c r="J39" s="3356"/>
      <c r="K39" s="3358"/>
      <c r="L39" s="2627"/>
      <c r="M39" s="2628"/>
      <c r="N39" s="2604"/>
      <c r="O39" s="2629"/>
      <c r="P39" s="2629"/>
      <c r="Q39" s="2630"/>
      <c r="R39" s="2631"/>
      <c r="S39" s="2585"/>
      <c r="T39" s="2585"/>
      <c r="U39" s="2585"/>
      <c r="V39" s="2593"/>
    </row>
    <row r="40" spans="1:23" s="2597" customFormat="1" ht="13.15" customHeight="1">
      <c r="A40" s="2732">
        <v>10</v>
      </c>
      <c r="B40" s="2674" t="s">
        <v>2427</v>
      </c>
      <c r="C40" s="2733" t="e">
        <f>C39+D39+E39</f>
        <v>#DIV/0!</v>
      </c>
      <c r="D40" s="2734"/>
      <c r="E40" s="2734"/>
      <c r="F40" s="2735"/>
      <c r="G40" s="2585"/>
      <c r="H40" s="2592"/>
      <c r="I40" s="2593"/>
      <c r="J40" s="3356"/>
      <c r="K40" s="3359"/>
      <c r="L40" s="2647" t="s">
        <v>2366</v>
      </c>
      <c r="M40" s="2648"/>
      <c r="N40" s="2648"/>
      <c r="O40" s="2649"/>
      <c r="P40" s="2649"/>
      <c r="Q40" s="2650"/>
      <c r="R40" s="2596">
        <f>SUM(R37:R39)</f>
        <v>0</v>
      </c>
      <c r="S40" s="2585"/>
      <c r="T40" s="2585"/>
      <c r="U40" s="2585"/>
      <c r="V40" s="2593"/>
    </row>
    <row r="41" spans="1:23" s="2597" customFormat="1" ht="13.15" customHeight="1" thickBot="1">
      <c r="A41" s="2736">
        <v>11</v>
      </c>
      <c r="B41" s="2737" t="s">
        <v>2428</v>
      </c>
      <c r="C41" s="2737" t="e">
        <f>ROUND(C40*10000/B4,0)</f>
        <v>#DIV/0!</v>
      </c>
      <c r="D41" s="2738"/>
      <c r="E41" s="2738"/>
      <c r="F41" s="2739"/>
      <c r="G41" s="2592"/>
      <c r="H41" s="2592"/>
      <c r="I41" s="2593"/>
      <c r="J41" s="2686">
        <v>2</v>
      </c>
      <c r="K41" s="2687" t="s">
        <v>2406</v>
      </c>
      <c r="L41" s="2688"/>
      <c r="M41" s="2688"/>
      <c r="N41" s="2688"/>
      <c r="O41" s="2688"/>
      <c r="P41" s="2689"/>
      <c r="Q41" s="2690"/>
      <c r="R41" s="2663">
        <f>ROUND(R40*Q41,0)</f>
        <v>0</v>
      </c>
      <c r="S41" s="2585"/>
      <c r="T41" s="2585"/>
      <c r="U41" s="2636"/>
      <c r="V41" s="2593"/>
    </row>
    <row r="42" spans="1:23" s="2597" customFormat="1" ht="13.15" customHeight="1">
      <c r="G42" s="2592"/>
      <c r="H42" s="2592"/>
      <c r="I42" s="2593"/>
      <c r="J42" s="3360">
        <v>3</v>
      </c>
      <c r="K42" s="2693" t="s">
        <v>2408</v>
      </c>
      <c r="L42" s="2694"/>
      <c r="M42" s="2695"/>
      <c r="N42" s="2696" t="s">
        <v>2409</v>
      </c>
      <c r="O42" s="2696" t="s">
        <v>2410</v>
      </c>
      <c r="P42" s="2697" t="s">
        <v>2411</v>
      </c>
      <c r="Q42" s="2697" t="s">
        <v>2412</v>
      </c>
      <c r="R42" s="2602" t="s">
        <v>2337</v>
      </c>
      <c r="S42" s="2636"/>
      <c r="T42" s="2636"/>
      <c r="U42" s="2585"/>
      <c r="V42" s="2593"/>
    </row>
    <row r="43" spans="1:23" ht="13.15" customHeight="1">
      <c r="A43" s="2597"/>
      <c r="B43" s="2597"/>
      <c r="C43" s="2597"/>
      <c r="D43" s="2597"/>
      <c r="E43" s="2597"/>
      <c r="F43" s="2597"/>
      <c r="I43" s="2580"/>
      <c r="J43" s="3361"/>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2415</v>
      </c>
      <c r="L44" s="2742" t="s">
        <v>2416</v>
      </c>
      <c r="M44" s="2708"/>
      <c r="N44" s="2742" t="s">
        <v>2417</v>
      </c>
      <c r="O44" s="2708"/>
      <c r="P44" s="2742" t="s">
        <v>2418</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6" sqref="F6"/>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1" t="s">
        <v>1658</v>
      </c>
      <c r="B1" s="1722"/>
      <c r="C1" s="1722"/>
      <c r="D1" s="1722"/>
      <c r="E1" s="1723"/>
      <c r="F1" s="2472"/>
      <c r="G1" s="459"/>
      <c r="H1" s="459"/>
      <c r="I1" s="459"/>
      <c r="J1" s="459"/>
      <c r="K1" s="459"/>
      <c r="L1" s="459"/>
      <c r="M1" s="459"/>
      <c r="N1" s="459"/>
      <c r="O1" s="459"/>
      <c r="P1" s="459"/>
      <c r="Q1" s="459"/>
      <c r="R1" s="459"/>
      <c r="S1" s="459"/>
    </row>
    <row r="2" spans="1:22" ht="15.75">
      <c r="A2" s="1724" t="s">
        <v>1462</v>
      </c>
      <c r="B2" s="807">
        <f ca="1">SUMIF(B6:B13,"&lt;&gt;#ref!",B6:B13)</f>
        <v>70.682299999999998</v>
      </c>
      <c r="C2" s="1725" t="s">
        <v>1651</v>
      </c>
      <c r="D2" s="1726" t="s">
        <v>1652</v>
      </c>
      <c r="E2" s="2385">
        <f>SUM(E6:E13)</f>
        <v>154.79</v>
      </c>
      <c r="F2" s="2472"/>
      <c r="G2" s="459"/>
      <c r="H2" s="459"/>
      <c r="I2" s="459"/>
      <c r="J2" s="459"/>
      <c r="K2" s="459"/>
      <c r="L2" s="459"/>
      <c r="M2" s="459"/>
      <c r="N2" s="459"/>
      <c r="O2" s="459"/>
      <c r="P2" s="459"/>
      <c r="Q2" s="459"/>
      <c r="R2" s="459"/>
      <c r="S2" s="459"/>
    </row>
    <row r="3" spans="1:22" ht="15.75">
      <c r="A3" s="1724" t="s">
        <v>686</v>
      </c>
      <c r="B3" s="2379">
        <f ca="1">ROUND(B2*10000/E2,0)</f>
        <v>4566</v>
      </c>
      <c r="C3" s="1725" t="s">
        <v>1659</v>
      </c>
      <c r="D3" s="2472"/>
      <c r="E3" s="2475"/>
      <c r="F3" s="2472"/>
      <c r="G3" s="459"/>
      <c r="H3" s="459"/>
      <c r="I3" s="459"/>
      <c r="J3" s="459"/>
      <c r="K3" s="459"/>
      <c r="L3" s="459"/>
      <c r="M3" s="459"/>
      <c r="N3" s="459"/>
      <c r="O3" s="459"/>
      <c r="P3" s="459"/>
      <c r="Q3" s="459"/>
      <c r="R3" s="459"/>
      <c r="S3" s="459"/>
    </row>
    <row r="4" spans="1:22" ht="15.75">
      <c r="A4" s="2476"/>
      <c r="B4" s="2472"/>
      <c r="C4" s="2472"/>
      <c r="D4" s="2472"/>
      <c r="E4" s="2475"/>
      <c r="F4" s="2472"/>
      <c r="G4" s="459"/>
      <c r="H4" s="459"/>
      <c r="I4" s="459"/>
      <c r="J4" s="459"/>
      <c r="K4" s="459"/>
      <c r="L4" s="459"/>
      <c r="M4" s="459"/>
      <c r="N4" s="459"/>
      <c r="O4" s="459"/>
      <c r="P4" s="459"/>
      <c r="Q4" s="459"/>
      <c r="R4" s="459"/>
      <c r="S4" s="459"/>
    </row>
    <row r="5" spans="1:22" ht="15">
      <c r="A5" s="2381" t="s">
        <v>1653</v>
      </c>
      <c r="B5" s="3375" t="s">
        <v>1654</v>
      </c>
      <c r="C5" s="3376"/>
      <c r="D5" s="2473"/>
      <c r="E5" s="1727" t="s">
        <v>1655</v>
      </c>
      <c r="F5" s="129" t="s">
        <v>1656</v>
      </c>
      <c r="G5" s="459"/>
      <c r="H5" s="459"/>
      <c r="I5" s="459"/>
      <c r="J5" s="459"/>
      <c r="K5" s="459"/>
      <c r="L5" s="459"/>
      <c r="M5" s="459"/>
      <c r="N5" s="459"/>
      <c r="O5" s="459"/>
      <c r="P5" s="459"/>
      <c r="Q5" s="459"/>
      <c r="R5" s="459"/>
      <c r="S5" s="459"/>
    </row>
    <row r="6" spans="1:22">
      <c r="A6" s="2382" t="str">
        <f>'数据-取费表'!AN6</f>
        <v>收益法 (元)</v>
      </c>
      <c r="B6" s="2380">
        <f ca="1">IF(F6="是",'数据-取费表'!AO6,0)</f>
        <v>70.682299999999998</v>
      </c>
      <c r="C6" s="1725" t="s">
        <v>1651</v>
      </c>
      <c r="D6" s="2472"/>
      <c r="E6" s="2384">
        <f>IF(OR(A6=0,F6="否"),0,'数据-取费表'!K6+'数据-取费表'!S6)</f>
        <v>154.79</v>
      </c>
      <c r="F6" s="1728" t="s">
        <v>1657</v>
      </c>
      <c r="G6" s="459"/>
      <c r="H6" s="459"/>
      <c r="I6" s="459"/>
      <c r="J6" s="459"/>
      <c r="K6" s="459"/>
      <c r="L6" s="459"/>
      <c r="M6" s="459"/>
      <c r="N6" s="459"/>
      <c r="O6" s="459"/>
      <c r="P6" s="459"/>
      <c r="Q6" s="459"/>
      <c r="R6" s="459"/>
      <c r="S6" s="459"/>
    </row>
    <row r="7" spans="1:22">
      <c r="A7" s="2382">
        <f>'数据-取费表'!AN7</f>
        <v>0</v>
      </c>
      <c r="B7" s="2380" t="e">
        <f ca="1">IF(F7="是",'数据-取费表'!AO7,0)</f>
        <v>#REF!</v>
      </c>
      <c r="C7" s="1725" t="s">
        <v>1651</v>
      </c>
      <c r="D7" s="2472"/>
      <c r="E7" s="2384">
        <f>IF(OR(A7=0,F7="否"),0,'数据-取费表'!K7+'数据-取费表'!S7)</f>
        <v>0</v>
      </c>
      <c r="F7" s="1728" t="s">
        <v>1657</v>
      </c>
      <c r="G7" s="459"/>
      <c r="H7" s="459"/>
      <c r="I7" s="459"/>
      <c r="J7" s="459"/>
      <c r="K7" s="459"/>
      <c r="L7" s="459"/>
      <c r="M7" s="459"/>
      <c r="N7" s="459"/>
      <c r="O7" s="459"/>
      <c r="P7" s="459"/>
      <c r="Q7" s="459"/>
      <c r="R7" s="459"/>
      <c r="S7" s="459"/>
    </row>
    <row r="8" spans="1:22">
      <c r="A8" s="2382">
        <f>'数据-取费表'!AN8</f>
        <v>0</v>
      </c>
      <c r="B8" s="2380" t="e">
        <f ca="1">IF(F8="是",'数据-取费表'!AO8,0)</f>
        <v>#REF!</v>
      </c>
      <c r="C8" s="1725" t="s">
        <v>1651</v>
      </c>
      <c r="D8" s="2472"/>
      <c r="E8" s="2384">
        <f>IF(OR(A8=0,F8="否"),0,'数据-取费表'!K8+'数据-取费表'!S8)</f>
        <v>0</v>
      </c>
      <c r="F8" s="1728" t="s">
        <v>1657</v>
      </c>
      <c r="G8" s="459"/>
      <c r="H8" s="459"/>
      <c r="I8" s="459"/>
      <c r="J8" s="459"/>
      <c r="K8" s="459"/>
      <c r="L8" s="459"/>
      <c r="M8" s="459"/>
      <c r="N8" s="459"/>
      <c r="O8" s="459"/>
      <c r="P8" s="459"/>
      <c r="Q8" s="459"/>
      <c r="R8" s="459"/>
      <c r="S8" s="459"/>
    </row>
    <row r="9" spans="1:22">
      <c r="A9" s="2382">
        <f>'数据-取费表'!AN9</f>
        <v>0</v>
      </c>
      <c r="B9" s="2380" t="e">
        <f ca="1">IF(F9="是",'数据-取费表'!AO9,0)</f>
        <v>#REF!</v>
      </c>
      <c r="C9" s="1725" t="s">
        <v>1651</v>
      </c>
      <c r="D9" s="2472"/>
      <c r="E9" s="2384">
        <f>IF(OR(A9=0,F9="否"),0,'数据-取费表'!K9+'数据-取费表'!S9)</f>
        <v>0</v>
      </c>
      <c r="F9" s="1728" t="s">
        <v>1657</v>
      </c>
      <c r="G9" s="459"/>
      <c r="H9" s="459"/>
      <c r="I9" s="459"/>
      <c r="J9" s="459"/>
      <c r="K9" s="459"/>
      <c r="L9" s="459"/>
      <c r="M9" s="459"/>
      <c r="N9" s="459"/>
      <c r="O9" s="459"/>
      <c r="P9" s="459"/>
      <c r="Q9" s="459"/>
      <c r="R9" s="459"/>
      <c r="S9" s="459"/>
    </row>
    <row r="10" spans="1:22">
      <c r="A10" s="2382">
        <f>'数据-取费表'!AN10</f>
        <v>0</v>
      </c>
      <c r="B10" s="2380" t="e">
        <f ca="1">IF(F10="是",'数据-取费表'!AO10,0)</f>
        <v>#REF!</v>
      </c>
      <c r="C10" s="1725" t="s">
        <v>1651</v>
      </c>
      <c r="D10" s="2472"/>
      <c r="E10" s="2384">
        <f>IF(OR(A10=0,F10="否"),0,'数据-取费表'!K10+'数据-取费表'!S10)</f>
        <v>0</v>
      </c>
      <c r="F10" s="1728" t="s">
        <v>1657</v>
      </c>
      <c r="G10" s="459"/>
      <c r="H10" s="459"/>
      <c r="I10" s="459"/>
      <c r="J10" s="459"/>
      <c r="K10" s="459"/>
      <c r="L10" s="459"/>
      <c r="M10" s="459"/>
      <c r="N10" s="459"/>
      <c r="O10" s="459"/>
      <c r="P10" s="459"/>
      <c r="Q10" s="459"/>
      <c r="R10" s="459"/>
      <c r="S10" s="459"/>
    </row>
    <row r="11" spans="1:22">
      <c r="A11" s="2382">
        <f>'数据-取费表'!AN11</f>
        <v>0</v>
      </c>
      <c r="B11" s="2380" t="e">
        <f ca="1">IF(F11="是",'数据-取费表'!AO11,0)</f>
        <v>#REF!</v>
      </c>
      <c r="C11" s="1725" t="s">
        <v>1651</v>
      </c>
      <c r="D11" s="2472"/>
      <c r="E11" s="2384">
        <f>IF(OR(A11=0,F11="否"),0,'数据-取费表'!K11+'数据-取费表'!S11)</f>
        <v>0</v>
      </c>
      <c r="F11" s="1728" t="s">
        <v>1657</v>
      </c>
      <c r="G11" s="459"/>
      <c r="H11" s="459"/>
      <c r="I11" s="459"/>
      <c r="J11" s="459"/>
      <c r="K11" s="459"/>
      <c r="L11" s="459"/>
      <c r="M11" s="459"/>
      <c r="N11" s="459"/>
      <c r="O11" s="459"/>
      <c r="P11" s="459"/>
      <c r="Q11" s="459"/>
      <c r="R11" s="459"/>
      <c r="S11" s="459"/>
    </row>
    <row r="12" spans="1:22">
      <c r="A12" s="2382">
        <f>'数据-取费表'!AN12</f>
        <v>0</v>
      </c>
      <c r="B12" s="2380" t="e">
        <f ca="1">IF(F12="是",'数据-取费表'!AO12,0)</f>
        <v>#REF!</v>
      </c>
      <c r="C12" s="1725" t="s">
        <v>1651</v>
      </c>
      <c r="D12" s="2472"/>
      <c r="E12" s="2384">
        <f>IF(OR(A12=0,F12="否"),0,'数据-取费表'!K12+'数据-取费表'!S12)</f>
        <v>0</v>
      </c>
      <c r="F12" s="1728" t="s">
        <v>1657</v>
      </c>
      <c r="G12" s="459"/>
      <c r="H12" s="459"/>
      <c r="I12" s="459"/>
      <c r="J12" s="459"/>
      <c r="K12" s="459"/>
      <c r="L12" s="459"/>
      <c r="M12" s="459"/>
      <c r="N12" s="459"/>
      <c r="O12" s="459"/>
      <c r="P12" s="459"/>
      <c r="Q12" s="459"/>
      <c r="R12" s="459"/>
      <c r="S12" s="459"/>
    </row>
    <row r="13" spans="1:22" ht="15" thickBot="1">
      <c r="A13" s="2383">
        <f>'数据-取费表'!AN13</f>
        <v>0</v>
      </c>
      <c r="B13" s="2380" t="e">
        <f ca="1">IF(F13="是",'数据-取费表'!AO13,0)</f>
        <v>#REF!</v>
      </c>
      <c r="C13" s="1729" t="s">
        <v>1651</v>
      </c>
      <c r="D13" s="2474"/>
      <c r="E13" s="2384">
        <f>IF(OR(A13=0,F13="否"),0,'数据-取费表'!K13+'数据-取费表'!S13)</f>
        <v>0</v>
      </c>
      <c r="F13" s="1728"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0" zoomScale="85" zoomScaleNormal="60" zoomScaleSheetLayoutView="85" workbookViewId="0">
      <selection activeCell="K34" sqref="K3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1660</v>
      </c>
      <c r="B1" s="1730" t="s">
        <v>1661</v>
      </c>
      <c r="C1" s="1151" t="s">
        <v>1662</v>
      </c>
      <c r="D1" s="1138" t="s">
        <v>3401</v>
      </c>
      <c r="E1" s="3116" t="s">
        <v>3469</v>
      </c>
      <c r="F1" s="1731" t="s">
        <v>3470</v>
      </c>
      <c r="G1" s="1148" t="s">
        <v>1663</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685</v>
      </c>
      <c r="B2" s="3117">
        <f>IF(E1="项目模式",IF(C2="——",ROUND(C49*D3/10000,0),ROUND(C49*D3/10000,0)-D2),IF(E1="单套模式",IF(C2="——",ROUND(C49*D3/10000,4),ROUND(C49*D3/10000,4)-D2)))</f>
        <v>112.4085</v>
      </c>
      <c r="C2" s="1733" t="s">
        <v>43</v>
      </c>
      <c r="D2" s="1048" t="e">
        <f ca="1">IF(E1="项目模式",SUMIF(INDIRECT("'"&amp;F2&amp;"'"&amp;"!A:A"),"承租人权益价值",INDIRECT("'"&amp;F2&amp;"'"&amp;"!c:c")),SUMIF(INDIRECT("'"&amp;F2&amp;"'"&amp;"!A:A"),"承租人权益价值（单套）",INDIRECT("'"&amp;F2&amp;"'"&amp;"!c:c")))</f>
        <v>#REF!</v>
      </c>
      <c r="E2" s="1734" t="s">
        <v>1664</v>
      </c>
      <c r="F2" s="1735"/>
      <c r="G2" s="850"/>
      <c r="H2" s="850"/>
      <c r="I2" s="850"/>
      <c r="J2" s="850"/>
      <c r="K2" s="1736"/>
      <c r="L2" s="2477"/>
      <c r="M2" s="2478"/>
      <c r="N2" s="2478"/>
      <c r="O2" s="2478"/>
      <c r="P2" s="1737"/>
      <c r="Q2" s="1738"/>
      <c r="R2" s="1738"/>
      <c r="S2" s="1738"/>
      <c r="T2" s="1738"/>
      <c r="U2" s="1738"/>
      <c r="V2" s="1738"/>
      <c r="W2" s="1738"/>
      <c r="X2" s="1738"/>
      <c r="Y2" s="1738"/>
      <c r="Z2" s="1738"/>
      <c r="AA2" s="1738"/>
      <c r="AB2" s="1738"/>
      <c r="AC2" s="994"/>
    </row>
    <row r="3" spans="1:29" s="338" customFormat="1" ht="28.5" customHeight="1" thickBot="1">
      <c r="A3" s="195" t="s">
        <v>686</v>
      </c>
      <c r="B3" s="343">
        <f>IF(C2="——",C49,ROUND(B2*10000/D3,0))</f>
        <v>7262</v>
      </c>
      <c r="C3" s="344" t="s">
        <v>1665</v>
      </c>
      <c r="D3" s="343">
        <f>IF(D1="",'数据-汇总表'!E3,SUMIF('数据-汇总表'!$C19:$C33,D1,'数据-汇总表'!$E19:$E33))</f>
        <v>154.79</v>
      </c>
      <c r="E3" s="850"/>
      <c r="F3" s="1739"/>
      <c r="G3" s="850"/>
      <c r="H3" s="850"/>
      <c r="I3" s="850"/>
      <c r="J3" s="850"/>
      <c r="K3" s="1736"/>
      <c r="L3" s="2477"/>
      <c r="M3" s="2478"/>
      <c r="N3" s="2478"/>
      <c r="O3" s="2478"/>
      <c r="P3" s="1737"/>
      <c r="Q3" s="1738"/>
      <c r="R3" s="1738"/>
      <c r="S3" s="1738"/>
      <c r="T3" s="1738"/>
      <c r="U3" s="1738"/>
      <c r="V3" s="1738"/>
      <c r="W3" s="1738"/>
      <c r="X3" s="1738"/>
      <c r="Y3" s="1738"/>
      <c r="Z3" s="1738"/>
      <c r="AA3" s="1738"/>
      <c r="AB3" s="1738"/>
      <c r="AC3" s="994"/>
    </row>
    <row r="4" spans="1:29" ht="15">
      <c r="A4" s="345" t="s">
        <v>1666</v>
      </c>
      <c r="B4" s="346"/>
      <c r="C4" s="3395" t="s">
        <v>1667</v>
      </c>
      <c r="D4" s="3396"/>
      <c r="E4" s="3397" t="s">
        <v>1668</v>
      </c>
      <c r="F4" s="3398"/>
      <c r="G4" s="3395" t="s">
        <v>1669</v>
      </c>
      <c r="H4" s="3396"/>
      <c r="I4" s="3395" t="s">
        <v>1670</v>
      </c>
      <c r="J4" s="3396"/>
      <c r="K4" s="1740" t="s">
        <v>1671</v>
      </c>
      <c r="L4" s="2479"/>
      <c r="M4" s="2480"/>
      <c r="N4" s="2480"/>
      <c r="O4" s="2480"/>
      <c r="P4" s="3399" t="s">
        <v>1672</v>
      </c>
      <c r="Q4" s="3400"/>
      <c r="R4" s="3405" t="s">
        <v>1668</v>
      </c>
      <c r="S4" s="3406"/>
      <c r="T4" s="3405" t="s">
        <v>1669</v>
      </c>
      <c r="U4" s="3406"/>
      <c r="V4" s="3381" t="s">
        <v>1670</v>
      </c>
      <c r="W4" s="3381"/>
      <c r="X4" s="1261"/>
      <c r="Y4" s="3405" t="s">
        <v>1672</v>
      </c>
      <c r="Z4" s="3406"/>
      <c r="AA4" s="3392" t="s">
        <v>1668</v>
      </c>
      <c r="AB4" s="3392" t="s">
        <v>1669</v>
      </c>
      <c r="AC4" s="3392" t="s">
        <v>1670</v>
      </c>
    </row>
    <row r="5" spans="1:29" ht="15">
      <c r="A5" s="348"/>
      <c r="B5" s="349"/>
      <c r="C5" s="3510" t="s">
        <v>3472</v>
      </c>
      <c r="D5" s="3414"/>
      <c r="E5" s="3509" t="s">
        <v>3471</v>
      </c>
      <c r="F5" s="3421"/>
      <c r="G5" s="3509" t="s">
        <v>3471</v>
      </c>
      <c r="H5" s="3421"/>
      <c r="I5" s="3509" t="s">
        <v>3471</v>
      </c>
      <c r="J5" s="3421"/>
      <c r="K5" s="1741"/>
      <c r="L5" s="2479"/>
      <c r="M5" s="2480"/>
      <c r="N5" s="2480"/>
      <c r="O5" s="2480"/>
      <c r="P5" s="3401"/>
      <c r="Q5" s="3402"/>
      <c r="R5" s="3407"/>
      <c r="S5" s="3408"/>
      <c r="T5" s="3407"/>
      <c r="U5" s="3408"/>
      <c r="V5" s="3381"/>
      <c r="W5" s="3381"/>
      <c r="X5" s="1261"/>
      <c r="Y5" s="3407"/>
      <c r="Z5" s="3408"/>
      <c r="AA5" s="3393"/>
      <c r="AB5" s="3393"/>
      <c r="AC5" s="3393"/>
    </row>
    <row r="6" spans="1:29" ht="15.75" thickBot="1">
      <c r="A6" s="350"/>
      <c r="B6" s="351"/>
      <c r="C6" s="3411" t="s">
        <v>1677</v>
      </c>
      <c r="D6" s="3412"/>
      <c r="E6" s="3418" t="s">
        <v>1677</v>
      </c>
      <c r="F6" s="3419"/>
      <c r="G6" s="3411" t="s">
        <v>1677</v>
      </c>
      <c r="H6" s="3412"/>
      <c r="I6" s="3411" t="s">
        <v>1677</v>
      </c>
      <c r="J6" s="3412"/>
      <c r="K6" s="1741" t="s">
        <v>1678</v>
      </c>
      <c r="L6" s="2479"/>
      <c r="M6" s="2480"/>
      <c r="N6" s="2480"/>
      <c r="O6" s="2480"/>
      <c r="P6" s="3403"/>
      <c r="Q6" s="3404"/>
      <c r="R6" s="3407"/>
      <c r="S6" s="3408"/>
      <c r="T6" s="3409"/>
      <c r="U6" s="3410"/>
      <c r="V6" s="3381"/>
      <c r="W6" s="3381"/>
      <c r="X6" s="1261"/>
      <c r="Y6" s="3409"/>
      <c r="Z6" s="3410"/>
      <c r="AA6" s="3394"/>
      <c r="AB6" s="3394"/>
      <c r="AC6" s="3394"/>
    </row>
    <row r="7" spans="1:29" s="102" customFormat="1" ht="15.75" thickBot="1">
      <c r="A7" s="352" t="s">
        <v>1679</v>
      </c>
      <c r="B7" s="353"/>
      <c r="C7" s="354">
        <f>'数据-取费表'!B2</f>
        <v>45940</v>
      </c>
      <c r="D7" s="355">
        <v>100</v>
      </c>
      <c r="E7" s="356">
        <f>案例!D57</f>
        <v>45778</v>
      </c>
      <c r="F7" s="357">
        <f>SUMIF(58:58,YEAR(E7)&amp;"-"&amp;MONTH(E7),59:59)</f>
        <v>103.99999999999999</v>
      </c>
      <c r="G7" s="356">
        <f>案例!D58</f>
        <v>45839</v>
      </c>
      <c r="H7" s="355">
        <f>SUMIF(58:58,YEAR(G7)&amp;"-"&amp;MONTH(G7),59:59)</f>
        <v>102.39999999999999</v>
      </c>
      <c r="I7" s="356">
        <v>45931</v>
      </c>
      <c r="J7" s="355">
        <f>SUMIF(58:58,YEAR(I7)&amp;"-"&amp;MONTH(I7),59:59)</f>
        <v>100</v>
      </c>
      <c r="K7" s="1742"/>
      <c r="L7" s="2481"/>
      <c r="M7" s="2432"/>
      <c r="N7" s="2432"/>
      <c r="O7" s="2432"/>
      <c r="P7" s="3415" t="s">
        <v>1680</v>
      </c>
      <c r="Q7" s="3417"/>
      <c r="R7" s="664" t="s">
        <v>20</v>
      </c>
      <c r="S7" s="665">
        <f t="shared" ref="S7:S15" si="0">F7</f>
        <v>103.99999999999999</v>
      </c>
      <c r="T7" s="664" t="s">
        <v>20</v>
      </c>
      <c r="U7" s="665">
        <f t="shared" ref="U7:U15" si="1">H7</f>
        <v>102.39999999999999</v>
      </c>
      <c r="V7" s="664" t="s">
        <v>20</v>
      </c>
      <c r="W7" s="665">
        <f t="shared" ref="W7:W15" si="2">J7</f>
        <v>100</v>
      </c>
      <c r="X7" s="666"/>
      <c r="Y7" s="3415" t="s">
        <v>1680</v>
      </c>
      <c r="Z7" s="3416"/>
      <c r="AA7" s="50">
        <f>D7/F7</f>
        <v>0.96153846153846168</v>
      </c>
      <c r="AB7" s="50">
        <f>D7/H7</f>
        <v>0.97656250000000011</v>
      </c>
      <c r="AC7" s="50">
        <f>D7/J7</f>
        <v>1</v>
      </c>
    </row>
    <row r="8" spans="1:29" s="102" customFormat="1" ht="15.75" thickBot="1">
      <c r="A8" s="352" t="s">
        <v>1681</v>
      </c>
      <c r="B8" s="353"/>
      <c r="C8" s="358" t="s">
        <v>3473</v>
      </c>
      <c r="D8" s="355">
        <v>100</v>
      </c>
      <c r="E8" s="1743" t="s">
        <v>3473</v>
      </c>
      <c r="F8" s="357">
        <f>SUMIF(61:61,E8,62:62)-SUMIF(61:61,C8,62:62)+100</f>
        <v>100</v>
      </c>
      <c r="G8" s="358" t="s">
        <v>3473</v>
      </c>
      <c r="H8" s="355">
        <f>SUMIF(61:61,G8,62:62)-SUMIF(61:61,C8,62:62)+100</f>
        <v>100</v>
      </c>
      <c r="I8" s="1743" t="s">
        <v>3495</v>
      </c>
      <c r="J8" s="355">
        <f>SUMIF(61:61,I8,62:62)-SUMIF(61:61,C8,62:62)+100</f>
        <v>105</v>
      </c>
      <c r="K8" s="1742"/>
      <c r="L8" s="2481"/>
      <c r="M8" s="2432"/>
      <c r="N8" s="2432"/>
      <c r="O8" s="2432"/>
      <c r="P8" s="3415" t="s">
        <v>1683</v>
      </c>
      <c r="Q8" s="3416"/>
      <c r="R8" s="664" t="s">
        <v>20</v>
      </c>
      <c r="S8" s="665">
        <f t="shared" si="0"/>
        <v>100</v>
      </c>
      <c r="T8" s="664" t="s">
        <v>20</v>
      </c>
      <c r="U8" s="665">
        <f t="shared" si="1"/>
        <v>100</v>
      </c>
      <c r="V8" s="664" t="s">
        <v>20</v>
      </c>
      <c r="W8" s="665">
        <f t="shared" si="2"/>
        <v>105</v>
      </c>
      <c r="X8" s="666"/>
      <c r="Y8" s="3415" t="s">
        <v>1683</v>
      </c>
      <c r="Z8" s="3416"/>
      <c r="AA8" s="50">
        <f t="shared" ref="AA8:AA19" si="3">D8/F8</f>
        <v>1</v>
      </c>
      <c r="AB8" s="50">
        <f t="shared" ref="AB8:AB19" si="4">D8/H8</f>
        <v>1</v>
      </c>
      <c r="AC8" s="50">
        <f t="shared" ref="AC8:AC19" si="5">D8/J8</f>
        <v>0.95238095238095233</v>
      </c>
    </row>
    <row r="9" spans="1:29" s="102" customFormat="1">
      <c r="A9" s="359" t="s">
        <v>1684</v>
      </c>
      <c r="B9" s="60" t="s">
        <v>1685</v>
      </c>
      <c r="C9" s="3511" t="s">
        <v>3474</v>
      </c>
      <c r="D9" s="59">
        <v>100</v>
      </c>
      <c r="E9" s="361" t="s">
        <v>3401</v>
      </c>
      <c r="F9" s="60">
        <f>SUMIF(63:63,E9,64:64)-SUMIF(63:63,C9,64:64)+100</f>
        <v>100</v>
      </c>
      <c r="G9" s="362" t="s">
        <v>3401</v>
      </c>
      <c r="H9" s="59">
        <f>SUMIF(63:63,G9,64:64)-SUMIF(63:63,C9,64:64)+100</f>
        <v>100</v>
      </c>
      <c r="I9" s="362" t="s">
        <v>3401</v>
      </c>
      <c r="J9" s="59">
        <f>SUMIF(63:63,I9,64:64)-SUMIF(63:63,C9,64:64)+100</f>
        <v>100</v>
      </c>
      <c r="K9" s="1742"/>
      <c r="L9" s="2481"/>
      <c r="M9" s="2432"/>
      <c r="N9" s="2432"/>
      <c r="O9" s="2432"/>
      <c r="P9" s="339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hidden="1">
      <c r="A10" s="363"/>
      <c r="B10" s="364" t="s">
        <v>1688</v>
      </c>
      <c r="C10" s="3123"/>
      <c r="D10" s="119">
        <v>100</v>
      </c>
      <c r="E10" s="3124"/>
      <c r="F10" s="364">
        <f>SUMIF(65:65,E10,66:66)-SUMIF(65:65,C10,66:66)+100</f>
        <v>100</v>
      </c>
      <c r="G10" s="3123"/>
      <c r="H10" s="119">
        <f>SUMIF(65:65,G10,66:66)-SUMIF(65:65,C10,66:66)+100</f>
        <v>100</v>
      </c>
      <c r="I10" s="3123"/>
      <c r="J10" s="119">
        <f>SUMIF(65:65,I10,66:66)-SUMIF(65:65,C10,66:66)+100</f>
        <v>100</v>
      </c>
      <c r="K10" s="1742"/>
      <c r="L10" s="2482"/>
      <c r="M10" s="2483"/>
      <c r="N10" s="2483"/>
      <c r="O10" s="2483"/>
      <c r="P10" s="339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4"/>
      <c r="M11" s="2480"/>
      <c r="N11" s="2480"/>
      <c r="O11" s="2480"/>
      <c r="P11" s="3391"/>
      <c r="Q11" s="530" t="str">
        <f t="shared" si="6"/>
        <v>容积率</v>
      </c>
      <c r="R11" s="664" t="s">
        <v>18</v>
      </c>
      <c r="S11" s="665">
        <f t="shared" si="0"/>
        <v>100</v>
      </c>
      <c r="T11" s="664" t="s">
        <v>18</v>
      </c>
      <c r="U11" s="665">
        <f t="shared" si="1"/>
        <v>100</v>
      </c>
      <c r="V11" s="664" t="s">
        <v>18</v>
      </c>
      <c r="W11" s="665">
        <f t="shared" si="2"/>
        <v>100</v>
      </c>
      <c r="X11" s="666"/>
      <c r="Y11" s="3255"/>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1"/>
      <c r="M12" s="2432"/>
      <c r="N12" s="2432"/>
      <c r="O12" s="2432"/>
      <c r="P12" s="3391"/>
      <c r="Q12" s="530">
        <f t="shared" si="6"/>
        <v>111</v>
      </c>
      <c r="R12" s="664" t="s">
        <v>18</v>
      </c>
      <c r="S12" s="665">
        <f t="shared" si="0"/>
        <v>100</v>
      </c>
      <c r="T12" s="664" t="s">
        <v>18</v>
      </c>
      <c r="U12" s="665">
        <f t="shared" si="1"/>
        <v>100</v>
      </c>
      <c r="V12" s="664" t="s">
        <v>18</v>
      </c>
      <c r="W12" s="665">
        <f t="shared" si="2"/>
        <v>100</v>
      </c>
      <c r="X12" s="666"/>
      <c r="Y12" s="3255"/>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5"/>
      <c r="M13" s="2480"/>
      <c r="N13" s="2480"/>
      <c r="O13" s="2480"/>
      <c r="P13" s="3391"/>
      <c r="Q13" s="530">
        <f t="shared" si="6"/>
        <v>111</v>
      </c>
      <c r="R13" s="664" t="s">
        <v>18</v>
      </c>
      <c r="S13" s="665">
        <f t="shared" si="0"/>
        <v>100</v>
      </c>
      <c r="T13" s="664" t="s">
        <v>18</v>
      </c>
      <c r="U13" s="665">
        <f t="shared" si="1"/>
        <v>100</v>
      </c>
      <c r="V13" s="664" t="s">
        <v>18</v>
      </c>
      <c r="W13" s="665">
        <f t="shared" si="2"/>
        <v>100</v>
      </c>
      <c r="X13" s="666"/>
      <c r="Y13" s="3255"/>
      <c r="Z13" s="50">
        <f t="shared" si="7"/>
        <v>111</v>
      </c>
      <c r="AA13" s="50">
        <f t="shared" si="3"/>
        <v>1</v>
      </c>
      <c r="AB13" s="50">
        <f t="shared" si="4"/>
        <v>1</v>
      </c>
      <c r="AC13" s="50">
        <f t="shared" si="5"/>
        <v>1</v>
      </c>
    </row>
    <row r="14" spans="1:29" ht="15.75" thickBot="1">
      <c r="A14" s="375"/>
      <c r="B14" s="3512" t="s">
        <v>3475</v>
      </c>
      <c r="C14" s="3513" t="s">
        <v>3476</v>
      </c>
      <c r="D14" s="377">
        <v>100</v>
      </c>
      <c r="E14" s="3513" t="s">
        <v>3476</v>
      </c>
      <c r="F14" s="378">
        <f>SUMIF(74:74,E14,75:75)-SUMIF(74:74,C14,75:75)+100</f>
        <v>100</v>
      </c>
      <c r="G14" s="3513" t="s">
        <v>3476</v>
      </c>
      <c r="H14" s="377">
        <f>SUMIF(74:74,G14,75:75)-SUMIF(74:74,C14,75:75)+100</f>
        <v>100</v>
      </c>
      <c r="I14" s="3513" t="s">
        <v>3476</v>
      </c>
      <c r="J14" s="377">
        <f>SUMIF(74:74,I14,75:75)-SUMIF(74:74,C14,75:75)+100</f>
        <v>100</v>
      </c>
      <c r="K14" s="1744"/>
      <c r="L14" s="2485"/>
      <c r="M14" s="2480"/>
      <c r="N14" s="2480"/>
      <c r="O14" s="2480"/>
      <c r="P14" s="3391"/>
      <c r="Q14" s="530" t="str">
        <f t="shared" si="6"/>
        <v>房屋性质</v>
      </c>
      <c r="R14" s="664" t="s">
        <v>18</v>
      </c>
      <c r="S14" s="665">
        <f t="shared" si="0"/>
        <v>100</v>
      </c>
      <c r="T14" s="664" t="s">
        <v>18</v>
      </c>
      <c r="U14" s="665">
        <f t="shared" si="1"/>
        <v>100</v>
      </c>
      <c r="V14" s="664" t="s">
        <v>18</v>
      </c>
      <c r="W14" s="665">
        <f t="shared" si="2"/>
        <v>100</v>
      </c>
      <c r="X14" s="666"/>
      <c r="Y14" s="3255"/>
      <c r="Z14" s="50" t="str">
        <f t="shared" si="7"/>
        <v>房屋性质</v>
      </c>
      <c r="AA14" s="50">
        <f t="shared" si="3"/>
        <v>1</v>
      </c>
      <c r="AB14" s="50">
        <f t="shared" si="4"/>
        <v>1</v>
      </c>
      <c r="AC14" s="50">
        <f t="shared" si="5"/>
        <v>1</v>
      </c>
    </row>
    <row r="15" spans="1:29" ht="71.25">
      <c r="A15" s="379" t="s">
        <v>1690</v>
      </c>
      <c r="B15" s="58" t="s">
        <v>1257</v>
      </c>
      <c r="C15" s="1746" t="str">
        <f>估价对象房地状况!C3</f>
        <v>周边有阳光嘉苑、瑞祥花园、园田花园、四月天等住宅小区，居住社区成熟度较好。</v>
      </c>
      <c r="D15" s="380">
        <v>100</v>
      </c>
      <c r="E15" s="3514" t="s">
        <v>3478</v>
      </c>
      <c r="F15" s="380">
        <f>SUMIF(76:76,E16,77:77)-SUMIF(76:76,C16,77:77)+100</f>
        <v>100</v>
      </c>
      <c r="G15" s="381" t="str">
        <f>E15</f>
        <v>周边有阳光嘉苑、瑞祥花园、园田花园、四月天等住宅小区，居住社区成熟度较好。</v>
      </c>
      <c r="H15" s="380">
        <f>SUMIF(76:76,G16,77:77)-SUMIF(76:76,C16,77:77)+100</f>
        <v>100</v>
      </c>
      <c r="I15" s="381" t="str">
        <f>E15</f>
        <v>周边有阳光嘉苑、瑞祥花园、园田花园、四月天等住宅小区，居住社区成熟度较好。</v>
      </c>
      <c r="J15" s="380">
        <f>SUMIF(76:76,I16,77:77)-SUMIF(76:76,C16,77:77)+100</f>
        <v>100</v>
      </c>
      <c r="K15" s="384"/>
      <c r="L15" s="2485"/>
      <c r="M15" s="2480"/>
      <c r="N15" s="2480"/>
      <c r="O15" s="2480"/>
      <c r="P15" s="3389" t="s">
        <v>1691</v>
      </c>
      <c r="Q15" s="1259" t="str">
        <f t="shared" si="6"/>
        <v>居住社区成熟度</v>
      </c>
      <c r="R15" s="667" t="s">
        <v>18</v>
      </c>
      <c r="S15" s="668">
        <f t="shared" si="0"/>
        <v>100</v>
      </c>
      <c r="T15" s="667" t="s">
        <v>18</v>
      </c>
      <c r="U15" s="668">
        <f t="shared" si="1"/>
        <v>100</v>
      </c>
      <c r="V15" s="667" t="s">
        <v>18</v>
      </c>
      <c r="W15" s="668">
        <f t="shared" si="2"/>
        <v>100</v>
      </c>
      <c r="X15" s="1261"/>
      <c r="Y15" s="3382" t="s">
        <v>1691</v>
      </c>
      <c r="Z15" s="1260" t="str">
        <f t="shared" si="7"/>
        <v>居住社区成熟度</v>
      </c>
      <c r="AA15" s="1260">
        <f t="shared" si="3"/>
        <v>1</v>
      </c>
      <c r="AB15" s="1260">
        <f t="shared" si="4"/>
        <v>1</v>
      </c>
      <c r="AC15" s="1260">
        <f t="shared" si="5"/>
        <v>1</v>
      </c>
    </row>
    <row r="16" spans="1:29" ht="15">
      <c r="A16" s="367"/>
      <c r="B16" s="385"/>
      <c r="C16" s="386" t="s">
        <v>3426</v>
      </c>
      <c r="D16" s="387"/>
      <c r="E16" s="1747" t="s">
        <v>3426</v>
      </c>
      <c r="F16" s="387"/>
      <c r="G16" s="1748" t="s">
        <v>3426</v>
      </c>
      <c r="H16" s="389"/>
      <c r="I16" s="1748" t="s">
        <v>3426</v>
      </c>
      <c r="J16" s="387"/>
      <c r="K16" s="1749"/>
      <c r="L16" s="2485"/>
      <c r="M16" s="2480"/>
      <c r="N16" s="2480"/>
      <c r="O16" s="2480"/>
      <c r="P16" s="3390"/>
      <c r="Q16" s="1259"/>
      <c r="R16" s="667"/>
      <c r="S16" s="668"/>
      <c r="T16" s="667"/>
      <c r="U16" s="668"/>
      <c r="V16" s="667"/>
      <c r="W16" s="668"/>
      <c r="X16" s="1261"/>
      <c r="Y16" s="3383"/>
      <c r="Z16" s="1260"/>
      <c r="AA16" s="1260">
        <v>1</v>
      </c>
      <c r="AB16" s="1260">
        <v>1</v>
      </c>
      <c r="AC16" s="1260">
        <v>1</v>
      </c>
    </row>
    <row r="17" spans="1:29" ht="71.25">
      <c r="A17" s="367"/>
      <c r="B17" s="390" t="s">
        <v>1259</v>
      </c>
      <c r="C17" s="1750" t="str">
        <f>估价对象房地状况!C6</f>
        <v>估价对象周边有196路、B38路、Y25路等多条公交线路，综合评价交通便捷度一般</v>
      </c>
      <c r="D17" s="389">
        <v>100</v>
      </c>
      <c r="E17" s="3515" t="s">
        <v>3479</v>
      </c>
      <c r="F17" s="389">
        <f>SUMIF(78:78,E18,79:79)-SUMIF(78:78,C18,79:79)+100</f>
        <v>100</v>
      </c>
      <c r="G17" s="391" t="str">
        <f>E17</f>
        <v>周边有196路、B38路、Y25路等多条公交线路，综合评价交通便捷度一般</v>
      </c>
      <c r="H17" s="394">
        <f>SUMIF(78:78,G18,79:79)-SUMIF(78:78,C18,79:79)+100</f>
        <v>100</v>
      </c>
      <c r="I17" s="391" t="str">
        <f>E17</f>
        <v>周边有196路、B38路、Y25路等多条公交线路，综合评价交通便捷度一般</v>
      </c>
      <c r="J17" s="394">
        <f>SUMIF(78:78,I18,79:79)-SUMIF(78:78,C18,79:79)+100</f>
        <v>100</v>
      </c>
      <c r="K17" s="384"/>
      <c r="L17" s="2485"/>
      <c r="M17" s="2480"/>
      <c r="N17" s="2480"/>
      <c r="O17" s="2480"/>
      <c r="P17" s="3390"/>
      <c r="Q17" s="1259" t="str">
        <f>B17</f>
        <v>交通便捷度</v>
      </c>
      <c r="R17" s="667" t="s">
        <v>18</v>
      </c>
      <c r="S17" s="668">
        <f>F17</f>
        <v>100</v>
      </c>
      <c r="T17" s="667" t="s">
        <v>18</v>
      </c>
      <c r="U17" s="668">
        <f>H17</f>
        <v>100</v>
      </c>
      <c r="V17" s="667" t="s">
        <v>18</v>
      </c>
      <c r="W17" s="668">
        <f>J17</f>
        <v>100</v>
      </c>
      <c r="X17" s="1261"/>
      <c r="Y17" s="3383"/>
      <c r="Z17" s="1260" t="str">
        <f>Q17</f>
        <v>交通便捷度</v>
      </c>
      <c r="AA17" s="1260">
        <f t="shared" si="3"/>
        <v>1</v>
      </c>
      <c r="AB17" s="1260">
        <f t="shared" si="4"/>
        <v>1</v>
      </c>
      <c r="AC17" s="1260">
        <f t="shared" si="5"/>
        <v>1</v>
      </c>
    </row>
    <row r="18" spans="1:29" ht="15">
      <c r="A18" s="367"/>
      <c r="B18" s="395"/>
      <c r="C18" s="1751" t="s">
        <v>3428</v>
      </c>
      <c r="D18" s="389"/>
      <c r="E18" s="1752" t="s">
        <v>3428</v>
      </c>
      <c r="F18" s="389"/>
      <c r="G18" s="1753" t="s">
        <v>3428</v>
      </c>
      <c r="H18" s="387"/>
      <c r="I18" s="1753" t="s">
        <v>3428</v>
      </c>
      <c r="J18" s="387"/>
      <c r="K18" s="1749"/>
      <c r="L18" s="2485"/>
      <c r="M18" s="2480"/>
      <c r="N18" s="2480"/>
      <c r="O18" s="2480"/>
      <c r="P18" s="3390"/>
      <c r="Q18" s="1259"/>
      <c r="R18" s="667"/>
      <c r="S18" s="668"/>
      <c r="T18" s="667"/>
      <c r="U18" s="668"/>
      <c r="V18" s="667"/>
      <c r="W18" s="668"/>
      <c r="X18" s="1261"/>
      <c r="Y18" s="3383"/>
      <c r="Z18" s="1260"/>
      <c r="AA18" s="1260">
        <v>1</v>
      </c>
      <c r="AB18" s="1260">
        <v>1</v>
      </c>
      <c r="AC18" s="1260">
        <v>1</v>
      </c>
    </row>
    <row r="19" spans="1:29" ht="256.5">
      <c r="A19" s="367"/>
      <c r="B19" s="390" t="s">
        <v>1258</v>
      </c>
      <c r="C19" s="1750" t="str">
        <f>估价对象房地状况!C7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19" s="394">
        <v>100</v>
      </c>
      <c r="E19" s="3516" t="s">
        <v>3480</v>
      </c>
      <c r="F19" s="394">
        <f>SUMIF(80:80,E20,81:81)-SUMIF(80:80,C20,81:81)+100</f>
        <v>100</v>
      </c>
      <c r="G19" s="396" t="str">
        <f>E19</f>
        <v>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H19" s="389">
        <f>SUMIF(80:80,G20,81:81)-SUMIF(80:80,C20,81:81)+100</f>
        <v>100</v>
      </c>
      <c r="I19" s="396" t="str">
        <f>E19</f>
        <v>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J19" s="389">
        <f>SUMIF(80:80,I20,81:81)-SUMIF(80:80,C20,81:81)+100</f>
        <v>100</v>
      </c>
      <c r="K19" s="384"/>
      <c r="L19" s="2485"/>
      <c r="M19" s="2480"/>
      <c r="N19" s="2480"/>
      <c r="O19" s="2480"/>
      <c r="P19" s="3390"/>
      <c r="Q19" s="1259" t="str">
        <f>B19</f>
        <v>公共配套设施</v>
      </c>
      <c r="R19" s="667" t="s">
        <v>18</v>
      </c>
      <c r="S19" s="668">
        <f>F19</f>
        <v>100</v>
      </c>
      <c r="T19" s="667" t="s">
        <v>18</v>
      </c>
      <c r="U19" s="668">
        <f>H19</f>
        <v>100</v>
      </c>
      <c r="V19" s="667" t="s">
        <v>18</v>
      </c>
      <c r="W19" s="668">
        <f>J19</f>
        <v>100</v>
      </c>
      <c r="X19" s="1261"/>
      <c r="Y19" s="3383"/>
      <c r="Z19" s="1260" t="str">
        <f>Q19</f>
        <v>公共配套设施</v>
      </c>
      <c r="AA19" s="1260">
        <f t="shared" si="3"/>
        <v>1</v>
      </c>
      <c r="AB19" s="1260">
        <f t="shared" si="4"/>
        <v>1</v>
      </c>
      <c r="AC19" s="1260">
        <f t="shared" si="5"/>
        <v>1</v>
      </c>
    </row>
    <row r="20" spans="1:29" ht="15">
      <c r="A20" s="367"/>
      <c r="B20" s="395"/>
      <c r="C20" s="386" t="s">
        <v>3426</v>
      </c>
      <c r="D20" s="387"/>
      <c r="E20" s="1747" t="s">
        <v>3426</v>
      </c>
      <c r="F20" s="387"/>
      <c r="G20" s="1748" t="s">
        <v>3426</v>
      </c>
      <c r="H20" s="387"/>
      <c r="I20" s="1748" t="s">
        <v>3426</v>
      </c>
      <c r="J20" s="387"/>
      <c r="K20" s="1749"/>
      <c r="L20" s="2485"/>
      <c r="M20" s="2480"/>
      <c r="N20" s="2480"/>
      <c r="O20" s="2480"/>
      <c r="P20" s="3390"/>
      <c r="Q20" s="1259"/>
      <c r="R20" s="667"/>
      <c r="S20" s="668"/>
      <c r="T20" s="667"/>
      <c r="U20" s="668"/>
      <c r="V20" s="667"/>
      <c r="W20" s="668"/>
      <c r="X20" s="1261"/>
      <c r="Y20" s="3383"/>
      <c r="Z20" s="1260"/>
      <c r="AA20" s="1260">
        <v>1</v>
      </c>
      <c r="AB20" s="1260">
        <v>1</v>
      </c>
      <c r="AC20" s="1260">
        <v>1</v>
      </c>
    </row>
    <row r="21" spans="1:29" ht="28.5">
      <c r="A21" s="367"/>
      <c r="B21" s="586" t="s">
        <v>1260</v>
      </c>
      <c r="C21" s="1750"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5"/>
      <c r="M21" s="2480"/>
      <c r="N21" s="2480"/>
      <c r="O21" s="2480"/>
      <c r="P21" s="3390"/>
      <c r="Q21" s="1259" t="str">
        <f>B21</f>
        <v>基础设施水平</v>
      </c>
      <c r="R21" s="667" t="s">
        <v>14</v>
      </c>
      <c r="S21" s="668">
        <f>F21</f>
        <v>100</v>
      </c>
      <c r="T21" s="667" t="s">
        <v>14</v>
      </c>
      <c r="U21" s="668">
        <f>H21</f>
        <v>100</v>
      </c>
      <c r="V21" s="667" t="s">
        <v>14</v>
      </c>
      <c r="W21" s="668">
        <f>J21</f>
        <v>100</v>
      </c>
      <c r="X21" s="1261"/>
      <c r="Y21" s="3383"/>
      <c r="Z21" s="1260" t="str">
        <f>Q21</f>
        <v>基础设施水平</v>
      </c>
      <c r="AA21" s="1260">
        <f t="shared" ref="AA21" si="8">D21/F21</f>
        <v>1</v>
      </c>
      <c r="AB21" s="1260">
        <f t="shared" ref="AB21" si="9">D21/H21</f>
        <v>1</v>
      </c>
      <c r="AC21" s="1260">
        <f t="shared" ref="AC21" si="10">D21/J21</f>
        <v>1</v>
      </c>
    </row>
    <row r="22" spans="1:29" ht="15">
      <c r="A22" s="367"/>
      <c r="B22" s="586"/>
      <c r="C22" s="1751" t="s">
        <v>3477</v>
      </c>
      <c r="D22" s="387"/>
      <c r="E22" s="386" t="s">
        <v>3477</v>
      </c>
      <c r="F22" s="387"/>
      <c r="G22" s="1754" t="s">
        <v>3477</v>
      </c>
      <c r="H22" s="387"/>
      <c r="I22" s="386" t="s">
        <v>3477</v>
      </c>
      <c r="J22" s="387"/>
      <c r="K22" s="1755"/>
      <c r="L22" s="2485"/>
      <c r="M22" s="2480"/>
      <c r="N22" s="2480"/>
      <c r="O22" s="2480"/>
      <c r="P22" s="3390"/>
      <c r="Q22" s="1259"/>
      <c r="R22" s="667"/>
      <c r="S22" s="668"/>
      <c r="T22" s="667"/>
      <c r="U22" s="668"/>
      <c r="V22" s="667"/>
      <c r="W22" s="668"/>
      <c r="X22" s="1261"/>
      <c r="Y22" s="3383"/>
      <c r="Z22" s="1260"/>
      <c r="AA22" s="1260">
        <v>1</v>
      </c>
      <c r="AB22" s="1260">
        <v>1</v>
      </c>
      <c r="AC22" s="1260">
        <v>1</v>
      </c>
    </row>
    <row r="23" spans="1:29" ht="99.75">
      <c r="A23" s="367"/>
      <c r="B23" s="390" t="s">
        <v>1261</v>
      </c>
      <c r="C23" s="1750" t="str">
        <f>估价对象房地状况!C9</f>
        <v>估价对象周边有河南省体育场馆中心、郑州海洋馆等人文景观，东风渠水系等自然景观，综合评价环境状况较好。</v>
      </c>
      <c r="D23" s="389">
        <v>100</v>
      </c>
      <c r="E23" s="3517" t="s">
        <v>3481</v>
      </c>
      <c r="F23" s="389">
        <f>SUMIF(84:84,E24,85:85)-SUMIF(84:84,C24,85:85)+100</f>
        <v>100</v>
      </c>
      <c r="G23" s="391" t="str">
        <f>E23</f>
        <v>周边有河南省体育场馆中心、郑州海洋馆等人文景观，东风渠水系等自然景观，综合评价环境状况较好。</v>
      </c>
      <c r="H23" s="389">
        <f>SUMIF(84:84,G24,85:85)-SUMIF(84:84,C24,85:85)+100</f>
        <v>100</v>
      </c>
      <c r="I23" s="391" t="str">
        <f>E23</f>
        <v>周边有河南省体育场馆中心、郑州海洋馆等人文景观，东风渠水系等自然景观，综合评价环境状况较好。</v>
      </c>
      <c r="J23" s="389">
        <f>SUMIF(84:84,I24,85:85)-SUMIF(84:84,C24,85:85)+100</f>
        <v>100</v>
      </c>
      <c r="K23" s="384"/>
      <c r="L23" s="2485"/>
      <c r="M23" s="2480"/>
      <c r="N23" s="2480"/>
      <c r="O23" s="2480"/>
      <c r="P23" s="3390"/>
      <c r="Q23" s="1259" t="str">
        <f>B23</f>
        <v>自然及人文环境</v>
      </c>
      <c r="R23" s="667" t="s">
        <v>18</v>
      </c>
      <c r="S23" s="668">
        <f>F23</f>
        <v>100</v>
      </c>
      <c r="T23" s="667" t="s">
        <v>18</v>
      </c>
      <c r="U23" s="668">
        <f>H23</f>
        <v>100</v>
      </c>
      <c r="V23" s="667" t="s">
        <v>18</v>
      </c>
      <c r="W23" s="668">
        <f>J23</f>
        <v>100</v>
      </c>
      <c r="X23" s="1261"/>
      <c r="Y23" s="3383"/>
      <c r="Z23" s="1260" t="str">
        <f>Q23</f>
        <v>自然及人文环境</v>
      </c>
      <c r="AA23" s="1260">
        <f>D23/F23</f>
        <v>1</v>
      </c>
      <c r="AB23" s="1260">
        <f>D23/H23</f>
        <v>1</v>
      </c>
      <c r="AC23" s="1260">
        <f>D23/J23</f>
        <v>1</v>
      </c>
    </row>
    <row r="24" spans="1:29" ht="15">
      <c r="A24" s="367"/>
      <c r="B24" s="395"/>
      <c r="C24" s="386" t="s">
        <v>3426</v>
      </c>
      <c r="D24" s="387"/>
      <c r="E24" s="1747" t="s">
        <v>3426</v>
      </c>
      <c r="F24" s="387"/>
      <c r="G24" s="1748" t="s">
        <v>3426</v>
      </c>
      <c r="H24" s="387"/>
      <c r="I24" s="1748" t="s">
        <v>3426</v>
      </c>
      <c r="J24" s="387"/>
      <c r="K24" s="1749"/>
      <c r="L24" s="2485"/>
      <c r="M24" s="2480"/>
      <c r="N24" s="2480"/>
      <c r="O24" s="2480"/>
      <c r="P24" s="3390"/>
      <c r="Q24" s="1259"/>
      <c r="R24" s="667"/>
      <c r="S24" s="668"/>
      <c r="T24" s="667"/>
      <c r="U24" s="668"/>
      <c r="V24" s="667"/>
      <c r="W24" s="668"/>
      <c r="X24" s="1261"/>
      <c r="Y24" s="3383"/>
      <c r="Z24" s="1260"/>
      <c r="AA24" s="1260">
        <v>1</v>
      </c>
      <c r="AB24" s="1260">
        <v>1</v>
      </c>
      <c r="AC24" s="1260">
        <v>1</v>
      </c>
    </row>
    <row r="25" spans="1:29" ht="15">
      <c r="A25" s="367"/>
      <c r="B25" s="364" t="s">
        <v>1692</v>
      </c>
      <c r="C25" s="399" t="s">
        <v>3484</v>
      </c>
      <c r="D25" s="374">
        <v>100</v>
      </c>
      <c r="E25" s="1756" t="s">
        <v>3486</v>
      </c>
      <c r="F25" s="374">
        <f>SUMIF(86:86,E25,87:87)-SUMIF(86:86,C25,87:87)+100</f>
        <v>101</v>
      </c>
      <c r="G25" s="1757" t="s">
        <v>3486</v>
      </c>
      <c r="H25" s="374">
        <f>SUMIF(86:86,G25,87:87)-SUMIF(86:86,C25,87:87)+100</f>
        <v>101</v>
      </c>
      <c r="I25" s="1757" t="s">
        <v>3486</v>
      </c>
      <c r="J25" s="374">
        <f>SUMIF(86:86,I25,87:87)-SUMIF(86:86,C25,87:87)+100</f>
        <v>101</v>
      </c>
      <c r="K25" s="365">
        <v>1</v>
      </c>
      <c r="L25" s="2485"/>
      <c r="M25" s="2480"/>
      <c r="N25" s="2480"/>
      <c r="O25" s="2480"/>
      <c r="P25" s="3390"/>
      <c r="Q25" s="1259" t="str">
        <f t="shared" ref="Q25:Q46" si="11">B25</f>
        <v>楼层-1</v>
      </c>
      <c r="R25" s="667" t="s">
        <v>18</v>
      </c>
      <c r="S25" s="668">
        <f t="shared" ref="S25:S46" si="12">F25</f>
        <v>101</v>
      </c>
      <c r="T25" s="667" t="s">
        <v>18</v>
      </c>
      <c r="U25" s="668">
        <f t="shared" ref="U25:U46" si="13">H25</f>
        <v>101</v>
      </c>
      <c r="V25" s="667" t="s">
        <v>18</v>
      </c>
      <c r="W25" s="668">
        <f t="shared" ref="W25:W46" si="14">J25</f>
        <v>101</v>
      </c>
      <c r="X25" s="1261"/>
      <c r="Y25" s="3383"/>
      <c r="Z25" s="1260" t="str">
        <f>Q25</f>
        <v>楼层-1</v>
      </c>
      <c r="AA25" s="1260">
        <f t="shared" ref="AA25:AA46" si="15">D25/F25</f>
        <v>0.99009900990099009</v>
      </c>
      <c r="AB25" s="1260">
        <f t="shared" ref="AB25:AB46" si="16">D25/H25</f>
        <v>0.99009900990099009</v>
      </c>
      <c r="AC25" s="1260">
        <f t="shared" ref="AC25:AC46" si="17">D25/J25</f>
        <v>0.99009900990099009</v>
      </c>
    </row>
    <row r="26" spans="1:29" ht="15">
      <c r="A26" s="367"/>
      <c r="B26" s="364" t="s">
        <v>1693</v>
      </c>
      <c r="C26" s="399" t="s">
        <v>3482</v>
      </c>
      <c r="D26" s="374">
        <v>100</v>
      </c>
      <c r="E26" s="1756" t="s">
        <v>3482</v>
      </c>
      <c r="F26" s="374">
        <f>SUMIF(88:88,E26,89:89)-SUMIF(88:88,C26,89:89)+100</f>
        <v>100</v>
      </c>
      <c r="G26" s="1757" t="s">
        <v>3482</v>
      </c>
      <c r="H26" s="374">
        <f>SUMIF(88:88,G26,89:89)-SUMIF(88:88,C26,89:89)+100</f>
        <v>100</v>
      </c>
      <c r="I26" s="1757" t="s">
        <v>3482</v>
      </c>
      <c r="J26" s="374">
        <f>SUMIF(88:88,I26,89:89)-SUMIF(88:88,C26,89:89)+100</f>
        <v>100</v>
      </c>
      <c r="K26" s="365"/>
      <c r="L26" s="2485"/>
      <c r="M26" s="2480"/>
      <c r="N26" s="2480"/>
      <c r="O26" s="2480"/>
      <c r="P26" s="3390"/>
      <c r="Q26" s="1259" t="str">
        <f t="shared" si="11"/>
        <v>朝向</v>
      </c>
      <c r="R26" s="667" t="s">
        <v>18</v>
      </c>
      <c r="S26" s="668">
        <f t="shared" si="12"/>
        <v>100</v>
      </c>
      <c r="T26" s="667" t="s">
        <v>18</v>
      </c>
      <c r="U26" s="668">
        <f t="shared" si="13"/>
        <v>100</v>
      </c>
      <c r="V26" s="667" t="s">
        <v>18</v>
      </c>
      <c r="W26" s="668">
        <f t="shared" si="14"/>
        <v>100</v>
      </c>
      <c r="X26" s="1261"/>
      <c r="Y26" s="3383"/>
      <c r="Z26" s="1260" t="str">
        <f>Q26</f>
        <v>朝向</v>
      </c>
      <c r="AA26" s="1260">
        <f t="shared" si="15"/>
        <v>1</v>
      </c>
      <c r="AB26" s="1260">
        <f t="shared" si="16"/>
        <v>1</v>
      </c>
      <c r="AC26" s="1260">
        <f t="shared" si="17"/>
        <v>1</v>
      </c>
    </row>
    <row r="27" spans="1:29" s="102" customFormat="1" ht="15">
      <c r="A27" s="370"/>
      <c r="B27" s="1062">
        <v>111</v>
      </c>
      <c r="C27" s="371"/>
      <c r="D27" s="401">
        <v>100</v>
      </c>
      <c r="E27" s="403"/>
      <c r="F27" s="401">
        <f>SUMIF(90:90,E27,91:91)-SUMIF(90:90,C27,91:91)+100</f>
        <v>100</v>
      </c>
      <c r="G27" s="402"/>
      <c r="H27" s="401">
        <f>SUMIF(90:90,G27,91:91)-SUMIF(90:90,C27,91:91)+100</f>
        <v>100</v>
      </c>
      <c r="I27" s="402"/>
      <c r="J27" s="401">
        <f>SUMIF(90:90,I27,91:91)-SUMIF(90:90,C27,91:91)+100</f>
        <v>100</v>
      </c>
      <c r="K27" s="1744"/>
      <c r="L27" s="2481"/>
      <c r="M27" s="2432"/>
      <c r="N27" s="2432"/>
      <c r="O27" s="2432"/>
      <c r="P27" s="3390"/>
      <c r="Q27" s="530">
        <f t="shared" si="11"/>
        <v>111</v>
      </c>
      <c r="R27" s="664" t="s">
        <v>18</v>
      </c>
      <c r="S27" s="665">
        <f t="shared" si="12"/>
        <v>100</v>
      </c>
      <c r="T27" s="664" t="s">
        <v>18</v>
      </c>
      <c r="U27" s="665">
        <f t="shared" si="13"/>
        <v>100</v>
      </c>
      <c r="V27" s="664" t="s">
        <v>18</v>
      </c>
      <c r="W27" s="665">
        <f t="shared" si="14"/>
        <v>100</v>
      </c>
      <c r="X27" s="666"/>
      <c r="Y27" s="3383"/>
      <c r="Z27" s="50">
        <f>Q27</f>
        <v>111</v>
      </c>
      <c r="AA27" s="1260">
        <f t="shared" si="15"/>
        <v>1</v>
      </c>
      <c r="AB27" s="1260">
        <f t="shared" si="16"/>
        <v>1</v>
      </c>
      <c r="AC27" s="1260">
        <f t="shared" si="17"/>
        <v>1</v>
      </c>
    </row>
    <row r="28" spans="1:29" ht="15">
      <c r="A28" s="367"/>
      <c r="B28" s="1062">
        <v>111</v>
      </c>
      <c r="C28" s="373"/>
      <c r="D28" s="374">
        <v>100</v>
      </c>
      <c r="E28" s="373"/>
      <c r="F28" s="374">
        <f>SUMIF(92:92,E28,93:93)-SUMIF(92:92,C28,93:93)+100</f>
        <v>100</v>
      </c>
      <c r="G28" s="1758"/>
      <c r="H28" s="374">
        <f>SUMIF(92:92,G28,93:93)-SUMIF(92:92,C28,93:93)+100</f>
        <v>100</v>
      </c>
      <c r="I28" s="373"/>
      <c r="J28" s="374">
        <f>SUMIF(92:92,I28,93:93)-SUMIF(92:92,C28,93:93)+100</f>
        <v>100</v>
      </c>
      <c r="K28" s="1744"/>
      <c r="L28" s="2485"/>
      <c r="M28" s="2480"/>
      <c r="N28" s="2480"/>
      <c r="O28" s="2480"/>
      <c r="P28" s="3390"/>
      <c r="Q28" s="1259">
        <f t="shared" si="11"/>
        <v>111</v>
      </c>
      <c r="R28" s="667" t="s">
        <v>18</v>
      </c>
      <c r="S28" s="668">
        <f t="shared" si="12"/>
        <v>100</v>
      </c>
      <c r="T28" s="667" t="s">
        <v>18</v>
      </c>
      <c r="U28" s="668">
        <f t="shared" si="13"/>
        <v>100</v>
      </c>
      <c r="V28" s="667" t="s">
        <v>18</v>
      </c>
      <c r="W28" s="668">
        <f t="shared" si="14"/>
        <v>100</v>
      </c>
      <c r="X28" s="1261"/>
      <c r="Y28" s="3383"/>
      <c r="Z28" s="1260">
        <f t="shared" ref="Z28:Z46" si="18">Q28</f>
        <v>111</v>
      </c>
      <c r="AA28" s="1260">
        <f t="shared" si="15"/>
        <v>1</v>
      </c>
      <c r="AB28" s="1260">
        <f t="shared" si="16"/>
        <v>1</v>
      </c>
      <c r="AC28" s="1260">
        <f t="shared" si="17"/>
        <v>1</v>
      </c>
    </row>
    <row r="29" spans="1:29" ht="15">
      <c r="A29" s="367"/>
      <c r="B29" s="1062">
        <v>111</v>
      </c>
      <c r="C29" s="373"/>
      <c r="D29" s="374">
        <v>100</v>
      </c>
      <c r="E29" s="373"/>
      <c r="F29" s="374">
        <f>SUMIF(94:94,E29,95:95)-SUMIF(94:94,C29,95:95)+100</f>
        <v>100</v>
      </c>
      <c r="G29" s="1758"/>
      <c r="H29" s="374">
        <f>SUMIF(94:94,G29,95:95)-SUMIF(94:94,C29,95:95)+100</f>
        <v>100</v>
      </c>
      <c r="I29" s="373"/>
      <c r="J29" s="374">
        <f>SUMIF(94:94,I29,95:95)-SUMIF(94:94,C29,95:95)+100</f>
        <v>100</v>
      </c>
      <c r="K29" s="1744"/>
      <c r="L29" s="2485"/>
      <c r="M29" s="2480"/>
      <c r="N29" s="2480"/>
      <c r="O29" s="2480"/>
      <c r="P29" s="3390"/>
      <c r="Q29" s="1259">
        <f t="shared" si="11"/>
        <v>111</v>
      </c>
      <c r="R29" s="667" t="s">
        <v>18</v>
      </c>
      <c r="S29" s="668">
        <f t="shared" si="12"/>
        <v>100</v>
      </c>
      <c r="T29" s="667" t="s">
        <v>18</v>
      </c>
      <c r="U29" s="668">
        <f t="shared" si="13"/>
        <v>100</v>
      </c>
      <c r="V29" s="667" t="s">
        <v>18</v>
      </c>
      <c r="W29" s="668">
        <f t="shared" si="14"/>
        <v>100</v>
      </c>
      <c r="X29" s="1261"/>
      <c r="Y29" s="3383"/>
      <c r="Z29" s="1260">
        <f t="shared" si="18"/>
        <v>111</v>
      </c>
      <c r="AA29" s="1260">
        <f t="shared" si="15"/>
        <v>1</v>
      </c>
      <c r="AB29" s="1260">
        <f t="shared" si="16"/>
        <v>1</v>
      </c>
      <c r="AC29" s="1260">
        <f t="shared" si="17"/>
        <v>1</v>
      </c>
    </row>
    <row r="30" spans="1:29" ht="15">
      <c r="A30" s="367"/>
      <c r="B30" s="1062">
        <v>111</v>
      </c>
      <c r="C30" s="373"/>
      <c r="D30" s="374">
        <v>100</v>
      </c>
      <c r="E30" s="373"/>
      <c r="F30" s="374">
        <f>SUMIF(96:96,E30,97:97)-SUMIF(96:96,C30,97:97)+100</f>
        <v>100</v>
      </c>
      <c r="G30" s="1758"/>
      <c r="H30" s="374">
        <f>SUMIF(96:96,G30,97:97)-SUMIF(96:96,C30,97:97)+100</f>
        <v>100</v>
      </c>
      <c r="I30" s="373"/>
      <c r="J30" s="374">
        <f>SUMIF(96:96,I30,97:97)-SUMIF(96:96,C30,97:97)+100</f>
        <v>100</v>
      </c>
      <c r="K30" s="1744"/>
      <c r="L30" s="2485"/>
      <c r="M30" s="2480"/>
      <c r="N30" s="2480"/>
      <c r="O30" s="2480"/>
      <c r="P30" s="3390"/>
      <c r="Q30" s="1259">
        <f t="shared" si="11"/>
        <v>111</v>
      </c>
      <c r="R30" s="667" t="s">
        <v>18</v>
      </c>
      <c r="S30" s="668">
        <f t="shared" si="12"/>
        <v>100</v>
      </c>
      <c r="T30" s="667" t="s">
        <v>18</v>
      </c>
      <c r="U30" s="668">
        <f t="shared" si="13"/>
        <v>100</v>
      </c>
      <c r="V30" s="667" t="s">
        <v>18</v>
      </c>
      <c r="W30" s="668">
        <f t="shared" si="14"/>
        <v>100</v>
      </c>
      <c r="X30" s="1261"/>
      <c r="Y30" s="3383"/>
      <c r="Z30" s="1260">
        <f t="shared" si="18"/>
        <v>111</v>
      </c>
      <c r="AA30" s="1260">
        <f t="shared" si="15"/>
        <v>1</v>
      </c>
      <c r="AB30" s="1260">
        <f t="shared" si="16"/>
        <v>1</v>
      </c>
      <c r="AC30" s="1260">
        <f t="shared" si="17"/>
        <v>1</v>
      </c>
    </row>
    <row r="31" spans="1:29" ht="15.75" thickBot="1">
      <c r="A31" s="375"/>
      <c r="B31" s="1062">
        <v>111</v>
      </c>
      <c r="C31" s="376"/>
      <c r="D31" s="377">
        <v>100</v>
      </c>
      <c r="E31" s="376"/>
      <c r="F31" s="377">
        <f>SUMIF(98:98,E31,99:99)-SUMIF(98:98,C31,99:99)+100</f>
        <v>100</v>
      </c>
      <c r="G31" s="1759"/>
      <c r="H31" s="377">
        <f>SUMIF(98:98,G31,99:99)-SUMIF(98:98,C31,99:99)+100</f>
        <v>100</v>
      </c>
      <c r="I31" s="376"/>
      <c r="J31" s="377">
        <f>SUMIF(98:98,I31,99:99)-SUMIF(98:98,C31,99:99)+100</f>
        <v>100</v>
      </c>
      <c r="K31" s="1744"/>
      <c r="L31" s="2485"/>
      <c r="M31" s="2480"/>
      <c r="N31" s="2480"/>
      <c r="O31" s="2480"/>
      <c r="P31" s="3390"/>
      <c r="Q31" s="1259">
        <f t="shared" si="11"/>
        <v>111</v>
      </c>
      <c r="R31" s="667" t="s">
        <v>18</v>
      </c>
      <c r="S31" s="668">
        <f t="shared" si="12"/>
        <v>100</v>
      </c>
      <c r="T31" s="667" t="s">
        <v>18</v>
      </c>
      <c r="U31" s="668">
        <f t="shared" si="13"/>
        <v>100</v>
      </c>
      <c r="V31" s="667" t="s">
        <v>18</v>
      </c>
      <c r="W31" s="668">
        <f t="shared" si="14"/>
        <v>100</v>
      </c>
      <c r="X31" s="1261"/>
      <c r="Y31" s="3383"/>
      <c r="Z31" s="1260">
        <f t="shared" si="18"/>
        <v>111</v>
      </c>
      <c r="AA31" s="1260">
        <f t="shared" si="15"/>
        <v>1</v>
      </c>
      <c r="AB31" s="1260">
        <f t="shared" si="16"/>
        <v>1</v>
      </c>
      <c r="AC31" s="1260">
        <f t="shared" si="17"/>
        <v>1</v>
      </c>
    </row>
    <row r="32" spans="1:29" ht="15">
      <c r="A32" s="379" t="s">
        <v>1694</v>
      </c>
      <c r="B32" s="60" t="s">
        <v>1695</v>
      </c>
      <c r="C32" s="1760" t="s">
        <v>3497</v>
      </c>
      <c r="D32" s="405">
        <v>100</v>
      </c>
      <c r="E32" s="1760" t="s">
        <v>3497</v>
      </c>
      <c r="F32" s="400">
        <f>SUMIF(100:100,E32,101:101)-SUMIF(100:100,C32,101:101)+100</f>
        <v>100</v>
      </c>
      <c r="G32" s="1760" t="s">
        <v>3497</v>
      </c>
      <c r="H32" s="405">
        <f>SUMIF(100:100,G32,101:101)-SUMIF(100:100,C32,101:101)+100</f>
        <v>100</v>
      </c>
      <c r="I32" s="1760" t="s">
        <v>3497</v>
      </c>
      <c r="J32" s="374">
        <f>SUMIF(100:100,I32,101:101)-SUMIF(100:100,C32,101:101)+100</f>
        <v>100</v>
      </c>
      <c r="K32" s="365"/>
      <c r="L32" s="2485"/>
      <c r="M32" s="2480"/>
      <c r="N32" s="2480"/>
      <c r="O32" s="2480"/>
      <c r="P32" s="3384" t="s">
        <v>1696</v>
      </c>
      <c r="Q32" s="1259" t="str">
        <f t="shared" si="11"/>
        <v>建筑类型</v>
      </c>
      <c r="R32" s="667" t="s">
        <v>18</v>
      </c>
      <c r="S32" s="668">
        <f t="shared" si="12"/>
        <v>100</v>
      </c>
      <c r="T32" s="667" t="s">
        <v>18</v>
      </c>
      <c r="U32" s="668">
        <f t="shared" si="13"/>
        <v>100</v>
      </c>
      <c r="V32" s="667" t="s">
        <v>18</v>
      </c>
      <c r="W32" s="668">
        <f t="shared" si="14"/>
        <v>100</v>
      </c>
      <c r="X32" s="1261"/>
      <c r="Y32" s="3387" t="s">
        <v>1696</v>
      </c>
      <c r="Z32" s="1260" t="str">
        <f t="shared" si="18"/>
        <v>建筑类型</v>
      </c>
      <c r="AA32" s="1260">
        <f t="shared" si="15"/>
        <v>1</v>
      </c>
      <c r="AB32" s="1260">
        <f t="shared" si="16"/>
        <v>1</v>
      </c>
      <c r="AC32" s="1260">
        <f t="shared" si="17"/>
        <v>1</v>
      </c>
    </row>
    <row r="33" spans="1:29" s="408" customFormat="1" ht="15">
      <c r="A33" s="406"/>
      <c r="B33" s="364" t="s">
        <v>1697</v>
      </c>
      <c r="C33" s="407">
        <f>'数据-基础表'!I13</f>
        <v>154.79</v>
      </c>
      <c r="D33" s="119">
        <v>100</v>
      </c>
      <c r="E33" s="407">
        <f>案例!B57</f>
        <v>131</v>
      </c>
      <c r="F33" s="364">
        <f>LOOKUP(E33,103:103,104:104)-LOOKUP(C33,103:103,104:104)+100</f>
        <v>101</v>
      </c>
      <c r="G33" s="407">
        <f>案例!B58</f>
        <v>110</v>
      </c>
      <c r="H33" s="119">
        <f>LOOKUP(G33,103:103,104:104)-LOOKUP(C33,103:103,104:104)+100</f>
        <v>102</v>
      </c>
      <c r="I33" s="407">
        <f>案例!B59</f>
        <v>158.76</v>
      </c>
      <c r="J33" s="119">
        <f>LOOKUP(I33,103:103,104:104)-LOOKUP(C33,103:103,104:104)+100</f>
        <v>100</v>
      </c>
      <c r="K33" s="1744">
        <v>1</v>
      </c>
      <c r="L33" s="2484"/>
      <c r="M33" s="2486"/>
      <c r="N33" s="2486"/>
      <c r="O33" s="2486"/>
      <c r="P33" s="3385"/>
      <c r="Q33" s="531" t="str">
        <f t="shared" si="11"/>
        <v>项目建筑规模</v>
      </c>
      <c r="R33" s="669" t="s">
        <v>18</v>
      </c>
      <c r="S33" s="670">
        <f t="shared" si="12"/>
        <v>101</v>
      </c>
      <c r="T33" s="669" t="s">
        <v>18</v>
      </c>
      <c r="U33" s="670">
        <f t="shared" si="13"/>
        <v>102</v>
      </c>
      <c r="V33" s="669" t="s">
        <v>18</v>
      </c>
      <c r="W33" s="670">
        <f t="shared" si="14"/>
        <v>100</v>
      </c>
      <c r="X33" s="671"/>
      <c r="Y33" s="3387"/>
      <c r="Z33" s="672" t="str">
        <f t="shared" si="18"/>
        <v>项目建筑规模</v>
      </c>
      <c r="AA33" s="1260">
        <f t="shared" si="15"/>
        <v>0.99009900990099009</v>
      </c>
      <c r="AB33" s="1260">
        <f t="shared" si="16"/>
        <v>0.98039215686274506</v>
      </c>
      <c r="AC33" s="1260">
        <f t="shared" si="17"/>
        <v>1</v>
      </c>
    </row>
    <row r="34" spans="1:29" ht="15">
      <c r="A34" s="409"/>
      <c r="B34" s="364" t="s">
        <v>1698</v>
      </c>
      <c r="C34" s="399" t="s">
        <v>3499</v>
      </c>
      <c r="D34" s="374">
        <v>100</v>
      </c>
      <c r="E34" s="399" t="s">
        <v>3499</v>
      </c>
      <c r="F34" s="400">
        <f>SUMIF(105:105,E34,106:106)-SUMIF(105:105,C34,106:106)+100</f>
        <v>100</v>
      </c>
      <c r="G34" s="399" t="s">
        <v>3499</v>
      </c>
      <c r="H34" s="374">
        <f>SUMIF(105:105,G34,106:106)-SUMIF(105:105,C34,106:106)+100</f>
        <v>100</v>
      </c>
      <c r="I34" s="399" t="s">
        <v>3499</v>
      </c>
      <c r="J34" s="374">
        <f>SUMIF(105:105,I34,106:106)-SUMIF(105:105,C34,106:106)+100</f>
        <v>100</v>
      </c>
      <c r="K34" s="365"/>
      <c r="L34" s="2485"/>
      <c r="M34" s="2480"/>
      <c r="N34" s="2480"/>
      <c r="O34" s="2480"/>
      <c r="P34" s="3385"/>
      <c r="Q34" s="1259" t="str">
        <f t="shared" si="11"/>
        <v>建筑结构</v>
      </c>
      <c r="R34" s="667" t="s">
        <v>18</v>
      </c>
      <c r="S34" s="668">
        <f t="shared" si="12"/>
        <v>100</v>
      </c>
      <c r="T34" s="667" t="s">
        <v>18</v>
      </c>
      <c r="U34" s="668">
        <f t="shared" si="13"/>
        <v>100</v>
      </c>
      <c r="V34" s="667" t="s">
        <v>18</v>
      </c>
      <c r="W34" s="668">
        <f t="shared" si="14"/>
        <v>100</v>
      </c>
      <c r="X34" s="1261"/>
      <c r="Y34" s="3387"/>
      <c r="Z34" s="1260" t="str">
        <f t="shared" si="18"/>
        <v>建筑结构</v>
      </c>
      <c r="AA34" s="1260">
        <f t="shared" si="15"/>
        <v>1</v>
      </c>
      <c r="AB34" s="1260">
        <f t="shared" si="16"/>
        <v>1</v>
      </c>
      <c r="AC34" s="1260">
        <f t="shared" si="17"/>
        <v>1</v>
      </c>
    </row>
    <row r="35" spans="1:29" ht="15" hidden="1">
      <c r="A35" s="409"/>
      <c r="B35" s="364" t="s">
        <v>1699</v>
      </c>
      <c r="C35" s="1756"/>
      <c r="D35" s="374">
        <v>100</v>
      </c>
      <c r="E35" s="1756"/>
      <c r="F35" s="400">
        <f>SUMIF(107:107,E35,108:108)-SUMIF(107:107,C35,108:108)+100</f>
        <v>100</v>
      </c>
      <c r="G35" s="1756"/>
      <c r="H35" s="374">
        <f>SUMIF(107:107,G35,108:108)-SUMIF(107:107,C35,108:108)+100</f>
        <v>100</v>
      </c>
      <c r="I35" s="1756"/>
      <c r="J35" s="374">
        <f>SUMIF(107:107,I35,108:108)-SUMIF(107:107,C35,108:108)+100</f>
        <v>100</v>
      </c>
      <c r="K35" s="365"/>
      <c r="L35" s="2485"/>
      <c r="M35" s="2480"/>
      <c r="N35" s="2480"/>
      <c r="O35" s="2480"/>
      <c r="P35" s="3385"/>
      <c r="Q35" s="1259" t="str">
        <f t="shared" si="11"/>
        <v>建筑品质</v>
      </c>
      <c r="R35" s="667" t="s">
        <v>18</v>
      </c>
      <c r="S35" s="668">
        <f t="shared" si="12"/>
        <v>100</v>
      </c>
      <c r="T35" s="667" t="s">
        <v>18</v>
      </c>
      <c r="U35" s="668">
        <f t="shared" si="13"/>
        <v>100</v>
      </c>
      <c r="V35" s="667" t="s">
        <v>18</v>
      </c>
      <c r="W35" s="668">
        <f t="shared" si="14"/>
        <v>100</v>
      </c>
      <c r="X35" s="1261"/>
      <c r="Y35" s="3387"/>
      <c r="Z35" s="1260" t="str">
        <f t="shared" si="18"/>
        <v>建筑品质</v>
      </c>
      <c r="AA35" s="1260">
        <f t="shared" si="15"/>
        <v>1</v>
      </c>
      <c r="AB35" s="1260">
        <f t="shared" si="16"/>
        <v>1</v>
      </c>
      <c r="AC35" s="1260">
        <f t="shared" si="17"/>
        <v>1</v>
      </c>
    </row>
    <row r="36" spans="1:29" ht="15">
      <c r="A36" s="409"/>
      <c r="B36" s="364" t="s">
        <v>1700</v>
      </c>
      <c r="C36" s="1756" t="s">
        <v>3501</v>
      </c>
      <c r="D36" s="374">
        <v>100</v>
      </c>
      <c r="E36" s="1756" t="s">
        <v>3501</v>
      </c>
      <c r="F36" s="400">
        <f>SUMIF(109:109,E36,110:110)-SUMIF(109:109,C36,110:110)+100</f>
        <v>100</v>
      </c>
      <c r="G36" s="1756" t="s">
        <v>3501</v>
      </c>
      <c r="H36" s="374">
        <f>SUMIF(109:109,G36,110:110)-SUMIF(109:109,C36,110:110)+100</f>
        <v>100</v>
      </c>
      <c r="I36" s="1756" t="s">
        <v>3501</v>
      </c>
      <c r="J36" s="374">
        <f>SUMIF(109:109,I36,110:110)-SUMIF(109:109,C36,110:110)+100</f>
        <v>100</v>
      </c>
      <c r="K36" s="365"/>
      <c r="L36" s="2485"/>
      <c r="M36" s="2480"/>
      <c r="N36" s="2480"/>
      <c r="O36" s="2480"/>
      <c r="P36" s="3385"/>
      <c r="Q36" s="1259" t="str">
        <f t="shared" si="11"/>
        <v>公共部分装修</v>
      </c>
      <c r="R36" s="667" t="s">
        <v>18</v>
      </c>
      <c r="S36" s="668">
        <f t="shared" si="12"/>
        <v>100</v>
      </c>
      <c r="T36" s="667" t="s">
        <v>18</v>
      </c>
      <c r="U36" s="668">
        <f t="shared" si="13"/>
        <v>100</v>
      </c>
      <c r="V36" s="667" t="s">
        <v>18</v>
      </c>
      <c r="W36" s="668">
        <f t="shared" si="14"/>
        <v>100</v>
      </c>
      <c r="X36" s="1261"/>
      <c r="Y36" s="3387"/>
      <c r="Z36" s="1260" t="str">
        <f t="shared" si="18"/>
        <v>公共部分装修</v>
      </c>
      <c r="AA36" s="1260">
        <f t="shared" si="15"/>
        <v>1</v>
      </c>
      <c r="AB36" s="1260">
        <f t="shared" si="16"/>
        <v>1</v>
      </c>
      <c r="AC36" s="1260">
        <f t="shared" si="17"/>
        <v>1</v>
      </c>
    </row>
    <row r="37" spans="1:29" s="102" customFormat="1" ht="15">
      <c r="A37" s="410"/>
      <c r="B37" s="364" t="s">
        <v>1701</v>
      </c>
      <c r="C37" s="411">
        <v>0.75</v>
      </c>
      <c r="D37" s="119">
        <v>100</v>
      </c>
      <c r="E37" s="411">
        <v>0.75</v>
      </c>
      <c r="F37" s="364">
        <f>LOOKUP(E37,112:112,113:113)-LOOKUP(C37,112:112,113:113)+100</f>
        <v>100</v>
      </c>
      <c r="G37" s="411">
        <v>0.75</v>
      </c>
      <c r="H37" s="119">
        <f>LOOKUP(G37,112:112,113:113)-LOOKUP(C37,112:112,113:113)+100</f>
        <v>100</v>
      </c>
      <c r="I37" s="411">
        <v>0.75</v>
      </c>
      <c r="J37" s="119">
        <f>LOOKUP(I37,112:112,113:113)-LOOKUP(C37,112:112,113:113)+100</f>
        <v>100</v>
      </c>
      <c r="K37" s="365"/>
      <c r="L37" s="2481"/>
      <c r="M37" s="2432"/>
      <c r="N37" s="2432"/>
      <c r="O37" s="2432"/>
      <c r="P37" s="3385"/>
      <c r="Q37" s="530" t="str">
        <f t="shared" si="11"/>
        <v>成新度</v>
      </c>
      <c r="R37" s="664" t="s">
        <v>18</v>
      </c>
      <c r="S37" s="665">
        <f t="shared" si="12"/>
        <v>100</v>
      </c>
      <c r="T37" s="664" t="s">
        <v>18</v>
      </c>
      <c r="U37" s="665">
        <f t="shared" si="13"/>
        <v>100</v>
      </c>
      <c r="V37" s="664" t="s">
        <v>18</v>
      </c>
      <c r="W37" s="665">
        <f t="shared" si="14"/>
        <v>100</v>
      </c>
      <c r="X37" s="666"/>
      <c r="Y37" s="3387"/>
      <c r="Z37" s="50" t="str">
        <f t="shared" si="18"/>
        <v>成新度</v>
      </c>
      <c r="AA37" s="50">
        <f t="shared" si="15"/>
        <v>1</v>
      </c>
      <c r="AB37" s="50">
        <f t="shared" si="16"/>
        <v>1</v>
      </c>
      <c r="AC37" s="50">
        <f t="shared" si="17"/>
        <v>1</v>
      </c>
    </row>
    <row r="38" spans="1:29" ht="15">
      <c r="A38" s="409"/>
      <c r="B38" s="364" t="s">
        <v>1702</v>
      </c>
      <c r="C38" s="1756" t="s">
        <v>3503</v>
      </c>
      <c r="D38" s="374">
        <v>100</v>
      </c>
      <c r="E38" s="1756" t="s">
        <v>3503</v>
      </c>
      <c r="F38" s="400">
        <f>SUMIF(114:114,E38,115:115)-SUMIF(114:114,C38,115:115)+100</f>
        <v>100</v>
      </c>
      <c r="G38" s="1756" t="s">
        <v>3503</v>
      </c>
      <c r="H38" s="374">
        <f>SUMIF(114:114,G38,115:115)-SUMIF(114:114,C38,115:115)+100</f>
        <v>100</v>
      </c>
      <c r="I38" s="1756" t="s">
        <v>3503</v>
      </c>
      <c r="J38" s="374">
        <f>SUMIF(114:114,I38,115:115)-SUMIF(114:114,C38,115:115)+100</f>
        <v>100</v>
      </c>
      <c r="K38" s="365"/>
      <c r="L38" s="2485"/>
      <c r="M38" s="2480"/>
      <c r="N38" s="2480"/>
      <c r="O38" s="2480"/>
      <c r="P38" s="3385" t="s">
        <v>1696</v>
      </c>
      <c r="Q38" s="1259" t="str">
        <f t="shared" si="11"/>
        <v>物业管理</v>
      </c>
      <c r="R38" s="667" t="s">
        <v>18</v>
      </c>
      <c r="S38" s="668">
        <f t="shared" si="12"/>
        <v>100</v>
      </c>
      <c r="T38" s="667" t="s">
        <v>18</v>
      </c>
      <c r="U38" s="668">
        <f t="shared" si="13"/>
        <v>100</v>
      </c>
      <c r="V38" s="667" t="s">
        <v>18</v>
      </c>
      <c r="W38" s="668">
        <f t="shared" si="14"/>
        <v>100</v>
      </c>
      <c r="X38" s="1261"/>
      <c r="Y38" s="3387" t="s">
        <v>1696</v>
      </c>
      <c r="Z38" s="1260" t="str">
        <f t="shared" si="18"/>
        <v>物业管理</v>
      </c>
      <c r="AA38" s="1260">
        <f t="shared" si="15"/>
        <v>1</v>
      </c>
      <c r="AB38" s="1260">
        <f t="shared" si="16"/>
        <v>1</v>
      </c>
      <c r="AC38" s="1260">
        <f t="shared" si="17"/>
        <v>1</v>
      </c>
    </row>
    <row r="39" spans="1:29" ht="15">
      <c r="A39" s="409"/>
      <c r="B39" s="364" t="s">
        <v>1703</v>
      </c>
      <c r="C39" s="1756" t="s">
        <v>3477</v>
      </c>
      <c r="D39" s="374">
        <v>100</v>
      </c>
      <c r="E39" s="1756" t="s">
        <v>3477</v>
      </c>
      <c r="F39" s="400">
        <f>SUMIF(116:116,E39,117:117)-SUMIF(116:116,C39,117:117)+100</f>
        <v>100</v>
      </c>
      <c r="G39" s="1756" t="s">
        <v>3477</v>
      </c>
      <c r="H39" s="374">
        <f>SUMIF(116:116,G39,117:117)-SUMIF(116:116,C39,117:117)+100</f>
        <v>100</v>
      </c>
      <c r="I39" s="1756" t="s">
        <v>3477</v>
      </c>
      <c r="J39" s="374">
        <f>SUMIF(116:116,I39,117:117)-SUMIF(116:116,C39,117:117)+100</f>
        <v>100</v>
      </c>
      <c r="K39" s="365"/>
      <c r="L39" s="2485"/>
      <c r="M39" s="2480"/>
      <c r="N39" s="2480"/>
      <c r="O39" s="2480"/>
      <c r="P39" s="3385"/>
      <c r="Q39" s="1259" t="str">
        <f t="shared" si="11"/>
        <v>市政基础设施</v>
      </c>
      <c r="R39" s="667" t="s">
        <v>18</v>
      </c>
      <c r="S39" s="668">
        <f t="shared" si="12"/>
        <v>100</v>
      </c>
      <c r="T39" s="667" t="s">
        <v>18</v>
      </c>
      <c r="U39" s="668">
        <f t="shared" si="13"/>
        <v>100</v>
      </c>
      <c r="V39" s="667" t="s">
        <v>18</v>
      </c>
      <c r="W39" s="668">
        <f t="shared" si="14"/>
        <v>100</v>
      </c>
      <c r="X39" s="1261"/>
      <c r="Y39" s="3387"/>
      <c r="Z39" s="1260" t="str">
        <f t="shared" si="18"/>
        <v>市政基础设施</v>
      </c>
      <c r="AA39" s="1260">
        <f t="shared" si="15"/>
        <v>1</v>
      </c>
      <c r="AB39" s="1260">
        <f t="shared" si="16"/>
        <v>1</v>
      </c>
      <c r="AC39" s="1260">
        <f t="shared" si="17"/>
        <v>1</v>
      </c>
    </row>
    <row r="40" spans="1:29" ht="15">
      <c r="A40" s="409"/>
      <c r="B40" s="364" t="s">
        <v>1704</v>
      </c>
      <c r="C40" s="1756" t="s">
        <v>3506</v>
      </c>
      <c r="D40" s="374">
        <v>100</v>
      </c>
      <c r="E40" s="1756" t="s">
        <v>3506</v>
      </c>
      <c r="F40" s="400">
        <f>SUMIF(118:118,E40,119:119)-SUMIF(118:118,C40,119:119)+100</f>
        <v>100</v>
      </c>
      <c r="G40" s="1756" t="s">
        <v>3506</v>
      </c>
      <c r="H40" s="374">
        <f>SUMIF(118:118,G40,119:119)-SUMIF(118:118,C40,119:119)+100</f>
        <v>100</v>
      </c>
      <c r="I40" s="1756" t="s">
        <v>3506</v>
      </c>
      <c r="J40" s="374">
        <f>SUMIF(118:118,I40,119:119)-SUMIF(118:118,C40,119:119)+100</f>
        <v>100</v>
      </c>
      <c r="K40" s="365"/>
      <c r="L40" s="2485"/>
      <c r="M40" s="2480"/>
      <c r="N40" s="2480"/>
      <c r="O40" s="2480"/>
      <c r="P40" s="3385"/>
      <c r="Q40" s="1259" t="str">
        <f t="shared" si="11"/>
        <v>房型</v>
      </c>
      <c r="R40" s="667" t="s">
        <v>18</v>
      </c>
      <c r="S40" s="668">
        <f t="shared" si="12"/>
        <v>100</v>
      </c>
      <c r="T40" s="667" t="s">
        <v>18</v>
      </c>
      <c r="U40" s="668">
        <f t="shared" si="13"/>
        <v>100</v>
      </c>
      <c r="V40" s="667" t="s">
        <v>18</v>
      </c>
      <c r="W40" s="668">
        <f t="shared" si="14"/>
        <v>100</v>
      </c>
      <c r="X40" s="1261"/>
      <c r="Y40" s="3387"/>
      <c r="Z40" s="1260" t="str">
        <f t="shared" si="18"/>
        <v>房型</v>
      </c>
      <c r="AA40" s="1260">
        <f t="shared" si="15"/>
        <v>1</v>
      </c>
      <c r="AB40" s="1260">
        <f t="shared" si="16"/>
        <v>1</v>
      </c>
      <c r="AC40" s="1260">
        <f t="shared" si="17"/>
        <v>1</v>
      </c>
    </row>
    <row r="41" spans="1:29" s="408" customFormat="1" ht="28.5" hidden="1">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4"/>
      <c r="L41" s="2484"/>
      <c r="M41" s="2486"/>
      <c r="N41" s="2486"/>
      <c r="O41" s="2486"/>
      <c r="P41" s="3385"/>
      <c r="Q41" s="531" t="str">
        <f t="shared" si="11"/>
        <v>单套/主力户型建筑面积</v>
      </c>
      <c r="R41" s="669" t="s">
        <v>18</v>
      </c>
      <c r="S41" s="670">
        <f t="shared" si="12"/>
        <v>100</v>
      </c>
      <c r="T41" s="669" t="s">
        <v>18</v>
      </c>
      <c r="U41" s="670">
        <f t="shared" si="13"/>
        <v>100</v>
      </c>
      <c r="V41" s="669" t="s">
        <v>18</v>
      </c>
      <c r="W41" s="670">
        <f t="shared" si="14"/>
        <v>100</v>
      </c>
      <c r="X41" s="671"/>
      <c r="Y41" s="3387"/>
      <c r="Z41" s="672" t="str">
        <f t="shared" si="18"/>
        <v>单套/主力户型建筑面积</v>
      </c>
      <c r="AA41" s="1260">
        <f t="shared" si="15"/>
        <v>1</v>
      </c>
      <c r="AB41" s="1260">
        <f t="shared" si="16"/>
        <v>1</v>
      </c>
      <c r="AC41" s="1260">
        <f t="shared" si="17"/>
        <v>1</v>
      </c>
    </row>
    <row r="42" spans="1:29" ht="15">
      <c r="A42" s="409"/>
      <c r="B42" s="364" t="s">
        <v>1706</v>
      </c>
      <c r="C42" s="1756" t="s">
        <v>3501</v>
      </c>
      <c r="D42" s="374">
        <v>100</v>
      </c>
      <c r="E42" s="1756" t="s">
        <v>3501</v>
      </c>
      <c r="F42" s="400">
        <f>SUMIF(122:122,E42,123:123)-SUMIF(122:122,C42,123:123)+100</f>
        <v>100</v>
      </c>
      <c r="G42" s="1756" t="s">
        <v>3501</v>
      </c>
      <c r="H42" s="374">
        <f>SUMIF(122:122,G42,123:123)-SUMIF(122:122,C42,123:123)+100</f>
        <v>100</v>
      </c>
      <c r="I42" s="1756" t="s">
        <v>3501</v>
      </c>
      <c r="J42" s="374">
        <f>SUMIF(122:122,I42,123:123)-SUMIF(122:122,C42,123:123)+100</f>
        <v>100</v>
      </c>
      <c r="K42" s="365"/>
      <c r="L42" s="2485"/>
      <c r="M42" s="2480"/>
      <c r="N42" s="2480"/>
      <c r="O42" s="2480"/>
      <c r="P42" s="3385"/>
      <c r="Q42" s="1259" t="str">
        <f t="shared" si="11"/>
        <v>内部装修</v>
      </c>
      <c r="R42" s="667" t="s">
        <v>18</v>
      </c>
      <c r="S42" s="668">
        <f t="shared" si="12"/>
        <v>100</v>
      </c>
      <c r="T42" s="667" t="s">
        <v>18</v>
      </c>
      <c r="U42" s="668">
        <f t="shared" si="13"/>
        <v>100</v>
      </c>
      <c r="V42" s="667" t="s">
        <v>18</v>
      </c>
      <c r="W42" s="668">
        <f t="shared" si="14"/>
        <v>100</v>
      </c>
      <c r="X42" s="1261"/>
      <c r="Y42" s="3387"/>
      <c r="Z42" s="1260" t="str">
        <f t="shared" si="18"/>
        <v>内部装修</v>
      </c>
      <c r="AA42" s="1260">
        <f t="shared" si="15"/>
        <v>1</v>
      </c>
      <c r="AB42" s="1260">
        <f t="shared" si="16"/>
        <v>1</v>
      </c>
      <c r="AC42" s="1260">
        <f t="shared" si="17"/>
        <v>1</v>
      </c>
    </row>
    <row r="43" spans="1:29" ht="15">
      <c r="A43" s="409"/>
      <c r="B43" s="364" t="s">
        <v>1707</v>
      </c>
      <c r="C43" s="1756" t="s">
        <v>3426</v>
      </c>
      <c r="D43" s="374">
        <v>100</v>
      </c>
      <c r="E43" s="1756" t="s">
        <v>3426</v>
      </c>
      <c r="F43" s="400">
        <f>SUMIF(124:124,E43,125:125)-SUMIF(124:124,C43,125:125)+100</f>
        <v>100</v>
      </c>
      <c r="G43" s="1756" t="s">
        <v>3426</v>
      </c>
      <c r="H43" s="374">
        <f>SUMIF(124:124,G43,125:125)-SUMIF(124:124,C43,125:125)+100</f>
        <v>100</v>
      </c>
      <c r="I43" s="1756" t="s">
        <v>3426</v>
      </c>
      <c r="J43" s="374">
        <f>SUMIF(124:124,I43,125:125)-SUMIF(124:124,C43,125:125)+100</f>
        <v>100</v>
      </c>
      <c r="K43" s="365"/>
      <c r="L43" s="2485"/>
      <c r="M43" s="2480"/>
      <c r="N43" s="2480"/>
      <c r="O43" s="2480"/>
      <c r="P43" s="3385"/>
      <c r="Q43" s="1259" t="str">
        <f t="shared" si="11"/>
        <v>内部装修维护情况</v>
      </c>
      <c r="R43" s="667" t="s">
        <v>18</v>
      </c>
      <c r="S43" s="668">
        <f t="shared" si="12"/>
        <v>100</v>
      </c>
      <c r="T43" s="667" t="s">
        <v>18</v>
      </c>
      <c r="U43" s="668">
        <f t="shared" si="13"/>
        <v>100</v>
      </c>
      <c r="V43" s="667" t="s">
        <v>18</v>
      </c>
      <c r="W43" s="668">
        <f t="shared" si="14"/>
        <v>100</v>
      </c>
      <c r="X43" s="1261"/>
      <c r="Y43" s="3387"/>
      <c r="Z43" s="1260" t="str">
        <f t="shared" si="18"/>
        <v>内部装修维护情况</v>
      </c>
      <c r="AA43" s="1260">
        <f t="shared" si="15"/>
        <v>1</v>
      </c>
      <c r="AB43" s="1260">
        <f t="shared" si="16"/>
        <v>1</v>
      </c>
      <c r="AC43" s="1260">
        <f t="shared" si="17"/>
        <v>1</v>
      </c>
    </row>
    <row r="44" spans="1:29" s="102" customFormat="1" ht="15">
      <c r="A44" s="410"/>
      <c r="B44" s="1062">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1"/>
      <c r="M44" s="2432"/>
      <c r="N44" s="2432"/>
      <c r="O44" s="2432"/>
      <c r="P44" s="3385"/>
      <c r="Q44" s="530">
        <f t="shared" si="11"/>
        <v>111</v>
      </c>
      <c r="R44" s="664" t="s">
        <v>18</v>
      </c>
      <c r="S44" s="665">
        <f t="shared" si="12"/>
        <v>100</v>
      </c>
      <c r="T44" s="664" t="s">
        <v>18</v>
      </c>
      <c r="U44" s="665">
        <f t="shared" si="13"/>
        <v>100</v>
      </c>
      <c r="V44" s="664" t="s">
        <v>18</v>
      </c>
      <c r="W44" s="665">
        <f t="shared" si="14"/>
        <v>100</v>
      </c>
      <c r="X44" s="666"/>
      <c r="Y44" s="3387"/>
      <c r="Z44" s="50">
        <f t="shared" si="18"/>
        <v>111</v>
      </c>
      <c r="AA44" s="50">
        <f t="shared" si="15"/>
        <v>1</v>
      </c>
      <c r="AB44" s="50">
        <f t="shared" si="16"/>
        <v>1</v>
      </c>
      <c r="AC44" s="50">
        <f t="shared" si="17"/>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5"/>
      <c r="M45" s="2480"/>
      <c r="N45" s="2480"/>
      <c r="O45" s="2480"/>
      <c r="P45" s="3385"/>
      <c r="Q45" s="1259">
        <f t="shared" si="11"/>
        <v>111</v>
      </c>
      <c r="R45" s="667" t="s">
        <v>18</v>
      </c>
      <c r="S45" s="668">
        <f t="shared" si="12"/>
        <v>100</v>
      </c>
      <c r="T45" s="667" t="s">
        <v>18</v>
      </c>
      <c r="U45" s="668">
        <f t="shared" si="13"/>
        <v>100</v>
      </c>
      <c r="V45" s="667" t="s">
        <v>18</v>
      </c>
      <c r="W45" s="668">
        <f t="shared" si="14"/>
        <v>100</v>
      </c>
      <c r="X45" s="1261"/>
      <c r="Y45" s="3387"/>
      <c r="Z45" s="1260">
        <f t="shared" si="18"/>
        <v>111</v>
      </c>
      <c r="AA45" s="1260">
        <f t="shared" si="15"/>
        <v>1</v>
      </c>
      <c r="AB45" s="1260">
        <f t="shared" si="16"/>
        <v>1</v>
      </c>
      <c r="AC45" s="1260">
        <f t="shared" si="17"/>
        <v>1</v>
      </c>
    </row>
    <row r="46" spans="1:29" ht="15.75"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5"/>
      <c r="M46" s="2480"/>
      <c r="N46" s="2480"/>
      <c r="O46" s="2480"/>
      <c r="P46" s="3386"/>
      <c r="Q46" s="1259">
        <f t="shared" si="11"/>
        <v>111</v>
      </c>
      <c r="R46" s="667" t="s">
        <v>17</v>
      </c>
      <c r="S46" s="668">
        <f t="shared" si="12"/>
        <v>100</v>
      </c>
      <c r="T46" s="667" t="s">
        <v>17</v>
      </c>
      <c r="U46" s="668">
        <f t="shared" si="13"/>
        <v>100</v>
      </c>
      <c r="V46" s="667" t="s">
        <v>17</v>
      </c>
      <c r="W46" s="668">
        <f t="shared" si="14"/>
        <v>100</v>
      </c>
      <c r="X46" s="1261"/>
      <c r="Y46" s="3388"/>
      <c r="Z46" s="1260">
        <f t="shared" si="18"/>
        <v>111</v>
      </c>
      <c r="AA46" s="1260">
        <f t="shared" si="15"/>
        <v>1</v>
      </c>
      <c r="AB46" s="1260">
        <f t="shared" si="16"/>
        <v>1</v>
      </c>
      <c r="AC46" s="1260">
        <f t="shared" si="17"/>
        <v>1</v>
      </c>
    </row>
    <row r="47" spans="1:29" ht="15">
      <c r="A47" s="416" t="s">
        <v>1708</v>
      </c>
      <c r="B47" s="417"/>
      <c r="C47" s="1077" t="s">
        <v>16</v>
      </c>
      <c r="D47" s="418"/>
      <c r="E47" s="419">
        <f>案例!C57</f>
        <v>7557</v>
      </c>
      <c r="F47" s="420"/>
      <c r="G47" s="421">
        <f>案例!C58</f>
        <v>7636</v>
      </c>
      <c r="H47" s="422"/>
      <c r="I47" s="419">
        <f>案例!C59</f>
        <v>7874</v>
      </c>
      <c r="J47" s="422"/>
      <c r="K47" s="1761"/>
      <c r="L47" s="2487"/>
      <c r="M47" s="2480"/>
      <c r="N47" s="2480"/>
      <c r="O47" s="2480"/>
      <c r="P47" s="3380" t="str">
        <f>A47</f>
        <v>成交单价（元/平方米）</v>
      </c>
      <c r="Q47" s="3380"/>
      <c r="R47" s="3381">
        <f>E47</f>
        <v>7557</v>
      </c>
      <c r="S47" s="3381"/>
      <c r="T47" s="3381">
        <f>G47</f>
        <v>7636</v>
      </c>
      <c r="U47" s="3381"/>
      <c r="V47" s="3381">
        <f>I47</f>
        <v>7874</v>
      </c>
      <c r="W47" s="3381"/>
      <c r="X47" s="385"/>
      <c r="Y47" s="673"/>
      <c r="Z47" s="385"/>
      <c r="AA47" s="385"/>
      <c r="AB47" s="385"/>
      <c r="AC47" s="385"/>
    </row>
    <row r="48" spans="1:29" ht="15.75" thickBot="1">
      <c r="A48" s="423" t="s">
        <v>1709</v>
      </c>
      <c r="B48" s="424"/>
      <c r="C48" s="1078">
        <f>R49</f>
        <v>7262</v>
      </c>
      <c r="D48" s="2135" t="s">
        <v>2138</v>
      </c>
      <c r="E48" s="1079">
        <f>R48</f>
        <v>7123</v>
      </c>
      <c r="F48" s="2136"/>
      <c r="G48" s="1078">
        <f>T48</f>
        <v>7238</v>
      </c>
      <c r="H48" s="2136"/>
      <c r="I48" s="1079">
        <f>V48</f>
        <v>7425</v>
      </c>
      <c r="J48" s="2136"/>
      <c r="K48" s="2137">
        <f>F48+H48+J48</f>
        <v>0</v>
      </c>
      <c r="L48" s="2487"/>
      <c r="M48" s="2480"/>
      <c r="N48" s="2480"/>
      <c r="O48" s="2480"/>
      <c r="P48" s="3380" t="str">
        <f>A48</f>
        <v>比较价值（元/平方米）</v>
      </c>
      <c r="Q48" s="3380"/>
      <c r="R48" s="3381">
        <f>IF(F1="售价",ROUND(PRODUCT(R47,AA7:AA46),0),ROUND(PRODUCT(R47,AA7:AA46),1))</f>
        <v>7123</v>
      </c>
      <c r="S48" s="3381"/>
      <c r="T48" s="3381">
        <f>IF(F1="售价",ROUND(PRODUCT(T47,AB7:AB46),0),ROUND(PRODUCT(T47,AB7:AB46),1))</f>
        <v>7238</v>
      </c>
      <c r="U48" s="3381"/>
      <c r="V48" s="3381">
        <f>IF(F1="售价",ROUND(PRODUCT(V47,AC7:AC46),0),ROUND(PRODUCT(V47,AC7:AC46),1))</f>
        <v>7425</v>
      </c>
      <c r="W48" s="3381"/>
      <c r="X48" s="385"/>
      <c r="Y48" s="385"/>
      <c r="Z48" s="385"/>
      <c r="AA48" s="385"/>
      <c r="AB48" s="385"/>
      <c r="AC48" s="385"/>
    </row>
    <row r="49" spans="1:29" ht="15.75" thickBot="1">
      <c r="A49" s="427" t="s">
        <v>1710</v>
      </c>
      <c r="B49" s="428"/>
      <c r="C49" s="1080">
        <f>R49</f>
        <v>7262</v>
      </c>
      <c r="D49" s="351"/>
      <c r="E49" s="351"/>
      <c r="F49" s="351"/>
      <c r="G49" s="351"/>
      <c r="H49" s="351"/>
      <c r="I49" s="351"/>
      <c r="J49" s="351"/>
      <c r="K49" s="1762"/>
      <c r="L49" s="2487"/>
      <c r="M49" s="2480"/>
      <c r="N49" s="2480"/>
      <c r="O49" s="2480"/>
      <c r="P49" s="3377" t="str">
        <f>A49</f>
        <v>估价对象XX用房的比较价值（楼面单价，元/平方米）</v>
      </c>
      <c r="Q49" s="3378"/>
      <c r="R49" s="3379">
        <f>IF(F1="售价",ROUND(IF(D48="简单平均",AVERAGE(R48:V48),R48*F48+T48*H48+V48*J48),0),ROUND(IF(D48="简单平均",AVERAGE(R48:V48),R48*F48+T48*H48+V48*J48),1))</f>
        <v>7262</v>
      </c>
      <c r="S49" s="3379"/>
      <c r="T49" s="3379"/>
      <c r="U49" s="3379"/>
      <c r="V49" s="3379"/>
      <c r="W49" s="3379"/>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2" t="s">
        <v>1711</v>
      </c>
      <c r="D52" s="433"/>
      <c r="E52" s="434">
        <f>IF(E47&lt;E48,E48/E47-1,E47/E48-1)</f>
        <v>6.0929383686648908E-2</v>
      </c>
      <c r="F52" s="435" t="str">
        <f>IF(OR(E52&gt;=0.3,E52&lt;=-0.3),"超过30%","")</f>
        <v/>
      </c>
      <c r="G52" s="434">
        <f>IF(G47&lt;G48,G48/G47-1,G47/G48-1)</f>
        <v>5.4987565625863599E-2</v>
      </c>
      <c r="H52" s="435" t="str">
        <f>IF(OR(G52&gt;=0.3,G52&lt;=-0.3),"超过30%","")</f>
        <v/>
      </c>
      <c r="I52" s="434">
        <f>IF(I47&lt;I48,I48/I47-1,I47/I48-1)</f>
        <v>6.0471380471380565E-2</v>
      </c>
      <c r="J52" s="435" t="str">
        <f>IF(OR(I52&gt;=0.3,I52&lt;=-0.3),"超过30%","")</f>
        <v/>
      </c>
      <c r="K52" s="2492"/>
      <c r="L52" s="2488"/>
      <c r="M52" s="2480"/>
      <c r="N52" s="2480"/>
      <c r="O52" s="2480"/>
    </row>
    <row r="53" spans="1:29" ht="13.5" customHeight="1">
      <c r="A53" s="2480"/>
      <c r="B53" s="2480"/>
      <c r="C53" s="432" t="s">
        <v>1712</v>
      </c>
      <c r="D53" s="436"/>
      <c r="E53" s="434">
        <f>IF(E48&lt;G48,G48/E48-1,E48/G48-1)</f>
        <v>1.6144882774111968E-2</v>
      </c>
      <c r="F53" s="435" t="str">
        <f>IF(OR(E53&gt;=0.2,E53&lt;=-0.2),"超过20%","")</f>
        <v/>
      </c>
      <c r="G53" s="434">
        <f>IF(G48&lt;I48,I48/G48-1,G48/I48-1)</f>
        <v>2.5835866261398222E-2</v>
      </c>
      <c r="H53" s="435" t="str">
        <f>IF(OR(G53&gt;=0.2,G53&lt;=-0.2),"超过20%","")</f>
        <v/>
      </c>
      <c r="I53" s="434">
        <f>IF(I48&lt;E48,E48/I48-1,I48/E48-1)</f>
        <v>4.2397866067668044E-2</v>
      </c>
      <c r="J53" s="435" t="str">
        <f>IF(OR(I53&gt;=0.2,I53&lt;=-0.2),"超过20%","")</f>
        <v/>
      </c>
      <c r="K53" s="2492"/>
      <c r="L53" s="2488"/>
      <c r="M53" s="2480"/>
      <c r="N53" s="2480"/>
      <c r="O53" s="2480"/>
    </row>
    <row r="54" spans="1:29" s="437" customFormat="1" ht="13.5" customHeight="1">
      <c r="A54" s="2490"/>
      <c r="B54" s="2490"/>
      <c r="C54" s="432" t="s">
        <v>1713</v>
      </c>
      <c r="D54" s="436"/>
      <c r="E54" s="434">
        <f>IF(E47&lt;G47,G47/E47-1,E47/G47-1)</f>
        <v>1.0453883816329279E-2</v>
      </c>
      <c r="F54" s="435" t="str">
        <f>IF(OR(E54&gt;=0.3,E54&lt;=-0.3),"超过30%","")</f>
        <v/>
      </c>
      <c r="G54" s="434">
        <f>IF(G47&lt;I47,I47/G47-1,G47/I47-1)</f>
        <v>3.1168150864326893E-2</v>
      </c>
      <c r="H54" s="435" t="str">
        <f>IF(OR(G54&gt;=0.3,G54&lt;=-0.3),"超过30%","")</f>
        <v/>
      </c>
      <c r="I54" s="434">
        <f>IF(I47&lt;E47,E47/I47-1,I47/E47-1)</f>
        <v>4.1947862908561673E-2</v>
      </c>
      <c r="J54" s="435" t="str">
        <f>IF(OR(I54&gt;=0.3,I54&lt;=-0.3),"超过30%","")</f>
        <v/>
      </c>
      <c r="K54" s="2495"/>
      <c r="L54" s="2489"/>
      <c r="M54" s="2490"/>
      <c r="N54" s="2490"/>
      <c r="O54" s="2490"/>
      <c r="P54" s="1764"/>
    </row>
    <row r="55" spans="1:29" s="437" customFormat="1">
      <c r="A55" s="2490"/>
      <c r="B55" s="2493"/>
      <c r="C55" s="2494"/>
      <c r="D55" s="2490"/>
      <c r="E55" s="2490"/>
      <c r="F55" s="2490"/>
      <c r="G55" s="2490"/>
      <c r="H55" s="2490"/>
      <c r="I55" s="2490"/>
      <c r="J55" s="2490"/>
      <c r="K55" s="2495"/>
      <c r="L55" s="2489"/>
      <c r="M55" s="2490"/>
      <c r="N55" s="2490"/>
      <c r="O55" s="2490"/>
      <c r="P55" s="1764"/>
    </row>
    <row r="56" spans="1:29">
      <c r="A56" s="2480"/>
      <c r="B56" s="2493"/>
      <c r="C56" s="2494"/>
      <c r="D56" s="2480"/>
      <c r="E56" s="2480"/>
      <c r="F56" s="2480"/>
      <c r="G56" s="2480"/>
      <c r="H56" s="2480"/>
      <c r="I56" s="2480"/>
      <c r="J56" s="2480"/>
      <c r="K56" s="2492"/>
      <c r="L56" s="2488"/>
      <c r="M56" s="2480"/>
      <c r="N56" s="2480"/>
      <c r="O56" s="2480"/>
    </row>
    <row r="57" spans="1:29" ht="21.75" thickBot="1">
      <c r="A57" s="658" t="s">
        <v>1714</v>
      </c>
      <c r="B57" s="385"/>
      <c r="C57" s="659"/>
      <c r="D57" s="659"/>
      <c r="E57" s="659"/>
      <c r="F57" s="660"/>
      <c r="G57" s="660"/>
      <c r="H57" s="659"/>
      <c r="I57" s="659"/>
      <c r="J57" s="659"/>
      <c r="K57" s="883"/>
      <c r="L57" s="884"/>
      <c r="M57" s="882"/>
      <c r="N57" s="882"/>
      <c r="O57" s="882"/>
      <c r="P57" s="1765"/>
      <c r="Q57" s="439"/>
    </row>
    <row r="58" spans="1:29" s="442" customFormat="1" ht="15">
      <c r="A58" s="440" t="s">
        <v>1715</v>
      </c>
      <c r="B58" s="441"/>
      <c r="C58" s="1101" t="str">
        <f>YEAR(C7)&amp;"-"&amp;MONTH(C7)</f>
        <v>2025-10</v>
      </c>
      <c r="D58" s="1100">
        <f>EDATE(C58,-1)</f>
        <v>45901</v>
      </c>
      <c r="E58" s="1100">
        <f>EDATE(D58,-1)</f>
        <v>45870</v>
      </c>
      <c r="F58" s="1100">
        <f t="shared" ref="F58:O58" si="19">EDATE(E58,-1)</f>
        <v>45839</v>
      </c>
      <c r="G58" s="1100">
        <f t="shared" si="19"/>
        <v>45809</v>
      </c>
      <c r="H58" s="1100">
        <f t="shared" si="19"/>
        <v>45778</v>
      </c>
      <c r="I58" s="1100">
        <f t="shared" si="19"/>
        <v>45748</v>
      </c>
      <c r="J58" s="1100">
        <f t="shared" si="19"/>
        <v>45717</v>
      </c>
      <c r="K58" s="1100">
        <f t="shared" si="19"/>
        <v>45689</v>
      </c>
      <c r="L58" s="1100">
        <f t="shared" si="19"/>
        <v>45658</v>
      </c>
      <c r="M58" s="1100">
        <f t="shared" si="19"/>
        <v>45627</v>
      </c>
      <c r="N58" s="1100">
        <f t="shared" si="19"/>
        <v>45597</v>
      </c>
      <c r="O58" s="1100">
        <f t="shared" si="19"/>
        <v>45566</v>
      </c>
      <c r="P58" s="1096"/>
    </row>
    <row r="59" spans="1:29" s="102" customFormat="1" ht="15">
      <c r="A59" s="443"/>
      <c r="B59" s="1766"/>
      <c r="C59" s="1098">
        <v>100</v>
      </c>
      <c r="D59" s="445">
        <f>C59+$C$60</f>
        <v>100.8</v>
      </c>
      <c r="E59" s="445">
        <f t="shared" ref="E59:L59" si="20">D59+$C$60</f>
        <v>101.6</v>
      </c>
      <c r="F59" s="445">
        <f t="shared" si="20"/>
        <v>102.39999999999999</v>
      </c>
      <c r="G59" s="445">
        <f t="shared" si="20"/>
        <v>103.19999999999999</v>
      </c>
      <c r="H59" s="445">
        <f t="shared" si="20"/>
        <v>103.99999999999999</v>
      </c>
      <c r="I59" s="445">
        <f t="shared" si="20"/>
        <v>104.79999999999998</v>
      </c>
      <c r="J59" s="445">
        <f t="shared" si="20"/>
        <v>105.59999999999998</v>
      </c>
      <c r="K59" s="445">
        <f t="shared" si="20"/>
        <v>106.39999999999998</v>
      </c>
      <c r="L59" s="445">
        <f t="shared" si="20"/>
        <v>107.19999999999997</v>
      </c>
      <c r="M59" s="447"/>
      <c r="N59" s="446"/>
      <c r="O59" s="447"/>
      <c r="P59" s="1767"/>
    </row>
    <row r="60" spans="1:29" s="102" customFormat="1" ht="15.75" thickBot="1">
      <c r="A60" s="449" t="s">
        <v>1716</v>
      </c>
      <c r="B60" s="450"/>
      <c r="C60" s="451">
        <v>0.8</v>
      </c>
      <c r="D60" s="452"/>
      <c r="E60" s="452"/>
      <c r="F60" s="452"/>
      <c r="G60" s="452"/>
      <c r="H60" s="452"/>
      <c r="I60" s="452"/>
      <c r="J60" s="452"/>
      <c r="K60" s="452"/>
      <c r="L60" s="452"/>
      <c r="M60" s="453"/>
      <c r="N60" s="452"/>
      <c r="O60" s="453"/>
      <c r="P60" s="1767"/>
      <c r="Q60" s="439"/>
    </row>
    <row r="61" spans="1:29" s="102" customFormat="1" ht="15">
      <c r="A61" s="455" t="s">
        <v>1717</v>
      </c>
      <c r="B61" s="444"/>
      <c r="C61" s="456" t="s">
        <v>1718</v>
      </c>
      <c r="D61" s="3520" t="s">
        <v>3496</v>
      </c>
      <c r="E61" s="31"/>
      <c r="F61" s="31"/>
      <c r="G61" s="31"/>
      <c r="H61" s="31"/>
      <c r="I61" s="31"/>
      <c r="J61" s="31"/>
      <c r="K61" s="31"/>
      <c r="L61" s="457"/>
      <c r="M61" s="458"/>
      <c r="N61" s="874"/>
      <c r="O61" s="874"/>
      <c r="P61" s="1768"/>
      <c r="Q61" s="439"/>
    </row>
    <row r="62" spans="1:29" s="102" customFormat="1" ht="15.75" thickBot="1">
      <c r="A62" s="455"/>
      <c r="B62" s="444"/>
      <c r="C62" s="445">
        <v>100</v>
      </c>
      <c r="D62" s="446">
        <v>105</v>
      </c>
      <c r="E62" s="446"/>
      <c r="F62" s="446"/>
      <c r="G62" s="446"/>
      <c r="H62" s="446"/>
      <c r="I62" s="446"/>
      <c r="J62" s="446"/>
      <c r="K62" s="446"/>
      <c r="L62" s="446"/>
      <c r="M62" s="448"/>
      <c r="N62" s="874"/>
      <c r="O62" s="874"/>
      <c r="P62" s="1767"/>
      <c r="Q62" s="439"/>
    </row>
    <row r="63" spans="1:29">
      <c r="A63" s="379" t="s">
        <v>1719</v>
      </c>
      <c r="B63" s="460" t="s">
        <v>1685</v>
      </c>
      <c r="C63" s="461" t="str">
        <f>C9</f>
        <v>住宅</v>
      </c>
      <c r="D63" s="462"/>
      <c r="E63" s="462"/>
      <c r="F63" s="462"/>
      <c r="G63" s="462"/>
      <c r="H63" s="462"/>
      <c r="I63" s="462"/>
      <c r="J63" s="462"/>
      <c r="K63" s="463"/>
      <c r="L63" s="464"/>
      <c r="M63" s="465"/>
      <c r="N63" s="875"/>
      <c r="O63" s="875"/>
      <c r="P63" s="1769"/>
      <c r="Q63" s="439"/>
    </row>
    <row r="64" spans="1:29" ht="15.75" thickBot="1">
      <c r="A64" s="367"/>
      <c r="B64" s="466"/>
      <c r="C64" s="467">
        <v>100</v>
      </c>
      <c r="D64" s="467"/>
      <c r="E64" s="467"/>
      <c r="F64" s="467"/>
      <c r="G64" s="467"/>
      <c r="H64" s="467"/>
      <c r="I64" s="467"/>
      <c r="J64" s="467"/>
      <c r="K64" s="467"/>
      <c r="L64" s="467"/>
      <c r="M64" s="468"/>
      <c r="N64" s="876"/>
      <c r="O64" s="876"/>
      <c r="P64" s="1769"/>
      <c r="Q64" s="439"/>
    </row>
    <row r="65" spans="1:17" ht="27.75" thickTop="1">
      <c r="A65" s="367"/>
      <c r="B65" s="469" t="s">
        <v>1688</v>
      </c>
      <c r="C65" s="513"/>
      <c r="D65" s="513"/>
      <c r="E65" s="513"/>
      <c r="F65" s="513"/>
      <c r="G65" s="513"/>
      <c r="H65" s="513"/>
      <c r="I65" s="513"/>
      <c r="J65" s="513"/>
      <c r="K65" s="513"/>
      <c r="L65" s="513"/>
      <c r="M65" s="513"/>
      <c r="N65" s="876"/>
      <c r="O65" s="876"/>
      <c r="P65" s="1769"/>
      <c r="Q65" s="439"/>
    </row>
    <row r="66" spans="1:17" ht="15.75" thickBot="1">
      <c r="A66" s="367"/>
      <c r="B66" s="474"/>
      <c r="C66" s="467"/>
      <c r="D66" s="467"/>
      <c r="E66" s="467"/>
      <c r="F66" s="467"/>
      <c r="G66" s="467"/>
      <c r="H66" s="467"/>
      <c r="I66" s="467"/>
      <c r="J66" s="467"/>
      <c r="K66" s="467"/>
      <c r="L66" s="467"/>
      <c r="M66" s="468"/>
      <c r="N66" s="876"/>
      <c r="O66" s="876"/>
      <c r="P66" s="1769"/>
      <c r="Q66" s="439"/>
    </row>
    <row r="67" spans="1:17" ht="15.75" thickTop="1">
      <c r="A67" s="367"/>
      <c r="B67" s="477" t="s">
        <v>1689</v>
      </c>
      <c r="C67" s="478" t="str">
        <f>C68&amp;"（含）"&amp;"-"&amp;D68</f>
        <v>0（含）-2</v>
      </c>
      <c r="D67" s="478" t="str">
        <f t="shared" ref="D67:L67" si="21">D68&amp;"（含）"&amp;"-"&amp;E68</f>
        <v>2（含）-4</v>
      </c>
      <c r="E67" s="478" t="str">
        <f t="shared" si="21"/>
        <v>4（含）-</v>
      </c>
      <c r="F67" s="478" t="str">
        <f t="shared" si="21"/>
        <v>（含）-</v>
      </c>
      <c r="G67" s="478" t="str">
        <f t="shared" si="21"/>
        <v>（含）-</v>
      </c>
      <c r="H67" s="478" t="str">
        <f t="shared" si="21"/>
        <v>（含）-</v>
      </c>
      <c r="I67" s="478" t="str">
        <f t="shared" si="21"/>
        <v>（含）-</v>
      </c>
      <c r="J67" s="478" t="str">
        <f t="shared" si="21"/>
        <v>（含）-</v>
      </c>
      <c r="K67" s="478" t="str">
        <f>K68&amp;"（含）"&amp;"-"&amp;L68</f>
        <v>（含）-</v>
      </c>
      <c r="L67" s="478" t="str">
        <f t="shared" si="21"/>
        <v>（含）-</v>
      </c>
      <c r="M67" s="387" t="str">
        <f>M68&amp;"（含）"&amp;"-"&amp;P68</f>
        <v>（含）-</v>
      </c>
      <c r="N67" s="876"/>
      <c r="O67" s="876"/>
      <c r="P67" s="1769"/>
      <c r="Q67" s="439"/>
    </row>
    <row r="68" spans="1:17" ht="15">
      <c r="A68" s="367"/>
      <c r="B68" s="479"/>
      <c r="C68" s="480">
        <v>0</v>
      </c>
      <c r="D68" s="480">
        <v>2</v>
      </c>
      <c r="E68" s="480">
        <v>4</v>
      </c>
      <c r="F68" s="480"/>
      <c r="G68" s="480"/>
      <c r="H68" s="480"/>
      <c r="I68" s="480"/>
      <c r="J68" s="480"/>
      <c r="K68" s="481"/>
      <c r="L68" s="482"/>
      <c r="M68" s="483"/>
      <c r="N68" s="875"/>
      <c r="O68" s="875"/>
      <c r="P68" s="1769"/>
      <c r="Q68" s="439"/>
    </row>
    <row r="69" spans="1:17" ht="15.75" thickBot="1">
      <c r="A69" s="367"/>
      <c r="B69" s="466"/>
      <c r="C69" s="475">
        <v>100</v>
      </c>
      <c r="D69" s="475">
        <f t="shared" ref="D69:M69" si="22">C69-$K11</f>
        <v>100</v>
      </c>
      <c r="E69" s="475">
        <f t="shared" si="22"/>
        <v>100</v>
      </c>
      <c r="F69" s="475">
        <f t="shared" si="22"/>
        <v>100</v>
      </c>
      <c r="G69" s="475">
        <f t="shared" si="22"/>
        <v>100</v>
      </c>
      <c r="H69" s="475">
        <f t="shared" si="22"/>
        <v>100</v>
      </c>
      <c r="I69" s="475">
        <f t="shared" si="22"/>
        <v>100</v>
      </c>
      <c r="J69" s="475">
        <f t="shared" si="22"/>
        <v>100</v>
      </c>
      <c r="K69" s="475">
        <f t="shared" si="22"/>
        <v>100</v>
      </c>
      <c r="L69" s="475">
        <f t="shared" si="22"/>
        <v>100</v>
      </c>
      <c r="M69" s="476">
        <f t="shared" si="22"/>
        <v>100</v>
      </c>
      <c r="N69" s="876"/>
      <c r="O69" s="876"/>
      <c r="P69" s="1769"/>
      <c r="Q69" s="439"/>
    </row>
    <row r="70" spans="1:17" s="408" customFormat="1" ht="15.75" thickTop="1">
      <c r="A70" s="484"/>
      <c r="B70" s="469">
        <f>B12</f>
        <v>111</v>
      </c>
      <c r="C70" s="485"/>
      <c r="D70" s="485"/>
      <c r="E70" s="485"/>
      <c r="F70" s="485"/>
      <c r="G70" s="485"/>
      <c r="H70" s="486"/>
      <c r="I70" s="486"/>
      <c r="J70" s="486"/>
      <c r="K70" s="486"/>
      <c r="L70" s="487"/>
      <c r="M70" s="488"/>
      <c r="N70" s="877"/>
      <c r="O70" s="877"/>
      <c r="P70" s="1770"/>
      <c r="Q70" s="490"/>
    </row>
    <row r="71" spans="1:17" s="408" customFormat="1" ht="15.75" thickBot="1">
      <c r="A71" s="484"/>
      <c r="B71" s="474"/>
      <c r="C71" s="491"/>
      <c r="D71" s="467"/>
      <c r="E71" s="467"/>
      <c r="F71" s="467"/>
      <c r="G71" s="467"/>
      <c r="H71" s="467"/>
      <c r="I71" s="467"/>
      <c r="J71" s="467"/>
      <c r="K71" s="467"/>
      <c r="L71" s="467"/>
      <c r="M71" s="468"/>
      <c r="N71" s="876"/>
      <c r="O71" s="876"/>
      <c r="P71" s="1770"/>
      <c r="Q71" s="490"/>
    </row>
    <row r="72" spans="1:17" s="408" customFormat="1" ht="15.75" thickTop="1">
      <c r="A72" s="484"/>
      <c r="B72" s="469">
        <f>B13</f>
        <v>111</v>
      </c>
      <c r="C72" s="485"/>
      <c r="D72" s="485"/>
      <c r="E72" s="485"/>
      <c r="F72" s="485"/>
      <c r="G72" s="485"/>
      <c r="H72" s="486"/>
      <c r="I72" s="486"/>
      <c r="J72" s="486"/>
      <c r="K72" s="486"/>
      <c r="L72" s="487"/>
      <c r="M72" s="488"/>
      <c r="N72" s="877"/>
      <c r="O72" s="877"/>
      <c r="P72" s="1771"/>
      <c r="Q72" s="492"/>
    </row>
    <row r="73" spans="1:17" s="408" customFormat="1" ht="15.75" thickBot="1">
      <c r="A73" s="484"/>
      <c r="B73" s="474"/>
      <c r="C73" s="491"/>
      <c r="D73" s="491"/>
      <c r="E73" s="491"/>
      <c r="F73" s="491"/>
      <c r="G73" s="491"/>
      <c r="H73" s="493"/>
      <c r="I73" s="493"/>
      <c r="J73" s="493"/>
      <c r="K73" s="493"/>
      <c r="L73" s="493"/>
      <c r="M73" s="494"/>
      <c r="N73" s="877"/>
      <c r="O73" s="877"/>
      <c r="P73" s="1770"/>
      <c r="Q73" s="490"/>
    </row>
    <row r="74" spans="1:17" s="408" customFormat="1" ht="15.75" thickTop="1">
      <c r="A74" s="484"/>
      <c r="B74" s="477" t="str">
        <f>B14</f>
        <v>房屋性质</v>
      </c>
      <c r="C74" s="485"/>
      <c r="D74" s="485"/>
      <c r="E74" s="485"/>
      <c r="F74" s="485"/>
      <c r="G74" s="31"/>
      <c r="H74" s="495"/>
      <c r="I74" s="495"/>
      <c r="J74" s="495"/>
      <c r="K74" s="495"/>
      <c r="L74" s="496"/>
      <c r="M74" s="497"/>
      <c r="N74" s="877"/>
      <c r="O74" s="877"/>
      <c r="P74" s="1772"/>
      <c r="Q74" s="490"/>
    </row>
    <row r="75" spans="1:17" s="408" customFormat="1" ht="15.75" thickBot="1">
      <c r="A75" s="499"/>
      <c r="B75" s="500"/>
      <c r="C75" s="501"/>
      <c r="D75" s="501"/>
      <c r="E75" s="501"/>
      <c r="F75" s="501"/>
      <c r="G75" s="501"/>
      <c r="H75" s="502"/>
      <c r="I75" s="502"/>
      <c r="J75" s="502"/>
      <c r="K75" s="502"/>
      <c r="L75" s="502"/>
      <c r="M75" s="503"/>
      <c r="N75" s="877"/>
      <c r="O75" s="877"/>
      <c r="P75" s="1770"/>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5"/>
      <c r="O76" s="875"/>
      <c r="P76" s="1773"/>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6"/>
      <c r="O77" s="876"/>
      <c r="P77" s="1769"/>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5"/>
      <c r="O78" s="875"/>
      <c r="P78" s="1769"/>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6"/>
      <c r="O79" s="876"/>
      <c r="P79" s="1769"/>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5"/>
      <c r="O80" s="875"/>
      <c r="P80" s="1769"/>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6"/>
      <c r="O81" s="876"/>
      <c r="P81" s="1769"/>
      <c r="Q81" s="439"/>
    </row>
    <row r="82" spans="1:17" ht="15.75" thickTop="1">
      <c r="A82" s="367"/>
      <c r="B82" s="477" t="s">
        <v>1260</v>
      </c>
      <c r="C82" s="470" t="s">
        <v>1728</v>
      </c>
      <c r="D82" s="470" t="s">
        <v>1729</v>
      </c>
      <c r="E82" s="470" t="s">
        <v>1730</v>
      </c>
      <c r="F82" s="470" t="s">
        <v>1731</v>
      </c>
      <c r="G82" s="470" t="s">
        <v>1732</v>
      </c>
      <c r="H82" s="470"/>
      <c r="I82" s="470"/>
      <c r="J82" s="470"/>
      <c r="K82" s="470"/>
      <c r="L82" s="470"/>
      <c r="M82" s="1059"/>
      <c r="N82" s="876"/>
      <c r="O82" s="876"/>
      <c r="P82" s="1769"/>
      <c r="Q82" s="439"/>
    </row>
    <row r="83" spans="1:17" ht="15.75" thickBot="1">
      <c r="A83" s="367"/>
      <c r="B83" s="477"/>
      <c r="C83" s="581">
        <v>100</v>
      </c>
      <c r="D83" s="581">
        <f>C83-$K21</f>
        <v>100</v>
      </c>
      <c r="E83" s="581">
        <f t="shared" ref="E83:G83" si="23">D83-$K21</f>
        <v>100</v>
      </c>
      <c r="F83" s="581">
        <f t="shared" si="23"/>
        <v>100</v>
      </c>
      <c r="G83" s="581">
        <f t="shared" si="23"/>
        <v>100</v>
      </c>
      <c r="H83" s="581"/>
      <c r="I83" s="581"/>
      <c r="J83" s="581"/>
      <c r="K83" s="581"/>
      <c r="L83" s="581"/>
      <c r="M83" s="389"/>
      <c r="N83" s="876"/>
      <c r="O83" s="876"/>
      <c r="P83" s="1769"/>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5"/>
      <c r="O84" s="875"/>
      <c r="P84" s="1769"/>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6"/>
      <c r="O85" s="876"/>
      <c r="P85" s="1769"/>
      <c r="Q85" s="439"/>
    </row>
    <row r="86" spans="1:17" s="102" customFormat="1" ht="15.75" thickTop="1">
      <c r="A86" s="370"/>
      <c r="B86" s="469" t="s">
        <v>1734</v>
      </c>
      <c r="C86" s="3518" t="s">
        <v>3485</v>
      </c>
      <c r="D86" s="3518" t="s">
        <v>3487</v>
      </c>
      <c r="E86" s="3518" t="s">
        <v>3488</v>
      </c>
      <c r="F86" s="485"/>
      <c r="G86" s="485"/>
      <c r="H86" s="485"/>
      <c r="I86" s="485"/>
      <c r="J86" s="485"/>
      <c r="K86" s="485"/>
      <c r="L86" s="510"/>
      <c r="M86" s="511"/>
      <c r="N86" s="874"/>
      <c r="O86" s="874"/>
      <c r="P86" s="1769"/>
      <c r="Q86" s="439"/>
    </row>
    <row r="87" spans="1:17" s="102" customFormat="1" ht="15.75" thickBot="1">
      <c r="A87" s="370"/>
      <c r="B87" s="474"/>
      <c r="C87" s="512">
        <v>100</v>
      </c>
      <c r="D87" s="475">
        <f>C87+$K$25</f>
        <v>101</v>
      </c>
      <c r="E87" s="475">
        <f>D87+$K$25</f>
        <v>102</v>
      </c>
      <c r="F87" s="475" t="e">
        <f t="shared" ref="D87:M87" si="24">$C$87-($C$86-F86)*$K$25</f>
        <v>#VALUE!</v>
      </c>
      <c r="G87" s="475" t="e">
        <f t="shared" si="24"/>
        <v>#VALUE!</v>
      </c>
      <c r="H87" s="475" t="e">
        <f t="shared" si="24"/>
        <v>#VALUE!</v>
      </c>
      <c r="I87" s="475" t="e">
        <f t="shared" si="24"/>
        <v>#VALUE!</v>
      </c>
      <c r="J87" s="475" t="e">
        <f t="shared" si="24"/>
        <v>#VALUE!</v>
      </c>
      <c r="K87" s="475" t="e">
        <f t="shared" si="24"/>
        <v>#VALUE!</v>
      </c>
      <c r="L87" s="475" t="e">
        <f t="shared" si="24"/>
        <v>#VALUE!</v>
      </c>
      <c r="M87" s="475" t="e">
        <f t="shared" si="24"/>
        <v>#VALUE!</v>
      </c>
      <c r="N87" s="876"/>
      <c r="O87" s="876"/>
      <c r="P87" s="1769"/>
      <c r="Q87" s="439"/>
    </row>
    <row r="88" spans="1:17" s="102" customFormat="1" ht="15.75" thickTop="1">
      <c r="A88" s="370"/>
      <c r="B88" s="469" t="s">
        <v>1735</v>
      </c>
      <c r="C88" s="3518" t="s">
        <v>3483</v>
      </c>
      <c r="D88" s="485"/>
      <c r="E88" s="485"/>
      <c r="F88" s="1774"/>
      <c r="G88" s="485"/>
      <c r="H88" s="485"/>
      <c r="I88" s="485"/>
      <c r="J88" s="485"/>
      <c r="K88" s="485"/>
      <c r="L88" s="485"/>
      <c r="M88" s="511"/>
      <c r="N88" s="874"/>
      <c r="O88" s="874"/>
      <c r="P88" s="1769"/>
      <c r="Q88" s="439"/>
    </row>
    <row r="89" spans="1:17" s="102" customFormat="1" ht="15.75" thickBot="1">
      <c r="A89" s="370"/>
      <c r="B89" s="474"/>
      <c r="C89" s="512">
        <v>100</v>
      </c>
      <c r="D89" s="475">
        <f t="shared" ref="D89:M89" si="25">C89-$K26</f>
        <v>100</v>
      </c>
      <c r="E89" s="475">
        <f t="shared" si="25"/>
        <v>100</v>
      </c>
      <c r="F89" s="475">
        <f t="shared" si="25"/>
        <v>100</v>
      </c>
      <c r="G89" s="475">
        <f t="shared" si="25"/>
        <v>100</v>
      </c>
      <c r="H89" s="475">
        <f t="shared" si="25"/>
        <v>100</v>
      </c>
      <c r="I89" s="475">
        <f t="shared" si="25"/>
        <v>100</v>
      </c>
      <c r="J89" s="475">
        <f t="shared" si="25"/>
        <v>100</v>
      </c>
      <c r="K89" s="475">
        <f t="shared" si="25"/>
        <v>100</v>
      </c>
      <c r="L89" s="475">
        <f t="shared" si="25"/>
        <v>100</v>
      </c>
      <c r="M89" s="475">
        <f t="shared" si="25"/>
        <v>100</v>
      </c>
      <c r="N89" s="876"/>
      <c r="O89" s="876"/>
      <c r="P89" s="1769"/>
      <c r="Q89" s="439"/>
    </row>
    <row r="90" spans="1:17" s="408" customFormat="1" ht="15.75" thickTop="1">
      <c r="A90" s="484"/>
      <c r="B90" s="469">
        <f>B27</f>
        <v>111</v>
      </c>
      <c r="C90" s="485"/>
      <c r="D90" s="485"/>
      <c r="E90" s="485"/>
      <c r="F90" s="485"/>
      <c r="G90" s="485"/>
      <c r="H90" s="486"/>
      <c r="I90" s="486"/>
      <c r="J90" s="486"/>
      <c r="K90" s="486"/>
      <c r="L90" s="487"/>
      <c r="M90" s="488"/>
      <c r="N90" s="877"/>
      <c r="O90" s="877"/>
      <c r="P90" s="1770"/>
      <c r="Q90" s="490"/>
    </row>
    <row r="91" spans="1:17" s="408" customFormat="1" ht="15.75" thickBot="1">
      <c r="A91" s="484"/>
      <c r="B91" s="474"/>
      <c r="C91" s="491"/>
      <c r="D91" s="491"/>
      <c r="E91" s="491"/>
      <c r="F91" s="491"/>
      <c r="G91" s="491"/>
      <c r="H91" s="493"/>
      <c r="I91" s="493"/>
      <c r="J91" s="493"/>
      <c r="K91" s="493"/>
      <c r="L91" s="493"/>
      <c r="M91" s="494"/>
      <c r="N91" s="877"/>
      <c r="O91" s="877"/>
      <c r="P91" s="1770"/>
      <c r="Q91" s="490"/>
    </row>
    <row r="92" spans="1:17" ht="15.75" thickTop="1">
      <c r="A92" s="367"/>
      <c r="B92" s="469">
        <f>B28</f>
        <v>111</v>
      </c>
      <c r="C92" s="485"/>
      <c r="D92" s="485"/>
      <c r="E92" s="485"/>
      <c r="F92" s="485"/>
      <c r="G92" s="513"/>
      <c r="H92" s="513"/>
      <c r="I92" s="513"/>
      <c r="J92" s="513"/>
      <c r="K92" s="514"/>
      <c r="L92" s="515"/>
      <c r="M92" s="516"/>
      <c r="N92" s="875"/>
      <c r="O92" s="875"/>
      <c r="P92" s="1769"/>
      <c r="Q92" s="439"/>
    </row>
    <row r="93" spans="1:17" ht="15.75" thickBot="1">
      <c r="A93" s="367"/>
      <c r="B93" s="474"/>
      <c r="C93" s="491"/>
      <c r="D93" s="467"/>
      <c r="E93" s="467"/>
      <c r="F93" s="467"/>
      <c r="G93" s="467"/>
      <c r="H93" s="467"/>
      <c r="I93" s="467"/>
      <c r="J93" s="467"/>
      <c r="K93" s="467"/>
      <c r="L93" s="467"/>
      <c r="M93" s="468"/>
      <c r="N93" s="876"/>
      <c r="O93" s="876"/>
      <c r="P93" s="1769"/>
      <c r="Q93" s="439"/>
    </row>
    <row r="94" spans="1:17" ht="15.75" thickTop="1">
      <c r="A94" s="367"/>
      <c r="B94" s="469">
        <f>B29</f>
        <v>111</v>
      </c>
      <c r="C94" s="485"/>
      <c r="D94" s="485"/>
      <c r="E94" s="485"/>
      <c r="F94" s="485"/>
      <c r="G94" s="513"/>
      <c r="H94" s="513"/>
      <c r="I94" s="513"/>
      <c r="J94" s="513"/>
      <c r="K94" s="514"/>
      <c r="L94" s="515"/>
      <c r="M94" s="516"/>
      <c r="N94" s="875"/>
      <c r="O94" s="875"/>
      <c r="P94" s="1769"/>
      <c r="Q94" s="439"/>
    </row>
    <row r="95" spans="1:17" ht="15.75" thickBot="1">
      <c r="A95" s="367"/>
      <c r="B95" s="474"/>
      <c r="C95" s="491"/>
      <c r="D95" s="491"/>
      <c r="E95" s="491"/>
      <c r="F95" s="491"/>
      <c r="G95" s="467"/>
      <c r="H95" s="467"/>
      <c r="I95" s="467"/>
      <c r="J95" s="467"/>
      <c r="K95" s="467"/>
      <c r="L95" s="467"/>
      <c r="M95" s="468"/>
      <c r="N95" s="876"/>
      <c r="O95" s="876"/>
      <c r="P95" s="1769"/>
      <c r="Q95" s="439"/>
    </row>
    <row r="96" spans="1:17" ht="15.75" thickTop="1">
      <c r="A96" s="367"/>
      <c r="B96" s="469">
        <f>B30</f>
        <v>111</v>
      </c>
      <c r="C96" s="485"/>
      <c r="D96" s="485"/>
      <c r="E96" s="485"/>
      <c r="F96" s="485"/>
      <c r="G96" s="513"/>
      <c r="H96" s="513"/>
      <c r="I96" s="513"/>
      <c r="J96" s="513"/>
      <c r="K96" s="514"/>
      <c r="L96" s="515"/>
      <c r="M96" s="516"/>
      <c r="N96" s="875"/>
      <c r="O96" s="875"/>
      <c r="P96" s="1769"/>
      <c r="Q96" s="439"/>
    </row>
    <row r="97" spans="1:17" ht="15.75" thickBot="1">
      <c r="A97" s="367"/>
      <c r="B97" s="474"/>
      <c r="C97" s="501"/>
      <c r="D97" s="501"/>
      <c r="E97" s="501"/>
      <c r="F97" s="501"/>
      <c r="G97" s="467"/>
      <c r="H97" s="467"/>
      <c r="I97" s="467"/>
      <c r="J97" s="467"/>
      <c r="K97" s="467"/>
      <c r="L97" s="467"/>
      <c r="M97" s="468"/>
      <c r="N97" s="876"/>
      <c r="O97" s="876"/>
      <c r="P97" s="1769"/>
      <c r="Q97" s="439"/>
    </row>
    <row r="98" spans="1:17" ht="15.75" thickTop="1">
      <c r="A98" s="367"/>
      <c r="B98" s="477">
        <f>B31</f>
        <v>111</v>
      </c>
      <c r="C98" s="517"/>
      <c r="D98" s="517"/>
      <c r="E98" s="517"/>
      <c r="F98" s="517"/>
      <c r="G98" s="517"/>
      <c r="H98" s="517"/>
      <c r="I98" s="517"/>
      <c r="J98" s="517"/>
      <c r="K98" s="518"/>
      <c r="L98" s="519"/>
      <c r="M98" s="520"/>
      <c r="N98" s="875"/>
      <c r="O98" s="875"/>
      <c r="P98" s="1769"/>
      <c r="Q98" s="439"/>
    </row>
    <row r="99" spans="1:17" ht="15.75" thickBot="1">
      <c r="A99" s="375"/>
      <c r="B99" s="500"/>
      <c r="C99" s="521"/>
      <c r="D99" s="521"/>
      <c r="E99" s="521"/>
      <c r="F99" s="521"/>
      <c r="G99" s="521"/>
      <c r="H99" s="521"/>
      <c r="I99" s="521"/>
      <c r="J99" s="521"/>
      <c r="K99" s="521"/>
      <c r="L99" s="521"/>
      <c r="M99" s="522"/>
      <c r="N99" s="876"/>
      <c r="O99" s="876"/>
      <c r="P99" s="1769"/>
      <c r="Q99" s="439"/>
    </row>
    <row r="100" spans="1:17">
      <c r="A100" s="379" t="s">
        <v>1694</v>
      </c>
      <c r="B100" s="460" t="s">
        <v>1736</v>
      </c>
      <c r="C100" s="3521" t="s">
        <v>3498</v>
      </c>
      <c r="D100" s="462"/>
      <c r="E100" s="462"/>
      <c r="F100" s="462"/>
      <c r="G100" s="462"/>
      <c r="H100" s="462"/>
      <c r="I100" s="462"/>
      <c r="J100" s="462"/>
      <c r="K100" s="463"/>
      <c r="L100" s="464"/>
      <c r="M100" s="465"/>
      <c r="N100" s="875"/>
      <c r="O100" s="875"/>
      <c r="P100" s="1769"/>
      <c r="Q100" s="439"/>
    </row>
    <row r="101" spans="1:17" ht="15.75" thickBot="1">
      <c r="A101" s="367"/>
      <c r="B101" s="474"/>
      <c r="C101" s="475">
        <v>100</v>
      </c>
      <c r="D101" s="475">
        <f t="shared" ref="D101:M101" si="26">C101-$K32</f>
        <v>100</v>
      </c>
      <c r="E101" s="475">
        <f t="shared" si="26"/>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76"/>
      <c r="O101" s="876"/>
      <c r="P101" s="1769"/>
      <c r="Q101" s="439"/>
    </row>
    <row r="102" spans="1:17" ht="15.75" thickTop="1">
      <c r="A102" s="367"/>
      <c r="B102" s="469" t="s">
        <v>1737</v>
      </c>
      <c r="C102" s="509" t="str">
        <f>C103&amp;"(含)"&amp;"-"&amp;D103</f>
        <v>0(含)-80</v>
      </c>
      <c r="D102" s="509" t="str">
        <f t="shared" ref="D102:L102" si="27">D103&amp;"(含)"&amp;"-"&amp;E103</f>
        <v>80(含)-100</v>
      </c>
      <c r="E102" s="509" t="str">
        <f t="shared" si="27"/>
        <v>100(含)-120</v>
      </c>
      <c r="F102" s="509" t="str">
        <f t="shared" si="27"/>
        <v>120(含)-140</v>
      </c>
      <c r="G102" s="509" t="str">
        <f t="shared" si="27"/>
        <v>140(含)-160</v>
      </c>
      <c r="H102" s="509" t="str">
        <f t="shared" si="27"/>
        <v>160(含)-180</v>
      </c>
      <c r="I102" s="509" t="str">
        <f t="shared" si="27"/>
        <v>180(含)-</v>
      </c>
      <c r="J102" s="509" t="str">
        <f t="shared" si="27"/>
        <v>(含)-</v>
      </c>
      <c r="K102" s="509" t="str">
        <f>K103&amp;"(含)"&amp;"-"&amp;L103</f>
        <v>(含)-</v>
      </c>
      <c r="L102" s="509" t="str">
        <f t="shared" si="27"/>
        <v>(含)-</v>
      </c>
      <c r="M102" s="509" t="str">
        <f>M103&amp;"(含)"&amp;"-"&amp;P103</f>
        <v>(含)-</v>
      </c>
      <c r="N102" s="874"/>
      <c r="O102" s="874"/>
      <c r="P102" s="1769"/>
      <c r="Q102" s="439"/>
    </row>
    <row r="103" spans="1:17" s="408" customFormat="1">
      <c r="A103" s="406"/>
      <c r="B103" s="523"/>
      <c r="C103" s="6">
        <v>0</v>
      </c>
      <c r="D103" s="6">
        <v>80</v>
      </c>
      <c r="E103" s="6">
        <v>100</v>
      </c>
      <c r="F103" s="6">
        <v>120</v>
      </c>
      <c r="G103" s="6">
        <v>140</v>
      </c>
      <c r="H103" s="6">
        <v>160</v>
      </c>
      <c r="I103" s="6">
        <v>180</v>
      </c>
      <c r="J103" s="524"/>
      <c r="K103" s="524"/>
      <c r="L103" s="525"/>
      <c r="M103" s="526"/>
      <c r="N103" s="877"/>
      <c r="O103" s="877"/>
      <c r="P103" s="1770"/>
      <c r="Q103" s="490"/>
    </row>
    <row r="104" spans="1:17" s="408" customFormat="1" ht="15.75" thickBot="1">
      <c r="A104" s="484"/>
      <c r="B104" s="474"/>
      <c r="C104" s="467">
        <f t="shared" ref="C104:E104" si="28">D104+$K$33</f>
        <v>104</v>
      </c>
      <c r="D104" s="467">
        <f t="shared" si="28"/>
        <v>103</v>
      </c>
      <c r="E104" s="467">
        <f t="shared" si="28"/>
        <v>102</v>
      </c>
      <c r="F104" s="467">
        <f>G104+$K$33</f>
        <v>101</v>
      </c>
      <c r="G104" s="467">
        <v>100</v>
      </c>
      <c r="H104" s="467">
        <f>G104-$K$33</f>
        <v>99</v>
      </c>
      <c r="I104" s="467">
        <f>H104-$K$33</f>
        <v>98</v>
      </c>
      <c r="J104" s="467"/>
      <c r="K104" s="467"/>
      <c r="L104" s="467"/>
      <c r="M104" s="467"/>
      <c r="N104" s="876"/>
      <c r="O104" s="876"/>
      <c r="P104" s="1770"/>
      <c r="Q104" s="490"/>
    </row>
    <row r="105" spans="1:17" ht="15" thickTop="1">
      <c r="A105" s="409"/>
      <c r="B105" s="469" t="s">
        <v>1738</v>
      </c>
      <c r="C105" s="3518" t="s">
        <v>3500</v>
      </c>
      <c r="D105" s="485"/>
      <c r="E105" s="513"/>
      <c r="F105" s="513"/>
      <c r="G105" s="513"/>
      <c r="H105" s="513"/>
      <c r="I105" s="513"/>
      <c r="J105" s="513"/>
      <c r="K105" s="514"/>
      <c r="L105" s="515"/>
      <c r="M105" s="516"/>
      <c r="N105" s="875"/>
      <c r="O105" s="875"/>
      <c r="P105" s="1769"/>
      <c r="Q105" s="439"/>
    </row>
    <row r="106" spans="1:17" ht="15.75" thickBot="1">
      <c r="A106" s="367"/>
      <c r="B106" s="474"/>
      <c r="C106" s="475">
        <v>100</v>
      </c>
      <c r="D106" s="475">
        <f t="shared" ref="D106:M106" si="29">C106-$K34</f>
        <v>100</v>
      </c>
      <c r="E106" s="475">
        <f t="shared" si="29"/>
        <v>100</v>
      </c>
      <c r="F106" s="475">
        <f t="shared" si="29"/>
        <v>100</v>
      </c>
      <c r="G106" s="475">
        <f t="shared" si="29"/>
        <v>100</v>
      </c>
      <c r="H106" s="475">
        <f t="shared" si="29"/>
        <v>100</v>
      </c>
      <c r="I106" s="475">
        <f t="shared" si="29"/>
        <v>100</v>
      </c>
      <c r="J106" s="475">
        <f t="shared" si="29"/>
        <v>100</v>
      </c>
      <c r="K106" s="475">
        <f t="shared" si="29"/>
        <v>100</v>
      </c>
      <c r="L106" s="475">
        <f t="shared" si="29"/>
        <v>100</v>
      </c>
      <c r="M106" s="475">
        <f t="shared" si="29"/>
        <v>100</v>
      </c>
      <c r="N106" s="876"/>
      <c r="O106" s="876"/>
      <c r="P106" s="1769"/>
      <c r="Q106" s="439"/>
    </row>
    <row r="107" spans="1:17" ht="15" thickTop="1">
      <c r="A107" s="409"/>
      <c r="B107" s="469" t="s">
        <v>1739</v>
      </c>
      <c r="C107" s="513"/>
      <c r="D107" s="513"/>
      <c r="E107" s="513"/>
      <c r="F107" s="513"/>
      <c r="G107" s="513"/>
      <c r="H107" s="513"/>
      <c r="I107" s="513"/>
      <c r="J107" s="513"/>
      <c r="K107" s="514"/>
      <c r="L107" s="515"/>
      <c r="M107" s="516"/>
      <c r="N107" s="875"/>
      <c r="O107" s="875"/>
      <c r="P107" s="1769"/>
      <c r="Q107" s="439"/>
    </row>
    <row r="108" spans="1:17" ht="15.75" thickBot="1">
      <c r="A108" s="367"/>
      <c r="B108" s="474"/>
      <c r="C108" s="475">
        <v>100</v>
      </c>
      <c r="D108" s="475">
        <f t="shared" ref="D108:M108" si="30">C108-$K35</f>
        <v>100</v>
      </c>
      <c r="E108" s="475">
        <f t="shared" si="30"/>
        <v>100</v>
      </c>
      <c r="F108" s="475">
        <f t="shared" si="30"/>
        <v>100</v>
      </c>
      <c r="G108" s="475">
        <f t="shared" si="30"/>
        <v>100</v>
      </c>
      <c r="H108" s="475">
        <f t="shared" si="30"/>
        <v>100</v>
      </c>
      <c r="I108" s="475">
        <f t="shared" si="30"/>
        <v>100</v>
      </c>
      <c r="J108" s="475">
        <f t="shared" si="30"/>
        <v>100</v>
      </c>
      <c r="K108" s="475">
        <f t="shared" si="30"/>
        <v>100</v>
      </c>
      <c r="L108" s="475">
        <f t="shared" si="30"/>
        <v>100</v>
      </c>
      <c r="M108" s="475">
        <f t="shared" si="30"/>
        <v>100</v>
      </c>
      <c r="N108" s="876"/>
      <c r="O108" s="876"/>
      <c r="P108" s="1769"/>
      <c r="Q108" s="439"/>
    </row>
    <row r="109" spans="1:17" ht="15" thickTop="1">
      <c r="A109" s="409"/>
      <c r="B109" s="469" t="s">
        <v>1740</v>
      </c>
      <c r="C109" s="3518" t="s">
        <v>3502</v>
      </c>
      <c r="D109" s="485"/>
      <c r="E109" s="485"/>
      <c r="F109" s="513"/>
      <c r="G109" s="513"/>
      <c r="H109" s="513"/>
      <c r="I109" s="513"/>
      <c r="J109" s="513"/>
      <c r="K109" s="514"/>
      <c r="L109" s="515"/>
      <c r="M109" s="516"/>
      <c r="N109" s="875"/>
      <c r="O109" s="875"/>
      <c r="P109" s="1769"/>
      <c r="Q109" s="439"/>
    </row>
    <row r="110" spans="1:17" ht="15.75" thickBot="1">
      <c r="A110" s="367"/>
      <c r="B110" s="474"/>
      <c r="C110" s="475">
        <v>100</v>
      </c>
      <c r="D110" s="475">
        <f t="shared" ref="D110:M110" si="31">C110-$K36</f>
        <v>100</v>
      </c>
      <c r="E110" s="475">
        <f t="shared" si="31"/>
        <v>100</v>
      </c>
      <c r="F110" s="475">
        <f t="shared" si="31"/>
        <v>100</v>
      </c>
      <c r="G110" s="475">
        <f t="shared" si="31"/>
        <v>100</v>
      </c>
      <c r="H110" s="475">
        <f t="shared" si="31"/>
        <v>100</v>
      </c>
      <c r="I110" s="475">
        <f t="shared" si="31"/>
        <v>100</v>
      </c>
      <c r="J110" s="475">
        <f t="shared" si="31"/>
        <v>100</v>
      </c>
      <c r="K110" s="475">
        <f t="shared" si="31"/>
        <v>100</v>
      </c>
      <c r="L110" s="475">
        <f t="shared" si="31"/>
        <v>100</v>
      </c>
      <c r="M110" s="475">
        <f t="shared" si="31"/>
        <v>100</v>
      </c>
      <c r="N110" s="876"/>
      <c r="O110" s="876"/>
      <c r="P110" s="1769"/>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7"/>
      <c r="O111" s="877"/>
      <c r="P111" s="1770"/>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7"/>
      <c r="O112" s="877"/>
      <c r="P112" s="1770"/>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7"/>
      <c r="O113" s="877"/>
      <c r="P113" s="1770"/>
      <c r="Q113" s="490"/>
    </row>
    <row r="114" spans="1:17" ht="15" thickTop="1">
      <c r="A114" s="409"/>
      <c r="B114" s="469" t="s">
        <v>1741</v>
      </c>
      <c r="C114" s="3518" t="s">
        <v>3504</v>
      </c>
      <c r="D114" s="485"/>
      <c r="E114" s="513"/>
      <c r="F114" s="513"/>
      <c r="G114" s="513"/>
      <c r="H114" s="513"/>
      <c r="I114" s="513"/>
      <c r="J114" s="513"/>
      <c r="K114" s="514"/>
      <c r="L114" s="515"/>
      <c r="M114" s="516"/>
      <c r="N114" s="875"/>
      <c r="O114" s="875"/>
      <c r="P114" s="1769"/>
      <c r="Q114" s="439"/>
    </row>
    <row r="115" spans="1:17" ht="15.75" thickBot="1">
      <c r="A115" s="367"/>
      <c r="B115" s="474"/>
      <c r="C115" s="475">
        <v>100</v>
      </c>
      <c r="D115" s="475">
        <f t="shared" ref="D115:M115" si="32">C115-$K38</f>
        <v>100</v>
      </c>
      <c r="E115" s="475">
        <f t="shared" si="32"/>
        <v>100</v>
      </c>
      <c r="F115" s="475">
        <f t="shared" si="32"/>
        <v>100</v>
      </c>
      <c r="G115" s="475">
        <f t="shared" si="32"/>
        <v>100</v>
      </c>
      <c r="H115" s="475">
        <f t="shared" si="32"/>
        <v>100</v>
      </c>
      <c r="I115" s="475">
        <f t="shared" si="32"/>
        <v>100</v>
      </c>
      <c r="J115" s="475">
        <f t="shared" si="32"/>
        <v>100</v>
      </c>
      <c r="K115" s="475">
        <f t="shared" si="32"/>
        <v>100</v>
      </c>
      <c r="L115" s="475">
        <f t="shared" si="32"/>
        <v>100</v>
      </c>
      <c r="M115" s="475">
        <f t="shared" si="32"/>
        <v>100</v>
      </c>
      <c r="N115" s="876"/>
      <c r="O115" s="876"/>
      <c r="P115" s="1769"/>
      <c r="Q115" s="439"/>
    </row>
    <row r="116" spans="1:17" ht="15" thickTop="1">
      <c r="A116" s="409"/>
      <c r="B116" s="469" t="s">
        <v>1742</v>
      </c>
      <c r="C116" s="3518" t="s">
        <v>3505</v>
      </c>
      <c r="D116" s="485"/>
      <c r="E116" s="485"/>
      <c r="F116" s="485"/>
      <c r="G116" s="485"/>
      <c r="H116" s="513"/>
      <c r="I116" s="513"/>
      <c r="J116" s="513"/>
      <c r="K116" s="514"/>
      <c r="L116" s="515"/>
      <c r="M116" s="516"/>
      <c r="N116" s="875"/>
      <c r="O116" s="875"/>
      <c r="P116" s="1769"/>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6"/>
      <c r="O117" s="876"/>
      <c r="P117" s="1769"/>
      <c r="Q117" s="439"/>
    </row>
    <row r="118" spans="1:17" ht="15" thickTop="1">
      <c r="A118" s="409"/>
      <c r="B118" s="469" t="s">
        <v>1743</v>
      </c>
      <c r="C118" s="3522" t="s">
        <v>3507</v>
      </c>
      <c r="D118" s="3522" t="s">
        <v>3510</v>
      </c>
      <c r="E118" s="513"/>
      <c r="F118" s="513"/>
      <c r="G118" s="513"/>
      <c r="H118" s="513"/>
      <c r="I118" s="513"/>
      <c r="J118" s="513"/>
      <c r="K118" s="514"/>
      <c r="L118" s="515"/>
      <c r="M118" s="516"/>
      <c r="N118" s="875"/>
      <c r="O118" s="875"/>
      <c r="P118" s="1769"/>
      <c r="Q118" s="439"/>
    </row>
    <row r="119" spans="1:17" ht="15.75" thickBot="1">
      <c r="A119" s="367"/>
      <c r="B119" s="474"/>
      <c r="C119" s="475">
        <v>100</v>
      </c>
      <c r="D119" s="475">
        <f t="shared" ref="D119:M119" si="33">C119-$K40</f>
        <v>100</v>
      </c>
      <c r="E119" s="475">
        <f t="shared" si="33"/>
        <v>100</v>
      </c>
      <c r="F119" s="475">
        <f t="shared" si="33"/>
        <v>100</v>
      </c>
      <c r="G119" s="475">
        <f t="shared" si="33"/>
        <v>100</v>
      </c>
      <c r="H119" s="475">
        <f t="shared" si="33"/>
        <v>100</v>
      </c>
      <c r="I119" s="475">
        <f t="shared" si="33"/>
        <v>100</v>
      </c>
      <c r="J119" s="475">
        <f t="shared" si="33"/>
        <v>100</v>
      </c>
      <c r="K119" s="475">
        <f t="shared" si="33"/>
        <v>100</v>
      </c>
      <c r="L119" s="475">
        <f t="shared" si="33"/>
        <v>100</v>
      </c>
      <c r="M119" s="475">
        <f t="shared" si="33"/>
        <v>100</v>
      </c>
      <c r="N119" s="876"/>
      <c r="O119" s="876"/>
      <c r="P119" s="1769"/>
      <c r="Q119" s="439"/>
    </row>
    <row r="120" spans="1:17" s="408" customFormat="1" ht="28.5" thickTop="1">
      <c r="A120" s="406"/>
      <c r="B120" s="469" t="s">
        <v>1705</v>
      </c>
      <c r="C120" s="485"/>
      <c r="D120" s="485"/>
      <c r="E120" s="485"/>
      <c r="F120" s="485"/>
      <c r="G120" s="485"/>
      <c r="H120" s="485"/>
      <c r="I120" s="485"/>
      <c r="J120" s="485"/>
      <c r="K120" s="485"/>
      <c r="L120" s="510"/>
      <c r="M120" s="511"/>
      <c r="N120" s="877"/>
      <c r="O120" s="877"/>
      <c r="P120" s="1770"/>
      <c r="Q120" s="490"/>
    </row>
    <row r="121" spans="1:17" s="408" customFormat="1" ht="15.75" thickBot="1">
      <c r="A121" s="484"/>
      <c r="B121" s="466"/>
      <c r="C121" s="491"/>
      <c r="D121" s="467"/>
      <c r="E121" s="467"/>
      <c r="F121" s="467"/>
      <c r="G121" s="467"/>
      <c r="H121" s="467"/>
      <c r="I121" s="467"/>
      <c r="J121" s="467"/>
      <c r="K121" s="467"/>
      <c r="L121" s="467"/>
      <c r="M121" s="467"/>
      <c r="N121" s="877"/>
      <c r="O121" s="877"/>
      <c r="P121" s="1770"/>
      <c r="Q121" s="490"/>
    </row>
    <row r="122" spans="1:17" ht="15" thickTop="1">
      <c r="A122" s="409"/>
      <c r="B122" s="469" t="s">
        <v>1744</v>
      </c>
      <c r="C122" s="3518" t="s">
        <v>3508</v>
      </c>
      <c r="D122" s="3518" t="s">
        <v>3502</v>
      </c>
      <c r="E122" s="3518" t="s">
        <v>3509</v>
      </c>
      <c r="F122" s="513"/>
      <c r="G122" s="513"/>
      <c r="H122" s="513"/>
      <c r="I122" s="513"/>
      <c r="J122" s="513"/>
      <c r="K122" s="514"/>
      <c r="L122" s="515"/>
      <c r="M122" s="516"/>
      <c r="N122" s="875"/>
      <c r="O122" s="875"/>
      <c r="P122" s="1769"/>
      <c r="Q122" s="439"/>
    </row>
    <row r="123" spans="1:17" ht="15.75" thickBot="1">
      <c r="A123" s="367"/>
      <c r="B123" s="474"/>
      <c r="C123" s="475">
        <v>100</v>
      </c>
      <c r="D123" s="475">
        <f t="shared" ref="D123:M123" si="34">C123-$K42</f>
        <v>100</v>
      </c>
      <c r="E123" s="475">
        <f t="shared" si="34"/>
        <v>100</v>
      </c>
      <c r="F123" s="475">
        <f t="shared" si="34"/>
        <v>100</v>
      </c>
      <c r="G123" s="475">
        <f t="shared" si="34"/>
        <v>100</v>
      </c>
      <c r="H123" s="475">
        <f t="shared" si="34"/>
        <v>100</v>
      </c>
      <c r="I123" s="475">
        <f t="shared" si="34"/>
        <v>100</v>
      </c>
      <c r="J123" s="475">
        <f t="shared" si="34"/>
        <v>100</v>
      </c>
      <c r="K123" s="475">
        <f t="shared" si="34"/>
        <v>100</v>
      </c>
      <c r="L123" s="475">
        <f t="shared" si="34"/>
        <v>100</v>
      </c>
      <c r="M123" s="475">
        <f t="shared" si="34"/>
        <v>100</v>
      </c>
      <c r="N123" s="876"/>
      <c r="O123" s="876"/>
      <c r="P123" s="1769"/>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5"/>
      <c r="O124" s="875"/>
      <c r="P124" s="1770"/>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6"/>
      <c r="O125" s="876"/>
      <c r="P125" s="1769"/>
      <c r="Q125" s="439"/>
    </row>
    <row r="126" spans="1:17" s="408" customFormat="1" ht="15" thickTop="1">
      <c r="A126" s="406"/>
      <c r="B126" s="469">
        <f>B44</f>
        <v>111</v>
      </c>
      <c r="C126" s="485"/>
      <c r="D126" s="485"/>
      <c r="E126" s="485"/>
      <c r="F126" s="485"/>
      <c r="G126" s="485"/>
      <c r="H126" s="486"/>
      <c r="I126" s="486"/>
      <c r="J126" s="486"/>
      <c r="K126" s="486"/>
      <c r="L126" s="487"/>
      <c r="M126" s="488"/>
      <c r="N126" s="877"/>
      <c r="O126" s="877"/>
      <c r="P126" s="1770"/>
      <c r="Q126" s="490"/>
    </row>
    <row r="127" spans="1:17" s="408" customFormat="1" ht="15.75" thickBot="1">
      <c r="A127" s="484"/>
      <c r="B127" s="474"/>
      <c r="C127" s="491"/>
      <c r="D127" s="467"/>
      <c r="E127" s="467"/>
      <c r="F127" s="467"/>
      <c r="G127" s="491"/>
      <c r="H127" s="493"/>
      <c r="I127" s="493"/>
      <c r="J127" s="493"/>
      <c r="K127" s="493"/>
      <c r="L127" s="493"/>
      <c r="M127" s="494"/>
      <c r="N127" s="877"/>
      <c r="O127" s="877"/>
      <c r="P127" s="1770"/>
      <c r="Q127" s="490"/>
    </row>
    <row r="128" spans="1:17" ht="15" thickTop="1">
      <c r="A128" s="409"/>
      <c r="B128" s="469">
        <f>B45</f>
        <v>111</v>
      </c>
      <c r="C128" s="485"/>
      <c r="D128" s="485"/>
      <c r="E128" s="485"/>
      <c r="F128" s="485"/>
      <c r="G128" s="513"/>
      <c r="H128" s="513"/>
      <c r="I128" s="513"/>
      <c r="J128" s="513"/>
      <c r="K128" s="514"/>
      <c r="L128" s="515"/>
      <c r="M128" s="516"/>
      <c r="N128" s="875"/>
      <c r="O128" s="875"/>
      <c r="P128" s="1769"/>
      <c r="Q128" s="439"/>
    </row>
    <row r="129" spans="1:17" ht="15.75" thickBot="1">
      <c r="A129" s="367"/>
      <c r="B129" s="474"/>
      <c r="C129" s="491"/>
      <c r="D129" s="491"/>
      <c r="E129" s="491"/>
      <c r="F129" s="491"/>
      <c r="G129" s="467"/>
      <c r="H129" s="467"/>
      <c r="I129" s="467"/>
      <c r="J129" s="467"/>
      <c r="K129" s="467"/>
      <c r="L129" s="467"/>
      <c r="M129" s="468"/>
      <c r="N129" s="876"/>
      <c r="O129" s="876"/>
      <c r="P129" s="1769"/>
      <c r="Q129" s="439"/>
    </row>
    <row r="130" spans="1:17" ht="15" thickTop="1">
      <c r="A130" s="409"/>
      <c r="B130" s="477">
        <f>B46</f>
        <v>111</v>
      </c>
      <c r="C130" s="485"/>
      <c r="D130" s="485"/>
      <c r="E130" s="485"/>
      <c r="F130" s="485"/>
      <c r="G130" s="517"/>
      <c r="H130" s="517"/>
      <c r="I130" s="517"/>
      <c r="J130" s="517"/>
      <c r="K130" s="31"/>
      <c r="L130" s="457"/>
      <c r="M130" s="520"/>
      <c r="N130" s="875"/>
      <c r="O130" s="875"/>
      <c r="P130" s="1769"/>
      <c r="Q130" s="439"/>
    </row>
    <row r="131" spans="1:17" ht="15.75" thickBot="1">
      <c r="A131" s="375"/>
      <c r="B131" s="500"/>
      <c r="C131" s="501"/>
      <c r="D131" s="501"/>
      <c r="E131" s="501"/>
      <c r="F131" s="501"/>
      <c r="G131" s="521"/>
      <c r="H131" s="521"/>
      <c r="I131" s="521"/>
      <c r="J131" s="521"/>
      <c r="K131" s="521"/>
      <c r="L131" s="521"/>
      <c r="M131" s="522"/>
      <c r="N131" s="876"/>
      <c r="O131" s="876"/>
      <c r="P131" s="1769"/>
      <c r="Q131" s="439"/>
    </row>
    <row r="136" spans="1:17" ht="15" thickBot="1">
      <c r="B136" s="1775" t="s">
        <v>1746</v>
      </c>
    </row>
    <row r="137" spans="1:17" ht="15">
      <c r="B137" s="1776" t="s">
        <v>1747</v>
      </c>
      <c r="C137" s="1777"/>
      <c r="D137" s="1777"/>
      <c r="E137" s="1777"/>
      <c r="F137" s="1777"/>
      <c r="G137" s="1778"/>
      <c r="H137" s="1779"/>
      <c r="I137" s="1780" t="s">
        <v>1748</v>
      </c>
      <c r="J137" s="1777"/>
      <c r="K137" s="1781"/>
    </row>
    <row r="138" spans="1:17" ht="15">
      <c r="B138" s="1782"/>
      <c r="C138" s="129" t="s">
        <v>1749</v>
      </c>
      <c r="D138" s="129" t="s">
        <v>1750</v>
      </c>
      <c r="E138" s="1783" t="s">
        <v>1751</v>
      </c>
      <c r="F138" s="1784" t="s">
        <v>1752</v>
      </c>
      <c r="G138" s="129" t="s">
        <v>1750</v>
      </c>
      <c r="H138" s="130" t="s">
        <v>1751</v>
      </c>
      <c r="I138" s="1785"/>
      <c r="J138" s="129" t="s">
        <v>1753</v>
      </c>
      <c r="K138" s="130" t="s">
        <v>1754</v>
      </c>
    </row>
    <row r="139" spans="1:17" ht="15">
      <c r="B139" s="810">
        <v>6</v>
      </c>
      <c r="C139" s="811">
        <v>96</v>
      </c>
      <c r="D139" s="1786" t="s">
        <v>1755</v>
      </c>
      <c r="E139" s="812">
        <v>100</v>
      </c>
      <c r="F139" s="813">
        <v>102.5</v>
      </c>
      <c r="G139" s="1786" t="s">
        <v>1755</v>
      </c>
      <c r="H139" s="814">
        <v>105</v>
      </c>
      <c r="I139" s="1787" t="s">
        <v>1756</v>
      </c>
      <c r="J139" s="811">
        <v>20</v>
      </c>
      <c r="K139" s="815">
        <f>C145/(J139-2)</f>
        <v>4.0555555555555553E-3</v>
      </c>
    </row>
    <row r="140" spans="1:17" ht="15">
      <c r="B140" s="816">
        <v>5</v>
      </c>
      <c r="C140" s="817">
        <v>100</v>
      </c>
      <c r="D140" s="817"/>
      <c r="E140" s="818"/>
      <c r="F140" s="819">
        <v>102</v>
      </c>
      <c r="G140" s="817"/>
      <c r="H140" s="820"/>
      <c r="I140" s="1788" t="s">
        <v>1757</v>
      </c>
      <c r="J140" s="263">
        <f>ROUNDUP((J139-1)/2,0)</f>
        <v>10</v>
      </c>
      <c r="K140" s="821">
        <v>100</v>
      </c>
    </row>
    <row r="141" spans="1:17" ht="15">
      <c r="B141" s="816">
        <v>4</v>
      </c>
      <c r="C141" s="817">
        <v>102</v>
      </c>
      <c r="D141" s="817"/>
      <c r="E141" s="818"/>
      <c r="F141" s="819">
        <v>101.5</v>
      </c>
      <c r="G141" s="817"/>
      <c r="H141" s="820"/>
      <c r="I141" s="1788" t="s">
        <v>1758</v>
      </c>
      <c r="J141" s="263">
        <v>1</v>
      </c>
      <c r="K141" s="822">
        <f>ROUND(100+(J141-J140)*K139*100,1)</f>
        <v>96.4</v>
      </c>
    </row>
    <row r="142" spans="1:17" ht="15">
      <c r="B142" s="816">
        <v>3</v>
      </c>
      <c r="C142" s="817">
        <v>103</v>
      </c>
      <c r="D142" s="817"/>
      <c r="E142" s="818"/>
      <c r="F142" s="819">
        <v>101</v>
      </c>
      <c r="G142" s="817"/>
      <c r="H142" s="820"/>
      <c r="I142" s="1788" t="s">
        <v>1759</v>
      </c>
      <c r="J142" s="263">
        <f>J139</f>
        <v>20</v>
      </c>
      <c r="K142" s="823">
        <v>95</v>
      </c>
    </row>
    <row r="143" spans="1:17" ht="15">
      <c r="B143" s="816">
        <v>2</v>
      </c>
      <c r="C143" s="817">
        <v>100</v>
      </c>
      <c r="D143" s="817"/>
      <c r="E143" s="818"/>
      <c r="F143" s="819">
        <v>100.5</v>
      </c>
      <c r="G143" s="817"/>
      <c r="H143" s="820"/>
      <c r="I143" s="1788" t="s">
        <v>1760</v>
      </c>
      <c r="J143" s="817">
        <v>15</v>
      </c>
      <c r="K143" s="822">
        <f>ROUND(100+(J143-J140)*K139*100,1)</f>
        <v>102</v>
      </c>
    </row>
    <row r="144" spans="1:17" ht="15">
      <c r="B144" s="816">
        <v>1</v>
      </c>
      <c r="C144" s="817">
        <v>98</v>
      </c>
      <c r="D144" s="1789" t="s">
        <v>1761</v>
      </c>
      <c r="E144" s="818">
        <v>102</v>
      </c>
      <c r="F144" s="824">
        <v>100</v>
      </c>
      <c r="G144" s="1789" t="s">
        <v>1761</v>
      </c>
      <c r="H144" s="820">
        <v>105</v>
      </c>
      <c r="I144" s="1788" t="s">
        <v>1760</v>
      </c>
      <c r="J144" s="817">
        <v>18</v>
      </c>
      <c r="K144" s="822">
        <f>ROUND(100+(J144-J140)*K139*100,1)</f>
        <v>103.2</v>
      </c>
    </row>
    <row r="145" spans="2:11" ht="15.75" thickBot="1">
      <c r="B145" s="1790" t="s">
        <v>1762</v>
      </c>
      <c r="C145" s="825">
        <f>ROUND(MAX(C139:C144)/MIN(C139:C144)-1,3)</f>
        <v>7.2999999999999995E-2</v>
      </c>
      <c r="D145" s="826"/>
      <c r="E145" s="826"/>
      <c r="F145" s="1791" t="s">
        <v>1763</v>
      </c>
      <c r="G145" s="1792"/>
      <c r="H145" s="1793"/>
      <c r="I145" s="1794" t="s">
        <v>1760</v>
      </c>
      <c r="J145" s="827">
        <v>8</v>
      </c>
      <c r="K145" s="828">
        <f>ROUND(100+(J145-J140)*K139*100,1)</f>
        <v>99.2</v>
      </c>
    </row>
    <row r="147" spans="2:11">
      <c r="B147" s="1775" t="s">
        <v>1764</v>
      </c>
    </row>
    <row r="148" spans="2:11">
      <c r="B148" s="1775" t="s">
        <v>1765</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7" priority="14"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J52:J54">
    <cfRule type="containsText" dxfId="122" priority="15" stopIfTrue="1" operator="containsText" text="超过">
      <formula>NOT(ISERROR(SEARCH("超过",F52)))</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G54">
    <cfRule type="expression" dxfId="119" priority="12"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C32 E32 G32 I32" xr:uid="{00000000-0002-0000-1900-000006000000}">
      <formula1>住宅建筑类型</formula1>
    </dataValidation>
    <dataValidation type="list" allowBlank="1" showInputMessage="1" showErrorMessage="1" sqref="C34 E34 G34 I34" xr:uid="{00000000-0002-0000-1900-000007000000}">
      <formula1>住宅建筑结构</formula1>
    </dataValidation>
    <dataValidation type="list" allowBlank="1" showInputMessage="1" showErrorMessage="1" sqref="C35 E35 G35 I35" xr:uid="{00000000-0002-0000-1900-000008000000}">
      <formula1>住宅建筑品质</formula1>
    </dataValidation>
    <dataValidation type="list" allowBlank="1" showInputMessage="1" showErrorMessage="1" sqref="C36 E36 G36 I36" xr:uid="{00000000-0002-0000-1900-000009000000}">
      <formula1>住宅公共部分装修</formula1>
    </dataValidation>
    <dataValidation type="list" allowBlank="1" showInputMessage="1" showErrorMessage="1" sqref="C38 E38 G38 I38" xr:uid="{00000000-0002-0000-1900-00000A000000}">
      <formula1>住宅物业管理</formula1>
    </dataValidation>
    <dataValidation type="list" allowBlank="1" showInputMessage="1" showErrorMessage="1" sqref="C39 E39 G39 I39" xr:uid="{00000000-0002-0000-1900-00000B000000}">
      <formula1>住宅基础设施水平</formula1>
    </dataValidation>
    <dataValidation type="list" allowBlank="1" showInputMessage="1" showErrorMessage="1" sqref="C40 E40 G40 I40" xr:uid="{00000000-0002-0000-1900-00000C000000}">
      <formula1>住宅房型</formula1>
    </dataValidation>
    <dataValidation type="list" allowBlank="1" showInputMessage="1" showErrorMessage="1" sqref="C42 E42 G42 I42" xr:uid="{00000000-0002-0000-1900-00000D000000}">
      <formula1>住宅内部装修</formula1>
    </dataValidation>
    <dataValidation type="list" allowBlank="1" showInputMessage="1" showErrorMessage="1" sqref="C43 E43 G43 I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1660</v>
      </c>
      <c r="B1" s="1730" t="s">
        <v>1766</v>
      </c>
      <c r="C1" s="1151" t="s">
        <v>1662</v>
      </c>
      <c r="D1" s="1138"/>
      <c r="E1" s="3116"/>
      <c r="F1" s="1731"/>
      <c r="G1" s="1148" t="s">
        <v>1767</v>
      </c>
      <c r="H1" s="1147"/>
      <c r="I1" s="1147"/>
      <c r="J1" s="1147"/>
      <c r="K1" s="1149"/>
      <c r="L1" s="1150"/>
      <c r="M1" s="1151"/>
      <c r="N1" s="1151"/>
      <c r="O1" s="1151"/>
      <c r="P1" s="1795"/>
      <c r="Q1" s="1796"/>
      <c r="R1" s="1796"/>
      <c r="S1" s="1796"/>
      <c r="T1" s="1796"/>
      <c r="U1" s="1796"/>
      <c r="V1" s="1796"/>
      <c r="W1" s="1796"/>
      <c r="X1" s="1796"/>
      <c r="Y1" s="1796"/>
      <c r="Z1" s="1796"/>
      <c r="AA1" s="1796"/>
      <c r="AB1" s="1796"/>
      <c r="AC1" s="1797"/>
    </row>
    <row r="2" spans="1:29" s="342" customFormat="1" ht="28.5" customHeight="1" thickTop="1">
      <c r="A2" s="1134" t="s">
        <v>1462</v>
      </c>
      <c r="B2" s="1081" t="b">
        <f>IF(E1="项目模式",IF(C2="——",ROUND(C49*D3/10000,0),ROUND(C49*D3/10000,0)-D2),IF(E1="单套模式",IF(C2="——",ROUND(C49*D3/10000,4),ROUND(C49*D3/10000,4)-D2)))</f>
        <v>0</v>
      </c>
      <c r="C2" s="1733"/>
      <c r="D2" s="1048" t="e">
        <f ca="1">IF(E1="项目模式",SUMIF(INDIRECT("'"&amp;F2&amp;"'"&amp;"!A:A"),"承租人权益价值",INDIRECT("'"&amp;F2&amp;"'"&amp;"!c:c")),SUMIF(INDIRECT("'"&amp;F2&amp;"'"&amp;"!A:A"),"承租人权益价值（单套）",INDIRECT("'"&amp;F2&amp;"'"&amp;"!c:c")))</f>
        <v>#REF!</v>
      </c>
      <c r="E2" s="1734" t="s">
        <v>1463</v>
      </c>
      <c r="F2" s="1735"/>
      <c r="G2" s="851"/>
      <c r="H2" s="851"/>
      <c r="I2" s="851"/>
      <c r="J2" s="851"/>
      <c r="K2" s="851"/>
      <c r="L2" s="2496"/>
      <c r="M2" s="2497"/>
      <c r="N2" s="2497"/>
      <c r="O2" s="2497"/>
      <c r="P2" s="1798"/>
      <c r="Q2" s="855"/>
      <c r="R2" s="855"/>
      <c r="S2" s="855"/>
      <c r="T2" s="855"/>
      <c r="U2" s="855"/>
      <c r="V2" s="855"/>
      <c r="W2" s="855"/>
      <c r="X2" s="855"/>
      <c r="Y2" s="855"/>
      <c r="Z2" s="855"/>
      <c r="AA2" s="855"/>
      <c r="AB2" s="855"/>
      <c r="AC2" s="1799"/>
    </row>
    <row r="3" spans="1:29" s="342" customFormat="1" ht="28.5" customHeight="1" thickBot="1">
      <c r="A3" s="195" t="s">
        <v>1464</v>
      </c>
      <c r="B3" s="536">
        <f>IF(C2="——",C49,ROUND(B2*10000/D3,0))</f>
        <v>0</v>
      </c>
      <c r="C3" s="344" t="s">
        <v>1768</v>
      </c>
      <c r="D3" s="343">
        <f>IF(D1="",'数据-汇总表'!E3,SUMIF('数据-汇总表'!$C19:$C33,D1,'数据-汇总表'!$E19:$E33))</f>
        <v>154.79</v>
      </c>
      <c r="E3" s="1799"/>
      <c r="F3" s="852"/>
      <c r="G3" s="851"/>
      <c r="H3" s="851"/>
      <c r="I3" s="851"/>
      <c r="J3" s="851"/>
      <c r="K3" s="853"/>
      <c r="L3" s="2496"/>
      <c r="M3" s="2497"/>
      <c r="N3" s="2497"/>
      <c r="O3" s="2497"/>
      <c r="P3" s="1798"/>
      <c r="Q3" s="855"/>
      <c r="R3" s="855"/>
      <c r="S3" s="855"/>
      <c r="T3" s="855"/>
      <c r="U3" s="855"/>
      <c r="V3" s="855"/>
      <c r="W3" s="855"/>
      <c r="X3" s="855"/>
      <c r="Y3" s="855"/>
      <c r="Z3" s="855"/>
      <c r="AA3" s="855"/>
      <c r="AB3" s="855"/>
      <c r="AC3" s="1799"/>
    </row>
    <row r="4" spans="1:29" ht="15">
      <c r="A4" s="345" t="s">
        <v>1769</v>
      </c>
      <c r="B4" s="346"/>
      <c r="C4" s="3395" t="s">
        <v>1770</v>
      </c>
      <c r="D4" s="3396"/>
      <c r="E4" s="3397" t="s">
        <v>1771</v>
      </c>
      <c r="F4" s="3398"/>
      <c r="G4" s="3395" t="s">
        <v>1772</v>
      </c>
      <c r="H4" s="3396"/>
      <c r="I4" s="3395" t="s">
        <v>1773</v>
      </c>
      <c r="J4" s="3396"/>
      <c r="K4" s="537" t="s">
        <v>1774</v>
      </c>
      <c r="L4" s="2479"/>
      <c r="M4" s="2480"/>
      <c r="N4" s="2480"/>
      <c r="O4" s="2480"/>
      <c r="P4" s="3399" t="s">
        <v>1775</v>
      </c>
      <c r="Q4" s="3400"/>
      <c r="R4" s="3405" t="s">
        <v>1771</v>
      </c>
      <c r="S4" s="3406"/>
      <c r="T4" s="3405" t="s">
        <v>1772</v>
      </c>
      <c r="U4" s="3406"/>
      <c r="V4" s="3381" t="s">
        <v>1773</v>
      </c>
      <c r="W4" s="3381"/>
      <c r="X4" s="1261"/>
      <c r="Y4" s="3405" t="s">
        <v>1775</v>
      </c>
      <c r="Z4" s="3406"/>
      <c r="AA4" s="3392" t="s">
        <v>1771</v>
      </c>
      <c r="AB4" s="3381" t="s">
        <v>1772</v>
      </c>
      <c r="AC4" s="3392" t="s">
        <v>1773</v>
      </c>
    </row>
    <row r="5" spans="1:29" ht="15">
      <c r="A5" s="348"/>
      <c r="B5" s="349"/>
      <c r="C5" s="3413" t="s">
        <v>1673</v>
      </c>
      <c r="D5" s="3414"/>
      <c r="E5" s="3420" t="s">
        <v>1674</v>
      </c>
      <c r="F5" s="3421"/>
      <c r="G5" s="3413" t="s">
        <v>1675</v>
      </c>
      <c r="H5" s="3414"/>
      <c r="I5" s="3413" t="s">
        <v>1676</v>
      </c>
      <c r="J5" s="3414"/>
      <c r="K5" s="537"/>
      <c r="L5" s="2479"/>
      <c r="M5" s="2480"/>
      <c r="N5" s="2480"/>
      <c r="O5" s="2480"/>
      <c r="P5" s="3401"/>
      <c r="Q5" s="3402"/>
      <c r="R5" s="3407"/>
      <c r="S5" s="3408"/>
      <c r="T5" s="3407"/>
      <c r="U5" s="3408"/>
      <c r="V5" s="3381"/>
      <c r="W5" s="3381"/>
      <c r="X5" s="1261"/>
      <c r="Y5" s="3407"/>
      <c r="Z5" s="3408"/>
      <c r="AA5" s="3393"/>
      <c r="AB5" s="3381"/>
      <c r="AC5" s="3393"/>
    </row>
    <row r="6" spans="1:29" ht="15.75" thickBot="1">
      <c r="A6" s="350"/>
      <c r="B6" s="351"/>
      <c r="C6" s="3411" t="s">
        <v>1677</v>
      </c>
      <c r="D6" s="3412"/>
      <c r="E6" s="3418" t="s">
        <v>1677</v>
      </c>
      <c r="F6" s="3419"/>
      <c r="G6" s="3411" t="s">
        <v>1677</v>
      </c>
      <c r="H6" s="3412"/>
      <c r="I6" s="3411" t="s">
        <v>1677</v>
      </c>
      <c r="J6" s="3412"/>
      <c r="K6" s="537" t="s">
        <v>1678</v>
      </c>
      <c r="L6" s="2479"/>
      <c r="M6" s="2480"/>
      <c r="N6" s="2480"/>
      <c r="O6" s="2480"/>
      <c r="P6" s="3403"/>
      <c r="Q6" s="3404"/>
      <c r="R6" s="3407"/>
      <c r="S6" s="3408"/>
      <c r="T6" s="3409"/>
      <c r="U6" s="3410"/>
      <c r="V6" s="3381"/>
      <c r="W6" s="3381"/>
      <c r="X6" s="1261"/>
      <c r="Y6" s="3409"/>
      <c r="Z6" s="3410"/>
      <c r="AA6" s="3394"/>
      <c r="AB6" s="3381"/>
      <c r="AC6" s="3394"/>
    </row>
    <row r="7" spans="1:29" s="102" customFormat="1" ht="15.75" thickBot="1">
      <c r="A7" s="352" t="s">
        <v>1679</v>
      </c>
      <c r="B7" s="353"/>
      <c r="C7" s="354">
        <f>'数据-取费表'!B2</f>
        <v>45940</v>
      </c>
      <c r="D7" s="355">
        <v>100</v>
      </c>
      <c r="E7" s="356"/>
      <c r="F7" s="357">
        <f>SUMIF(58:58,YEAR(E7)&amp;"-"&amp;MONTH(E7),59:59)</f>
        <v>0</v>
      </c>
      <c r="G7" s="356"/>
      <c r="H7" s="355">
        <f>SUMIF(58:58,YEAR(G7)&amp;"-"&amp;MONTH(G7),59:59)</f>
        <v>0</v>
      </c>
      <c r="I7" s="356"/>
      <c r="J7" s="355">
        <f>SUMIF(58:58,YEAR(I7)&amp;"-"&amp;MONTH(I7),59:59)</f>
        <v>0</v>
      </c>
      <c r="K7" s="38"/>
      <c r="L7" s="2481"/>
      <c r="M7" s="2432"/>
      <c r="N7" s="2432"/>
      <c r="O7" s="2432"/>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1"/>
      <c r="M8" s="2432"/>
      <c r="N8" s="2432"/>
      <c r="O8" s="2432"/>
      <c r="P8" s="3415" t="s">
        <v>1683</v>
      </c>
      <c r="Q8" s="3416"/>
      <c r="R8" s="664" t="s">
        <v>14</v>
      </c>
      <c r="S8" s="665">
        <f t="shared" si="0"/>
        <v>100</v>
      </c>
      <c r="T8" s="664" t="s">
        <v>14</v>
      </c>
      <c r="U8" s="665">
        <f t="shared" si="1"/>
        <v>100</v>
      </c>
      <c r="V8" s="664" t="s">
        <v>14</v>
      </c>
      <c r="W8" s="665">
        <f t="shared" si="2"/>
        <v>100</v>
      </c>
      <c r="X8" s="666"/>
      <c r="Y8" s="3415" t="s">
        <v>1683</v>
      </c>
      <c r="Z8" s="341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1"/>
      <c r="M9" s="2432"/>
      <c r="N9" s="2432"/>
      <c r="O9" s="2432"/>
      <c r="P9" s="339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23"/>
      <c r="D10" s="119">
        <v>100</v>
      </c>
      <c r="E10" s="3124"/>
      <c r="F10" s="364">
        <f>SUMIF(65:65,E10,66:66)-SUMIF(65:65,C10,66:66)+100</f>
        <v>100</v>
      </c>
      <c r="G10" s="3123"/>
      <c r="H10" s="119">
        <f>SUMIF(65:65,G10,66:66)-SUMIF(65:65,C10,66:66)+100</f>
        <v>100</v>
      </c>
      <c r="I10" s="3123"/>
      <c r="J10" s="119">
        <f>SUMIF(65:65,I10,66:66)-SUMIF(65:65,C10,66:66)+100</f>
        <v>100</v>
      </c>
      <c r="K10" s="38"/>
      <c r="L10" s="2482"/>
      <c r="M10" s="2483"/>
      <c r="N10" s="2483"/>
      <c r="O10" s="2483"/>
      <c r="P10" s="339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4"/>
      <c r="M11" s="2480"/>
      <c r="N11" s="2480"/>
      <c r="O11" s="2480"/>
      <c r="P11" s="3391"/>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1"/>
      <c r="M12" s="2432"/>
      <c r="N12" s="2432"/>
      <c r="O12" s="2432"/>
      <c r="P12" s="3391"/>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5"/>
      <c r="M13" s="2480"/>
      <c r="N13" s="2480"/>
      <c r="O13" s="2480"/>
      <c r="P13" s="3391"/>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5"/>
      <c r="M14" s="2480"/>
      <c r="N14" s="2480"/>
      <c r="O14" s="2480"/>
      <c r="P14" s="3391"/>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99.75">
      <c r="A15" s="379" t="s">
        <v>1690</v>
      </c>
      <c r="B15" s="58" t="s">
        <v>1777</v>
      </c>
      <c r="C15" s="1746" t="str">
        <f>估价对象房地状况!C4</f>
        <v>估价对象位于北京城市副中心商务中心区，周边商业氛围较成熟，人流量较大，商业繁华度较好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85"/>
      <c r="M15" s="2480"/>
      <c r="N15" s="2480"/>
      <c r="O15" s="2480"/>
      <c r="P15" s="3389" t="s">
        <v>1691</v>
      </c>
      <c r="Q15" s="1259" t="str">
        <f t="shared" si="6"/>
        <v>商业繁华度</v>
      </c>
      <c r="R15" s="667" t="s">
        <v>14</v>
      </c>
      <c r="S15" s="668">
        <f t="shared" si="0"/>
        <v>100</v>
      </c>
      <c r="T15" s="667" t="s">
        <v>14</v>
      </c>
      <c r="U15" s="668">
        <f t="shared" si="1"/>
        <v>100</v>
      </c>
      <c r="V15" s="667" t="s">
        <v>14</v>
      </c>
      <c r="W15" s="668">
        <f t="shared" si="2"/>
        <v>100</v>
      </c>
      <c r="X15" s="1261"/>
      <c r="Y15" s="3382" t="s">
        <v>1691</v>
      </c>
      <c r="Z15" s="1260" t="str">
        <f t="shared" si="7"/>
        <v>商业繁华度</v>
      </c>
      <c r="AA15" s="1260">
        <f t="shared" si="3"/>
        <v>1</v>
      </c>
      <c r="AB15" s="1260">
        <f t="shared" si="4"/>
        <v>1</v>
      </c>
      <c r="AC15" s="1260">
        <f t="shared" si="5"/>
        <v>1</v>
      </c>
    </row>
    <row r="16" spans="1:29" ht="15">
      <c r="A16" s="367"/>
      <c r="B16" s="385"/>
      <c r="C16" s="386"/>
      <c r="D16" s="387"/>
      <c r="E16" s="386"/>
      <c r="F16" s="388"/>
      <c r="G16" s="386"/>
      <c r="H16" s="389"/>
      <c r="I16" s="386"/>
      <c r="J16" s="387"/>
      <c r="K16" s="541"/>
      <c r="L16" s="2485"/>
      <c r="M16" s="2480"/>
      <c r="N16" s="2480"/>
      <c r="O16" s="2480"/>
      <c r="P16" s="3390"/>
      <c r="Q16" s="1259"/>
      <c r="R16" s="667"/>
      <c r="S16" s="668"/>
      <c r="T16" s="667"/>
      <c r="U16" s="668"/>
      <c r="V16" s="667"/>
      <c r="W16" s="668"/>
      <c r="X16" s="1261"/>
      <c r="Y16" s="3383"/>
      <c r="Z16" s="1260"/>
      <c r="AA16" s="1260">
        <v>1</v>
      </c>
      <c r="AB16" s="1260">
        <v>1</v>
      </c>
      <c r="AC16" s="1260">
        <v>1</v>
      </c>
    </row>
    <row r="17" spans="1:29" ht="99.75">
      <c r="A17" s="367"/>
      <c r="B17" s="390" t="s">
        <v>1259</v>
      </c>
      <c r="C17" s="1750" t="str">
        <f>估价对象房地状况!C6</f>
        <v>估价对象周边有196路、B38路、Y25路等多条公交线路，综合评价交通便捷度一般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85"/>
      <c r="M17" s="2480"/>
      <c r="N17" s="2480"/>
      <c r="O17" s="2480"/>
      <c r="P17" s="3390"/>
      <c r="Q17" s="1259" t="str">
        <f>B17</f>
        <v>交通便捷度</v>
      </c>
      <c r="R17" s="667" t="s">
        <v>14</v>
      </c>
      <c r="S17" s="668">
        <f>F17</f>
        <v>100</v>
      </c>
      <c r="T17" s="667" t="s">
        <v>14</v>
      </c>
      <c r="U17" s="668">
        <f>H17</f>
        <v>100</v>
      </c>
      <c r="V17" s="667" t="s">
        <v>14</v>
      </c>
      <c r="W17" s="668">
        <f>J17</f>
        <v>100</v>
      </c>
      <c r="X17" s="1261"/>
      <c r="Y17" s="3383"/>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2485"/>
      <c r="M18" s="2480"/>
      <c r="N18" s="2480"/>
      <c r="O18" s="2480"/>
      <c r="P18" s="3390"/>
      <c r="Q18" s="1259"/>
      <c r="R18" s="667"/>
      <c r="S18" s="668"/>
      <c r="T18" s="667"/>
      <c r="U18" s="668"/>
      <c r="V18" s="667"/>
      <c r="W18" s="668"/>
      <c r="X18" s="1261"/>
      <c r="Y18" s="3383"/>
      <c r="Z18" s="1260"/>
      <c r="AA18" s="1260">
        <v>1</v>
      </c>
      <c r="AB18" s="1260">
        <v>1</v>
      </c>
      <c r="AC18" s="1260">
        <v>1</v>
      </c>
    </row>
    <row r="19" spans="1:29" ht="370.5">
      <c r="A19" s="367"/>
      <c r="B19" s="390" t="s">
        <v>1778</v>
      </c>
      <c r="C19" s="1750" t="str">
        <f>估价对象房地状况!C7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19" s="394">
        <v>100</v>
      </c>
      <c r="E19" s="396"/>
      <c r="F19" s="397">
        <f>SUMIF(80:80,E20,81:81)-SUMIF(80:80,C20,81:81)+100</f>
        <v>100</v>
      </c>
      <c r="G19" s="398"/>
      <c r="H19" s="389">
        <f>SUMIF(80:80,G20,81:81)-SUMIF(80:80,C20,81:81)+100</f>
        <v>100</v>
      </c>
      <c r="I19" s="396"/>
      <c r="J19" s="389">
        <f>SUMIF(80:80,I20,81:81)-SUMIF(80:80,C20,81:81)+100</f>
        <v>100</v>
      </c>
      <c r="K19" s="540"/>
      <c r="L19" s="2485"/>
      <c r="M19" s="2480"/>
      <c r="N19" s="2480"/>
      <c r="O19" s="2480"/>
      <c r="P19" s="3390"/>
      <c r="Q19" s="1259" t="str">
        <f>B19</f>
        <v>公共配套设施</v>
      </c>
      <c r="R19" s="667" t="s">
        <v>14</v>
      </c>
      <c r="S19" s="668">
        <f>F19</f>
        <v>100</v>
      </c>
      <c r="T19" s="667" t="s">
        <v>14</v>
      </c>
      <c r="U19" s="668">
        <f>H19</f>
        <v>100</v>
      </c>
      <c r="V19" s="667" t="s">
        <v>14</v>
      </c>
      <c r="W19" s="668">
        <f>J19</f>
        <v>100</v>
      </c>
      <c r="X19" s="1261"/>
      <c r="Y19" s="3383"/>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2485"/>
      <c r="M20" s="2480"/>
      <c r="N20" s="2480"/>
      <c r="O20" s="2480"/>
      <c r="P20" s="3390"/>
      <c r="Q20" s="1259"/>
      <c r="R20" s="667"/>
      <c r="S20" s="668"/>
      <c r="T20" s="667"/>
      <c r="U20" s="668"/>
      <c r="V20" s="667"/>
      <c r="W20" s="668"/>
      <c r="X20" s="1261"/>
      <c r="Y20" s="3383"/>
      <c r="Z20" s="1260"/>
      <c r="AA20" s="1260">
        <v>1</v>
      </c>
      <c r="AB20" s="1260">
        <v>1</v>
      </c>
      <c r="AC20" s="1260">
        <v>1</v>
      </c>
    </row>
    <row r="21" spans="1:29" ht="28.5">
      <c r="A21" s="367"/>
      <c r="B21" s="586" t="s">
        <v>1779</v>
      </c>
      <c r="C21" s="1750"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5"/>
      <c r="M21" s="2480"/>
      <c r="N21" s="2480"/>
      <c r="O21" s="2480"/>
      <c r="P21" s="3390"/>
      <c r="Q21" s="1259" t="str">
        <f>B21</f>
        <v>基础设施水平</v>
      </c>
      <c r="R21" s="667" t="s">
        <v>14</v>
      </c>
      <c r="S21" s="668">
        <f>F21</f>
        <v>100</v>
      </c>
      <c r="T21" s="667" t="s">
        <v>14</v>
      </c>
      <c r="U21" s="668">
        <f>H21</f>
        <v>100</v>
      </c>
      <c r="V21" s="667" t="s">
        <v>14</v>
      </c>
      <c r="W21" s="668">
        <f>J21</f>
        <v>100</v>
      </c>
      <c r="X21" s="1261"/>
      <c r="Y21" s="3383"/>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0"/>
      <c r="L22" s="2485"/>
      <c r="M22" s="2480"/>
      <c r="N22" s="2480"/>
      <c r="O22" s="2480"/>
      <c r="P22" s="3390"/>
      <c r="Q22" s="1259"/>
      <c r="R22" s="667"/>
      <c r="S22" s="668"/>
      <c r="T22" s="667"/>
      <c r="U22" s="668"/>
      <c r="V22" s="667"/>
      <c r="W22" s="668"/>
      <c r="X22" s="1261"/>
      <c r="Y22" s="3383"/>
      <c r="Z22" s="1260"/>
      <c r="AA22" s="1260">
        <v>1</v>
      </c>
      <c r="AB22" s="1260">
        <v>1</v>
      </c>
      <c r="AC22" s="1260">
        <v>1</v>
      </c>
    </row>
    <row r="23" spans="1:29" ht="114">
      <c r="A23" s="367"/>
      <c r="B23" s="390" t="s">
        <v>1261</v>
      </c>
      <c r="C23" s="1800" t="str">
        <f>估价对象房地状况!C9</f>
        <v>估价对象周边有河南省体育场馆中心、郑州海洋馆等人文景观，东风渠水系等自然景观，综合评价环境状况较好。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85"/>
      <c r="M23" s="2480"/>
      <c r="N23" s="2480"/>
      <c r="O23" s="2480"/>
      <c r="P23" s="3390"/>
      <c r="Q23" s="1259" t="str">
        <f>B23</f>
        <v>自然及人文环境</v>
      </c>
      <c r="R23" s="667" t="s">
        <v>14</v>
      </c>
      <c r="S23" s="668">
        <f>F23</f>
        <v>100</v>
      </c>
      <c r="T23" s="667" t="s">
        <v>14</v>
      </c>
      <c r="U23" s="668">
        <f>H23</f>
        <v>100</v>
      </c>
      <c r="V23" s="667" t="s">
        <v>14</v>
      </c>
      <c r="W23" s="668">
        <f>J23</f>
        <v>100</v>
      </c>
      <c r="X23" s="1261"/>
      <c r="Y23" s="3383"/>
      <c r="Z23" s="1260" t="str">
        <f>Q23</f>
        <v>自然及人文环境</v>
      </c>
      <c r="AA23" s="1260">
        <f t="shared" si="3"/>
        <v>1</v>
      </c>
      <c r="AB23" s="1260">
        <f t="shared" si="4"/>
        <v>1</v>
      </c>
      <c r="AC23" s="1260">
        <f t="shared" si="5"/>
        <v>1</v>
      </c>
    </row>
    <row r="24" spans="1:29" ht="15">
      <c r="A24" s="367"/>
      <c r="B24" s="395"/>
      <c r="C24" s="386"/>
      <c r="D24" s="387"/>
      <c r="E24" s="1748"/>
      <c r="F24" s="388"/>
      <c r="G24" s="1747"/>
      <c r="H24" s="387"/>
      <c r="I24" s="1748"/>
      <c r="J24" s="387"/>
      <c r="K24" s="541"/>
      <c r="L24" s="2485"/>
      <c r="M24" s="2480"/>
      <c r="N24" s="2480"/>
      <c r="O24" s="2480"/>
      <c r="P24" s="3390"/>
      <c r="Q24" s="1259"/>
      <c r="R24" s="667"/>
      <c r="S24" s="668"/>
      <c r="T24" s="667"/>
      <c r="U24" s="668"/>
      <c r="V24" s="667"/>
      <c r="W24" s="668"/>
      <c r="X24" s="1261"/>
      <c r="Y24" s="3383"/>
      <c r="Z24" s="1260"/>
      <c r="AA24" s="1260">
        <v>1</v>
      </c>
      <c r="AB24" s="1260">
        <v>1</v>
      </c>
      <c r="AC24" s="1260">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5"/>
      <c r="M25" s="2480"/>
      <c r="N25" s="2480"/>
      <c r="O25" s="2480"/>
      <c r="P25" s="3390"/>
      <c r="Q25" s="1259" t="str">
        <f t="shared" ref="Q25:Q46" si="11">B25</f>
        <v>临街状况</v>
      </c>
      <c r="R25" s="667" t="s">
        <v>14</v>
      </c>
      <c r="S25" s="668">
        <f>F25</f>
        <v>100</v>
      </c>
      <c r="T25" s="667" t="s">
        <v>14</v>
      </c>
      <c r="U25" s="668">
        <f>H25</f>
        <v>100</v>
      </c>
      <c r="V25" s="667" t="s">
        <v>14</v>
      </c>
      <c r="W25" s="668">
        <f>J25</f>
        <v>100</v>
      </c>
      <c r="X25" s="1261"/>
      <c r="Y25" s="3383"/>
      <c r="Z25" s="1260" t="str">
        <f>Q25</f>
        <v>临街状况</v>
      </c>
      <c r="AA25" s="1260">
        <f t="shared" si="3"/>
        <v>1</v>
      </c>
      <c r="AB25" s="1260">
        <f t="shared" si="4"/>
        <v>1</v>
      </c>
      <c r="AC25" s="1260">
        <f t="shared" si="5"/>
        <v>1</v>
      </c>
    </row>
    <row r="26" spans="1:29" ht="15">
      <c r="A26" s="367"/>
      <c r="B26" s="1062" t="s">
        <v>1781</v>
      </c>
      <c r="C26" s="373"/>
      <c r="D26" s="374">
        <v>100</v>
      </c>
      <c r="E26" s="373"/>
      <c r="F26" s="400">
        <f>SUMIF(88:88,E26,89:89)-SUMIF(88:88,C26,89:89)+100</f>
        <v>100</v>
      </c>
      <c r="G26" s="373"/>
      <c r="H26" s="374">
        <f>SUMIF(88:88,G26,89:89)-SUMIF(88:88,C26,89:89)+100</f>
        <v>100</v>
      </c>
      <c r="I26" s="373"/>
      <c r="J26" s="374">
        <f>SUMIF(88:88,I26,89:89)-SUMIF(88:88,C26,89:89)+100</f>
        <v>100</v>
      </c>
      <c r="K26" s="539"/>
      <c r="L26" s="2485"/>
      <c r="M26" s="2480"/>
      <c r="N26" s="2480"/>
      <c r="O26" s="2480"/>
      <c r="P26" s="3390"/>
      <c r="Q26" s="1259" t="str">
        <f t="shared" si="11"/>
        <v>平面位置/可视性</v>
      </c>
      <c r="R26" s="667" t="s">
        <v>14</v>
      </c>
      <c r="S26" s="668">
        <f>F26</f>
        <v>100</v>
      </c>
      <c r="T26" s="667" t="s">
        <v>14</v>
      </c>
      <c r="U26" s="668">
        <f>H26</f>
        <v>100</v>
      </c>
      <c r="V26" s="667" t="s">
        <v>14</v>
      </c>
      <c r="W26" s="668">
        <f>J26</f>
        <v>100</v>
      </c>
      <c r="X26" s="1261"/>
      <c r="Y26" s="3383"/>
      <c r="Z26" s="1260" t="str">
        <f>Q26</f>
        <v>平面位置/可视性</v>
      </c>
      <c r="AA26" s="1260">
        <f t="shared" si="3"/>
        <v>1</v>
      </c>
      <c r="AB26" s="1260">
        <f t="shared" si="4"/>
        <v>1</v>
      </c>
      <c r="AC26" s="1260">
        <f t="shared" si="5"/>
        <v>1</v>
      </c>
    </row>
    <row r="27" spans="1:29" s="102" customFormat="1" ht="15">
      <c r="A27" s="370"/>
      <c r="B27" s="390" t="s">
        <v>1782</v>
      </c>
      <c r="C27" s="1801"/>
      <c r="D27" s="401">
        <v>100</v>
      </c>
      <c r="E27" s="1801"/>
      <c r="F27" s="395">
        <f>SUMIF(90:90,E27,91:91)-SUMIF(90:90,C27,91:91)+100</f>
        <v>100</v>
      </c>
      <c r="G27" s="1801"/>
      <c r="H27" s="401">
        <f>SUMIF(90:90,G27,91:91)-SUMIF(90:90,C27,91:91)+100</f>
        <v>100</v>
      </c>
      <c r="I27" s="1801"/>
      <c r="J27" s="401">
        <f>SUMIF(90:90,I27,91:91)-SUMIF(90:90,C27,91:91)+100</f>
        <v>100</v>
      </c>
      <c r="K27" s="538"/>
      <c r="L27" s="2481"/>
      <c r="M27" s="2432"/>
      <c r="N27" s="2432"/>
      <c r="O27" s="2432"/>
      <c r="P27" s="3390"/>
      <c r="Q27" s="530" t="str">
        <f t="shared" si="11"/>
        <v>人流量</v>
      </c>
      <c r="R27" s="664" t="s">
        <v>14</v>
      </c>
      <c r="S27" s="665">
        <f>F27</f>
        <v>100</v>
      </c>
      <c r="T27" s="664" t="s">
        <v>14</v>
      </c>
      <c r="U27" s="665">
        <f>H27</f>
        <v>100</v>
      </c>
      <c r="V27" s="664" t="s">
        <v>14</v>
      </c>
      <c r="W27" s="665">
        <f>J27</f>
        <v>100</v>
      </c>
      <c r="X27" s="666"/>
      <c r="Y27" s="3383"/>
      <c r="Z27" s="50" t="str">
        <f>Q27</f>
        <v>人流量</v>
      </c>
      <c r="AA27" s="1260">
        <f>D27/F27</f>
        <v>1</v>
      </c>
      <c r="AB27" s="1260">
        <f>D27/H27</f>
        <v>1</v>
      </c>
      <c r="AC27" s="1260">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5"/>
      <c r="M28" s="2480"/>
      <c r="N28" s="2480"/>
      <c r="O28" s="2480"/>
      <c r="P28" s="3390"/>
      <c r="Q28" s="1259" t="str">
        <f t="shared" si="11"/>
        <v>楼层</v>
      </c>
      <c r="R28" s="667" t="s">
        <v>14</v>
      </c>
      <c r="S28" s="668">
        <f t="shared" ref="S28:S46" si="12">F28</f>
        <v>100</v>
      </c>
      <c r="T28" s="667" t="s">
        <v>14</v>
      </c>
      <c r="U28" s="668">
        <f t="shared" ref="U28:U46" si="13">H28</f>
        <v>100</v>
      </c>
      <c r="V28" s="667" t="s">
        <v>14</v>
      </c>
      <c r="W28" s="668">
        <f t="shared" ref="W28:W46" si="14">J28</f>
        <v>100</v>
      </c>
      <c r="X28" s="1261"/>
      <c r="Y28" s="3383"/>
      <c r="Z28" s="1260" t="str">
        <f t="shared" ref="Z28:Z46" si="15">Q28</f>
        <v>楼层</v>
      </c>
      <c r="AA28" s="1260">
        <f t="shared" si="3"/>
        <v>1</v>
      </c>
      <c r="AB28" s="1260">
        <f t="shared" si="4"/>
        <v>1</v>
      </c>
      <c r="AC28" s="1260">
        <f t="shared" si="5"/>
        <v>1</v>
      </c>
    </row>
    <row r="29" spans="1:29" ht="15">
      <c r="A29" s="367"/>
      <c r="B29" s="1062">
        <v>111</v>
      </c>
      <c r="C29" s="373"/>
      <c r="D29" s="374">
        <v>100</v>
      </c>
      <c r="E29" s="373"/>
      <c r="F29" s="400">
        <f>SUMIF(94:94,E29,95:95)-SUMIF(94:94,C29,95:95)+100</f>
        <v>100</v>
      </c>
      <c r="G29" s="373"/>
      <c r="H29" s="374">
        <f>SUMIF(94:94,G29,95:95)-SUMIF(94:94,C29,95:95)+100</f>
        <v>100</v>
      </c>
      <c r="I29" s="373"/>
      <c r="J29" s="374">
        <f>SUMIF(94:94,I29,95:95)-SUMIF(94:94,C29,95:95)+100</f>
        <v>100</v>
      </c>
      <c r="K29" s="539"/>
      <c r="L29" s="2485"/>
      <c r="M29" s="2480"/>
      <c r="N29" s="2480"/>
      <c r="O29" s="2480"/>
      <c r="P29" s="3390"/>
      <c r="Q29" s="1259">
        <f t="shared" si="11"/>
        <v>111</v>
      </c>
      <c r="R29" s="667" t="s">
        <v>14</v>
      </c>
      <c r="S29" s="668">
        <f t="shared" si="12"/>
        <v>100</v>
      </c>
      <c r="T29" s="667" t="s">
        <v>14</v>
      </c>
      <c r="U29" s="668">
        <f t="shared" si="13"/>
        <v>100</v>
      </c>
      <c r="V29" s="667" t="s">
        <v>14</v>
      </c>
      <c r="W29" s="668">
        <f t="shared" si="14"/>
        <v>100</v>
      </c>
      <c r="X29" s="1261"/>
      <c r="Y29" s="3383"/>
      <c r="Z29" s="1260">
        <f t="shared" si="15"/>
        <v>111</v>
      </c>
      <c r="AA29" s="1260">
        <f t="shared" si="3"/>
        <v>1</v>
      </c>
      <c r="AB29" s="1260">
        <f t="shared" si="4"/>
        <v>1</v>
      </c>
      <c r="AC29" s="1260">
        <f t="shared" si="5"/>
        <v>1</v>
      </c>
    </row>
    <row r="30" spans="1:29" ht="15">
      <c r="A30" s="367"/>
      <c r="B30" s="1062">
        <v>111</v>
      </c>
      <c r="C30" s="373"/>
      <c r="D30" s="374">
        <v>100</v>
      </c>
      <c r="E30" s="373"/>
      <c r="F30" s="400">
        <f>SUMIF(96:96,E30,97:97)-SUMIF(96:96,C30,97:97)+100</f>
        <v>100</v>
      </c>
      <c r="G30" s="373"/>
      <c r="H30" s="374">
        <f>SUMIF(96:96,G30,97:97)-SUMIF(96:96,C30,97:97)+100</f>
        <v>100</v>
      </c>
      <c r="I30" s="373"/>
      <c r="J30" s="374">
        <f>SUMIF(96:96,I30,97:97)-SUMIF(96:96,C30,97:97)+100</f>
        <v>100</v>
      </c>
      <c r="K30" s="539"/>
      <c r="L30" s="2485"/>
      <c r="M30" s="2480"/>
      <c r="N30" s="2480"/>
      <c r="O30" s="2480"/>
      <c r="P30" s="3390"/>
      <c r="Q30" s="1259">
        <f t="shared" si="11"/>
        <v>111</v>
      </c>
      <c r="R30" s="667" t="s">
        <v>14</v>
      </c>
      <c r="S30" s="668">
        <f t="shared" si="12"/>
        <v>100</v>
      </c>
      <c r="T30" s="667" t="s">
        <v>14</v>
      </c>
      <c r="U30" s="668">
        <f t="shared" si="13"/>
        <v>100</v>
      </c>
      <c r="V30" s="667" t="s">
        <v>14</v>
      </c>
      <c r="W30" s="668">
        <f t="shared" si="14"/>
        <v>100</v>
      </c>
      <c r="X30" s="1261"/>
      <c r="Y30" s="3383"/>
      <c r="Z30" s="1260">
        <f t="shared" si="15"/>
        <v>111</v>
      </c>
      <c r="AA30" s="1260">
        <f t="shared" si="3"/>
        <v>1</v>
      </c>
      <c r="AB30" s="1260">
        <f t="shared" si="4"/>
        <v>1</v>
      </c>
      <c r="AC30" s="1260">
        <f t="shared" si="5"/>
        <v>1</v>
      </c>
    </row>
    <row r="31" spans="1:29" ht="15.75" thickBot="1">
      <c r="A31" s="375"/>
      <c r="B31" s="1062">
        <v>111</v>
      </c>
      <c r="C31" s="376"/>
      <c r="D31" s="377">
        <v>100</v>
      </c>
      <c r="E31" s="373"/>
      <c r="F31" s="378">
        <f>SUMIF(98:98,E31,99:99)-SUMIF(98:98,C31,99:99)+100</f>
        <v>100</v>
      </c>
      <c r="G31" s="373"/>
      <c r="H31" s="377">
        <f>SUMIF(98:98,G31,99:99)-SUMIF(98:98,C31,99:99)+100</f>
        <v>100</v>
      </c>
      <c r="I31" s="373"/>
      <c r="J31" s="377">
        <f>SUMIF(98:98,I31,99:99)-SUMIF(98:98,C31,99:99)+100</f>
        <v>100</v>
      </c>
      <c r="K31" s="539"/>
      <c r="L31" s="2485"/>
      <c r="M31" s="2480"/>
      <c r="N31" s="2480"/>
      <c r="O31" s="2480"/>
      <c r="P31" s="3390"/>
      <c r="Q31" s="1259">
        <f t="shared" si="11"/>
        <v>111</v>
      </c>
      <c r="R31" s="667" t="s">
        <v>14</v>
      </c>
      <c r="S31" s="668">
        <f t="shared" si="12"/>
        <v>100</v>
      </c>
      <c r="T31" s="667" t="s">
        <v>14</v>
      </c>
      <c r="U31" s="668">
        <f t="shared" si="13"/>
        <v>100</v>
      </c>
      <c r="V31" s="667" t="s">
        <v>14</v>
      </c>
      <c r="W31" s="668">
        <f t="shared" si="14"/>
        <v>100</v>
      </c>
      <c r="X31" s="1261"/>
      <c r="Y31" s="3383"/>
      <c r="Z31" s="1260">
        <f t="shared" si="15"/>
        <v>111</v>
      </c>
      <c r="AA31" s="1260">
        <f t="shared" si="3"/>
        <v>1</v>
      </c>
      <c r="AB31" s="1260">
        <f t="shared" si="4"/>
        <v>1</v>
      </c>
      <c r="AC31" s="1260">
        <f t="shared" si="5"/>
        <v>1</v>
      </c>
    </row>
    <row r="32" spans="1:29" ht="15">
      <c r="A32" s="379" t="s">
        <v>1694</v>
      </c>
      <c r="B32" s="60" t="s">
        <v>1784</v>
      </c>
      <c r="C32" s="1760"/>
      <c r="D32" s="405">
        <v>100</v>
      </c>
      <c r="E32" s="1760"/>
      <c r="F32" s="400">
        <f>SUMIF(100:100,E32,101:101)-SUMIF(100:100,C32,101:101)+100</f>
        <v>100</v>
      </c>
      <c r="G32" s="1760"/>
      <c r="H32" s="374">
        <f>SUMIF(100:100,G32,101:101)-SUMIF(100:100,C32,101:101)+100</f>
        <v>100</v>
      </c>
      <c r="I32" s="1760"/>
      <c r="J32" s="405">
        <f>SUMIF(100:100,I32,101:101)-SUMIF(100:100,C32,101:101)+100</f>
        <v>100</v>
      </c>
      <c r="K32" s="538"/>
      <c r="L32" s="2485"/>
      <c r="M32" s="2480"/>
      <c r="N32" s="2480"/>
      <c r="O32" s="2480"/>
      <c r="P32" s="3384" t="s">
        <v>1696</v>
      </c>
      <c r="Q32" s="1259" t="str">
        <f t="shared" si="11"/>
        <v>商业类型</v>
      </c>
      <c r="R32" s="667" t="s">
        <v>14</v>
      </c>
      <c r="S32" s="668">
        <f t="shared" si="12"/>
        <v>100</v>
      </c>
      <c r="T32" s="667" t="s">
        <v>14</v>
      </c>
      <c r="U32" s="668">
        <f t="shared" si="13"/>
        <v>100</v>
      </c>
      <c r="V32" s="667" t="s">
        <v>14</v>
      </c>
      <c r="W32" s="668">
        <f t="shared" si="14"/>
        <v>100</v>
      </c>
      <c r="X32" s="1261"/>
      <c r="Y32" s="3387" t="s">
        <v>1696</v>
      </c>
      <c r="Z32" s="1260" t="str">
        <f t="shared" si="15"/>
        <v>商业类型</v>
      </c>
      <c r="AA32" s="1260">
        <f t="shared" si="3"/>
        <v>1</v>
      </c>
      <c r="AB32" s="1260">
        <f t="shared" si="4"/>
        <v>1</v>
      </c>
      <c r="AC32" s="1260">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4"/>
      <c r="M33" s="2486"/>
      <c r="N33" s="2486"/>
      <c r="O33" s="2486"/>
      <c r="P33" s="3385"/>
      <c r="Q33" s="531" t="str">
        <f t="shared" si="11"/>
        <v>项目建筑规模</v>
      </c>
      <c r="R33" s="669" t="s">
        <v>14</v>
      </c>
      <c r="S33" s="670" t="e">
        <f t="shared" si="12"/>
        <v>#N/A</v>
      </c>
      <c r="T33" s="669" t="s">
        <v>14</v>
      </c>
      <c r="U33" s="670" t="e">
        <f t="shared" si="13"/>
        <v>#N/A</v>
      </c>
      <c r="V33" s="669" t="s">
        <v>14</v>
      </c>
      <c r="W33" s="670" t="e">
        <f t="shared" si="14"/>
        <v>#N/A</v>
      </c>
      <c r="X33" s="671"/>
      <c r="Y33" s="3387"/>
      <c r="Z33" s="672" t="str">
        <f t="shared" si="15"/>
        <v>项目建筑规模</v>
      </c>
      <c r="AA33" s="1260" t="e">
        <f t="shared" si="3"/>
        <v>#N/A</v>
      </c>
      <c r="AB33" s="1260" t="e">
        <f t="shared" si="4"/>
        <v>#N/A</v>
      </c>
      <c r="AC33" s="1260"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5"/>
      <c r="M34" s="2480"/>
      <c r="N34" s="2480"/>
      <c r="O34" s="2480"/>
      <c r="P34" s="3385"/>
      <c r="Q34" s="1259" t="str">
        <f t="shared" si="11"/>
        <v>建筑结构</v>
      </c>
      <c r="R34" s="667" t="s">
        <v>14</v>
      </c>
      <c r="S34" s="668">
        <f t="shared" si="12"/>
        <v>100</v>
      </c>
      <c r="T34" s="667" t="s">
        <v>14</v>
      </c>
      <c r="U34" s="668">
        <f t="shared" si="13"/>
        <v>100</v>
      </c>
      <c r="V34" s="667" t="s">
        <v>14</v>
      </c>
      <c r="W34" s="668">
        <f t="shared" si="14"/>
        <v>100</v>
      </c>
      <c r="X34" s="1261"/>
      <c r="Y34" s="3387"/>
      <c r="Z34" s="1260" t="str">
        <f t="shared" si="15"/>
        <v>建筑结构</v>
      </c>
      <c r="AA34" s="1260">
        <f t="shared" si="3"/>
        <v>1</v>
      </c>
      <c r="AB34" s="1260">
        <f t="shared" si="4"/>
        <v>1</v>
      </c>
      <c r="AC34" s="1260">
        <f t="shared" si="5"/>
        <v>1</v>
      </c>
    </row>
    <row r="35" spans="1:29" ht="15">
      <c r="A35" s="409"/>
      <c r="B35" s="364" t="s">
        <v>1785</v>
      </c>
      <c r="C35" s="1756"/>
      <c r="D35" s="374">
        <v>100</v>
      </c>
      <c r="E35" s="1756"/>
      <c r="F35" s="400">
        <f>SUMIF(107:107,E35,108:108)-SUMIF(107:107,C35,108:108)+100</f>
        <v>100</v>
      </c>
      <c r="G35" s="1756"/>
      <c r="H35" s="374">
        <f>SUMIF(107:107,G35,108:108)-SUMIF(107:107,C35,108:108)+100</f>
        <v>100</v>
      </c>
      <c r="I35" s="1756"/>
      <c r="J35" s="374">
        <f>SUMIF(107:107,I35,108:108)-SUMIF(107:107,C35,108:108)+100</f>
        <v>100</v>
      </c>
      <c r="K35" s="538"/>
      <c r="L35" s="2485"/>
      <c r="M35" s="2480"/>
      <c r="N35" s="2480"/>
      <c r="O35" s="2480"/>
      <c r="P35" s="3385"/>
      <c r="Q35" s="1259" t="str">
        <f t="shared" si="11"/>
        <v>公共部分装修</v>
      </c>
      <c r="R35" s="667" t="s">
        <v>14</v>
      </c>
      <c r="S35" s="668">
        <f t="shared" si="12"/>
        <v>100</v>
      </c>
      <c r="T35" s="667" t="s">
        <v>14</v>
      </c>
      <c r="U35" s="668">
        <f t="shared" si="13"/>
        <v>100</v>
      </c>
      <c r="V35" s="667" t="s">
        <v>14</v>
      </c>
      <c r="W35" s="668">
        <f t="shared" si="14"/>
        <v>100</v>
      </c>
      <c r="X35" s="1261"/>
      <c r="Y35" s="3387"/>
      <c r="Z35" s="1260" t="str">
        <f t="shared" si="15"/>
        <v>公共部分装修</v>
      </c>
      <c r="AA35" s="1260">
        <f t="shared" si="3"/>
        <v>1</v>
      </c>
      <c r="AB35" s="1260">
        <f t="shared" si="4"/>
        <v>1</v>
      </c>
      <c r="AC35" s="1260">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5"/>
      <c r="M36" s="2480"/>
      <c r="N36" s="2480"/>
      <c r="O36" s="2480"/>
      <c r="P36" s="3385"/>
      <c r="Q36" s="1259" t="str">
        <f t="shared" si="11"/>
        <v>成新度</v>
      </c>
      <c r="R36" s="667" t="s">
        <v>14</v>
      </c>
      <c r="S36" s="668" t="e">
        <f t="shared" si="12"/>
        <v>#N/A</v>
      </c>
      <c r="T36" s="667" t="s">
        <v>14</v>
      </c>
      <c r="U36" s="668" t="e">
        <f t="shared" si="13"/>
        <v>#N/A</v>
      </c>
      <c r="V36" s="667" t="s">
        <v>14</v>
      </c>
      <c r="W36" s="668" t="e">
        <f t="shared" si="14"/>
        <v>#N/A</v>
      </c>
      <c r="X36" s="1261"/>
      <c r="Y36" s="3387"/>
      <c r="Z36" s="1260" t="str">
        <f t="shared" si="15"/>
        <v>成新度</v>
      </c>
      <c r="AA36" s="1260" t="e">
        <f t="shared" si="3"/>
        <v>#N/A</v>
      </c>
      <c r="AB36" s="1260" t="e">
        <f t="shared" si="4"/>
        <v>#N/A</v>
      </c>
      <c r="AC36" s="1260" t="e">
        <f t="shared" si="5"/>
        <v>#N/A</v>
      </c>
    </row>
    <row r="37" spans="1:29" s="102" customFormat="1" ht="15">
      <c r="A37" s="410"/>
      <c r="B37" s="364" t="s">
        <v>1787</v>
      </c>
      <c r="C37" s="1756"/>
      <c r="D37" s="119">
        <v>100</v>
      </c>
      <c r="E37" s="1756"/>
      <c r="F37" s="400">
        <f>SUMIF(112:112,E37,113:113)-SUMIF(112:112,C37,113:113)+100</f>
        <v>100</v>
      </c>
      <c r="G37" s="1756"/>
      <c r="H37" s="374">
        <f>SUMIF(112:112,G37,113:113)-SUMIF(112:112,C37,113:113)+100</f>
        <v>100</v>
      </c>
      <c r="I37" s="1756"/>
      <c r="J37" s="374">
        <f>SUMIF(112:112,I37,113:113)-SUMIF(112:112,C37,113:113)+100</f>
        <v>100</v>
      </c>
      <c r="K37" s="538"/>
      <c r="L37" s="2481"/>
      <c r="M37" s="2432"/>
      <c r="N37" s="2432"/>
      <c r="O37" s="2432"/>
      <c r="P37" s="3385"/>
      <c r="Q37" s="530" t="str">
        <f t="shared" si="11"/>
        <v>市政基础设施</v>
      </c>
      <c r="R37" s="664" t="s">
        <v>14</v>
      </c>
      <c r="S37" s="665">
        <f t="shared" si="12"/>
        <v>100</v>
      </c>
      <c r="T37" s="664" t="s">
        <v>14</v>
      </c>
      <c r="U37" s="665">
        <f t="shared" si="13"/>
        <v>100</v>
      </c>
      <c r="V37" s="664" t="s">
        <v>14</v>
      </c>
      <c r="W37" s="665">
        <f t="shared" si="14"/>
        <v>100</v>
      </c>
      <c r="X37" s="666"/>
      <c r="Y37" s="3387"/>
      <c r="Z37" s="50" t="str">
        <f t="shared" si="15"/>
        <v>市政基础设施</v>
      </c>
      <c r="AA37" s="50">
        <f t="shared" si="3"/>
        <v>1</v>
      </c>
      <c r="AB37" s="50">
        <f t="shared" si="4"/>
        <v>1</v>
      </c>
      <c r="AC37" s="50">
        <f t="shared" si="5"/>
        <v>1</v>
      </c>
    </row>
    <row r="38" spans="1:29" ht="15">
      <c r="A38" s="409"/>
      <c r="B38" s="364" t="s">
        <v>1788</v>
      </c>
      <c r="C38" s="1756"/>
      <c r="D38" s="374">
        <v>100</v>
      </c>
      <c r="E38" s="1756"/>
      <c r="F38" s="400">
        <f>SUMIF(114:114,E38,115:115)-SUMIF(114:114,C38,115:115)+100</f>
        <v>100</v>
      </c>
      <c r="G38" s="1756"/>
      <c r="H38" s="374">
        <f>SUMIF(114:114,G38,115:115)-SUMIF(114:114,C38,115:115)+100</f>
        <v>100</v>
      </c>
      <c r="I38" s="1756"/>
      <c r="J38" s="374">
        <f>SUMIF(114:114,I38,115:115)-SUMIF(114:114,C38,115:115)+100</f>
        <v>100</v>
      </c>
      <c r="K38" s="538"/>
      <c r="L38" s="2485"/>
      <c r="M38" s="2480"/>
      <c r="N38" s="2480"/>
      <c r="O38" s="2480"/>
      <c r="P38" s="3385" t="s">
        <v>1696</v>
      </c>
      <c r="Q38" s="1259" t="str">
        <f t="shared" si="11"/>
        <v>业态</v>
      </c>
      <c r="R38" s="667" t="s">
        <v>14</v>
      </c>
      <c r="S38" s="668">
        <f t="shared" si="12"/>
        <v>100</v>
      </c>
      <c r="T38" s="667" t="s">
        <v>14</v>
      </c>
      <c r="U38" s="668">
        <f t="shared" si="13"/>
        <v>100</v>
      </c>
      <c r="V38" s="667" t="s">
        <v>14</v>
      </c>
      <c r="W38" s="668">
        <f t="shared" si="14"/>
        <v>100</v>
      </c>
      <c r="X38" s="1261"/>
      <c r="Y38" s="3387" t="s">
        <v>1696</v>
      </c>
      <c r="Z38" s="1260" t="str">
        <f t="shared" si="15"/>
        <v>业态</v>
      </c>
      <c r="AA38" s="1260">
        <f t="shared" si="3"/>
        <v>1</v>
      </c>
      <c r="AB38" s="1260">
        <f t="shared" si="4"/>
        <v>1</v>
      </c>
      <c r="AC38" s="1260">
        <f t="shared" si="5"/>
        <v>1</v>
      </c>
    </row>
    <row r="39" spans="1:29" ht="15">
      <c r="A39" s="409"/>
      <c r="B39" s="364" t="s">
        <v>1789</v>
      </c>
      <c r="C39" s="1756"/>
      <c r="D39" s="374">
        <v>100</v>
      </c>
      <c r="E39" s="1756"/>
      <c r="F39" s="400">
        <f>SUMIF(116:116,E39,117:117)-SUMIF(116:116,C39,117:117)+100</f>
        <v>100</v>
      </c>
      <c r="G39" s="1756"/>
      <c r="H39" s="374">
        <f>SUMIF(116:116,G39,117:117)-SUMIF(116:116,C39,117:117)+100</f>
        <v>100</v>
      </c>
      <c r="I39" s="1756"/>
      <c r="J39" s="374">
        <f>SUMIF(116:116,I39,117:117)-SUMIF(116:116,C39,117:117)+100</f>
        <v>100</v>
      </c>
      <c r="K39" s="538"/>
      <c r="L39" s="2485"/>
      <c r="M39" s="2480"/>
      <c r="N39" s="2480"/>
      <c r="O39" s="2480"/>
      <c r="P39" s="3385"/>
      <c r="Q39" s="1259" t="str">
        <f t="shared" si="11"/>
        <v>层高</v>
      </c>
      <c r="R39" s="667" t="s">
        <v>14</v>
      </c>
      <c r="S39" s="668">
        <f t="shared" si="12"/>
        <v>100</v>
      </c>
      <c r="T39" s="667" t="s">
        <v>14</v>
      </c>
      <c r="U39" s="668">
        <f t="shared" si="13"/>
        <v>100</v>
      </c>
      <c r="V39" s="667" t="s">
        <v>14</v>
      </c>
      <c r="W39" s="668">
        <f t="shared" si="14"/>
        <v>100</v>
      </c>
      <c r="X39" s="1261"/>
      <c r="Y39" s="3387"/>
      <c r="Z39" s="1260" t="str">
        <f t="shared" si="15"/>
        <v>层高</v>
      </c>
      <c r="AA39" s="1260">
        <f t="shared" si="3"/>
        <v>1</v>
      </c>
      <c r="AB39" s="1260">
        <f t="shared" si="4"/>
        <v>1</v>
      </c>
      <c r="AC39" s="1260">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5"/>
      <c r="M40" s="2480"/>
      <c r="N40" s="2480"/>
      <c r="O40" s="2480"/>
      <c r="P40" s="3385"/>
      <c r="Q40" s="1259" t="str">
        <f t="shared" si="11"/>
        <v>单套建筑面积</v>
      </c>
      <c r="R40" s="667" t="s">
        <v>14</v>
      </c>
      <c r="S40" s="668">
        <f t="shared" si="12"/>
        <v>100</v>
      </c>
      <c r="T40" s="667" t="s">
        <v>14</v>
      </c>
      <c r="U40" s="668">
        <f t="shared" si="13"/>
        <v>100</v>
      </c>
      <c r="V40" s="667" t="s">
        <v>14</v>
      </c>
      <c r="W40" s="668">
        <f t="shared" si="14"/>
        <v>100</v>
      </c>
      <c r="X40" s="1261"/>
      <c r="Y40" s="3387"/>
      <c r="Z40" s="1260" t="str">
        <f t="shared" si="15"/>
        <v>单套建筑面积</v>
      </c>
      <c r="AA40" s="1260">
        <f t="shared" si="3"/>
        <v>1</v>
      </c>
      <c r="AB40" s="1260">
        <f t="shared" si="4"/>
        <v>1</v>
      </c>
      <c r="AC40" s="1260">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4"/>
      <c r="M41" s="2486"/>
      <c r="N41" s="2486"/>
      <c r="O41" s="2486"/>
      <c r="P41" s="3385"/>
      <c r="Q41" s="531" t="str">
        <f t="shared" si="11"/>
        <v>进深比</v>
      </c>
      <c r="R41" s="669" t="s">
        <v>14</v>
      </c>
      <c r="S41" s="670">
        <f t="shared" si="12"/>
        <v>100</v>
      </c>
      <c r="T41" s="669" t="s">
        <v>14</v>
      </c>
      <c r="U41" s="670">
        <f t="shared" si="13"/>
        <v>100</v>
      </c>
      <c r="V41" s="669" t="s">
        <v>14</v>
      </c>
      <c r="W41" s="670">
        <f t="shared" si="14"/>
        <v>100</v>
      </c>
      <c r="X41" s="671"/>
      <c r="Y41" s="3387"/>
      <c r="Z41" s="672" t="str">
        <f t="shared" si="15"/>
        <v>进深比</v>
      </c>
      <c r="AA41" s="1260">
        <f t="shared" si="3"/>
        <v>1</v>
      </c>
      <c r="AB41" s="1260">
        <f t="shared" si="4"/>
        <v>1</v>
      </c>
      <c r="AC41" s="1260">
        <f t="shared" si="5"/>
        <v>1</v>
      </c>
    </row>
    <row r="42" spans="1:29" ht="15">
      <c r="A42" s="409"/>
      <c r="B42" s="364" t="s">
        <v>1792</v>
      </c>
      <c r="C42" s="1756"/>
      <c r="D42" s="374">
        <v>100</v>
      </c>
      <c r="E42" s="1756"/>
      <c r="F42" s="400">
        <f>SUMIF(122:122,E42,123:123)-SUMIF(122:122,C42,123:123)+100</f>
        <v>100</v>
      </c>
      <c r="G42" s="1756"/>
      <c r="H42" s="374">
        <f>SUMIF(122:122,G42,123:123)-SUMIF(122:122,C42,123:123)+100</f>
        <v>100</v>
      </c>
      <c r="I42" s="1756"/>
      <c r="J42" s="374">
        <f>SUMIF(122:122,I42,123:123)-SUMIF(122:122,C42,123:123)+100</f>
        <v>100</v>
      </c>
      <c r="K42" s="538"/>
      <c r="L42" s="2485"/>
      <c r="M42" s="2480"/>
      <c r="N42" s="2480"/>
      <c r="O42" s="2480"/>
      <c r="P42" s="3385"/>
      <c r="Q42" s="1259" t="str">
        <f t="shared" si="11"/>
        <v>内部装修</v>
      </c>
      <c r="R42" s="667" t="s">
        <v>14</v>
      </c>
      <c r="S42" s="668">
        <f t="shared" si="12"/>
        <v>100</v>
      </c>
      <c r="T42" s="667" t="s">
        <v>14</v>
      </c>
      <c r="U42" s="668">
        <f t="shared" si="13"/>
        <v>100</v>
      </c>
      <c r="V42" s="667" t="s">
        <v>14</v>
      </c>
      <c r="W42" s="668">
        <f t="shared" si="14"/>
        <v>100</v>
      </c>
      <c r="X42" s="1261"/>
      <c r="Y42" s="3387"/>
      <c r="Z42" s="1260" t="str">
        <f t="shared" si="15"/>
        <v>内部装修</v>
      </c>
      <c r="AA42" s="1260">
        <f t="shared" si="3"/>
        <v>1</v>
      </c>
      <c r="AB42" s="1260">
        <f t="shared" si="4"/>
        <v>1</v>
      </c>
      <c r="AC42" s="1260">
        <f t="shared" si="5"/>
        <v>1</v>
      </c>
    </row>
    <row r="43" spans="1:29" ht="15">
      <c r="A43" s="409"/>
      <c r="B43" s="364" t="s">
        <v>1707</v>
      </c>
      <c r="C43" s="1756"/>
      <c r="D43" s="374">
        <v>100</v>
      </c>
      <c r="E43" s="1756"/>
      <c r="F43" s="400">
        <f>SUMIF(124:124,E43,125:125)-SUMIF(124:124,C43,125:125)+100</f>
        <v>100</v>
      </c>
      <c r="G43" s="1756"/>
      <c r="H43" s="374">
        <f>SUMIF(124:124,G43,125:125)-SUMIF(124:124,C43,125:125)+100</f>
        <v>100</v>
      </c>
      <c r="I43" s="1756"/>
      <c r="J43" s="374">
        <f>SUMIF(124:124,I43,125:125)-SUMIF(124:124,C43,125:125)+100</f>
        <v>100</v>
      </c>
      <c r="K43" s="538"/>
      <c r="L43" s="2485"/>
      <c r="M43" s="2480"/>
      <c r="N43" s="2480"/>
      <c r="O43" s="2480"/>
      <c r="P43" s="3385"/>
      <c r="Q43" s="1259" t="str">
        <f t="shared" si="11"/>
        <v>内部装修维护情况</v>
      </c>
      <c r="R43" s="667" t="s">
        <v>14</v>
      </c>
      <c r="S43" s="668">
        <f t="shared" si="12"/>
        <v>100</v>
      </c>
      <c r="T43" s="667" t="s">
        <v>14</v>
      </c>
      <c r="U43" s="668">
        <f t="shared" si="13"/>
        <v>100</v>
      </c>
      <c r="V43" s="667" t="s">
        <v>14</v>
      </c>
      <c r="W43" s="668">
        <f t="shared" si="14"/>
        <v>100</v>
      </c>
      <c r="X43" s="1261"/>
      <c r="Y43" s="3387"/>
      <c r="Z43" s="1260" t="str">
        <f t="shared" si="15"/>
        <v>内部装修维护情况</v>
      </c>
      <c r="AA43" s="1260">
        <f t="shared" si="3"/>
        <v>1</v>
      </c>
      <c r="AB43" s="1260">
        <f t="shared" si="4"/>
        <v>1</v>
      </c>
      <c r="AC43" s="1260">
        <f t="shared" si="5"/>
        <v>1</v>
      </c>
    </row>
    <row r="44" spans="1:29" s="102" customFormat="1" ht="15">
      <c r="A44" s="410"/>
      <c r="B44" s="1062">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1"/>
      <c r="M44" s="2432"/>
      <c r="N44" s="2432"/>
      <c r="O44" s="2432"/>
      <c r="P44" s="3385"/>
      <c r="Q44" s="530">
        <f t="shared" si="11"/>
        <v>111</v>
      </c>
      <c r="R44" s="664" t="s">
        <v>14</v>
      </c>
      <c r="S44" s="665">
        <f t="shared" si="12"/>
        <v>100</v>
      </c>
      <c r="T44" s="664" t="s">
        <v>14</v>
      </c>
      <c r="U44" s="665">
        <f t="shared" si="13"/>
        <v>100</v>
      </c>
      <c r="V44" s="664" t="s">
        <v>14</v>
      </c>
      <c r="W44" s="665">
        <f t="shared" si="14"/>
        <v>100</v>
      </c>
      <c r="X44" s="666"/>
      <c r="Y44" s="3387"/>
      <c r="Z44" s="50">
        <f t="shared" si="15"/>
        <v>111</v>
      </c>
      <c r="AA44" s="50">
        <f t="shared" si="3"/>
        <v>1</v>
      </c>
      <c r="AB44" s="50">
        <f t="shared" si="4"/>
        <v>1</v>
      </c>
      <c r="AC44" s="50">
        <f t="shared" si="5"/>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5"/>
      <c r="M45" s="2480"/>
      <c r="N45" s="2480"/>
      <c r="O45" s="2480"/>
      <c r="P45" s="3385"/>
      <c r="Q45" s="1259">
        <f t="shared" si="11"/>
        <v>111</v>
      </c>
      <c r="R45" s="667" t="s">
        <v>14</v>
      </c>
      <c r="S45" s="668">
        <f t="shared" si="12"/>
        <v>100</v>
      </c>
      <c r="T45" s="667" t="s">
        <v>14</v>
      </c>
      <c r="U45" s="668">
        <f t="shared" si="13"/>
        <v>100</v>
      </c>
      <c r="V45" s="667" t="s">
        <v>14</v>
      </c>
      <c r="W45" s="668">
        <f t="shared" si="14"/>
        <v>100</v>
      </c>
      <c r="X45" s="1261"/>
      <c r="Y45" s="3387"/>
      <c r="Z45" s="1260">
        <f t="shared" si="15"/>
        <v>111</v>
      </c>
      <c r="AA45" s="1260">
        <f t="shared" si="3"/>
        <v>1</v>
      </c>
      <c r="AB45" s="1260">
        <f t="shared" si="4"/>
        <v>1</v>
      </c>
      <c r="AC45" s="1260">
        <f t="shared" si="5"/>
        <v>1</v>
      </c>
    </row>
    <row r="46" spans="1:29" ht="15.75"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5"/>
      <c r="M46" s="2480"/>
      <c r="N46" s="2480"/>
      <c r="O46" s="2480"/>
      <c r="P46" s="3386"/>
      <c r="Q46" s="1259">
        <f t="shared" si="11"/>
        <v>111</v>
      </c>
      <c r="R46" s="667" t="s">
        <v>14</v>
      </c>
      <c r="S46" s="668">
        <f t="shared" si="12"/>
        <v>100</v>
      </c>
      <c r="T46" s="667" t="s">
        <v>14</v>
      </c>
      <c r="U46" s="668">
        <f t="shared" si="13"/>
        <v>100</v>
      </c>
      <c r="V46" s="667" t="s">
        <v>14</v>
      </c>
      <c r="W46" s="668">
        <f t="shared" si="14"/>
        <v>100</v>
      </c>
      <c r="X46" s="1261"/>
      <c r="Y46" s="3388"/>
      <c r="Z46" s="1260">
        <f t="shared" si="15"/>
        <v>111</v>
      </c>
      <c r="AA46" s="1260">
        <f t="shared" si="3"/>
        <v>1</v>
      </c>
      <c r="AB46" s="1260">
        <f t="shared" si="4"/>
        <v>1</v>
      </c>
      <c r="AC46" s="1260">
        <f t="shared" si="5"/>
        <v>1</v>
      </c>
    </row>
    <row r="47" spans="1:29" ht="15">
      <c r="A47" s="416" t="s">
        <v>1708</v>
      </c>
      <c r="B47" s="417"/>
      <c r="C47" s="1077" t="s">
        <v>0</v>
      </c>
      <c r="D47" s="418"/>
      <c r="E47" s="419"/>
      <c r="F47" s="420"/>
      <c r="G47" s="421"/>
      <c r="H47" s="422"/>
      <c r="I47" s="419"/>
      <c r="J47" s="422"/>
      <c r="K47" s="674"/>
      <c r="L47" s="2487"/>
      <c r="M47" s="2480"/>
      <c r="N47" s="2480"/>
      <c r="O47" s="2480"/>
      <c r="P47" s="3380" t="str">
        <f>A47</f>
        <v>成交单价（元/平方米）</v>
      </c>
      <c r="Q47" s="3380"/>
      <c r="R47" s="3381">
        <f>E47</f>
        <v>0</v>
      </c>
      <c r="S47" s="3381"/>
      <c r="T47" s="3381">
        <f>G47</f>
        <v>0</v>
      </c>
      <c r="U47" s="3381"/>
      <c r="V47" s="3381">
        <f>I47</f>
        <v>0</v>
      </c>
      <c r="W47" s="3381"/>
      <c r="X47" s="385"/>
      <c r="Y47" s="673"/>
      <c r="Z47" s="385"/>
      <c r="AA47" s="385"/>
      <c r="AB47" s="385"/>
      <c r="AC47" s="385"/>
    </row>
    <row r="48" spans="1:29" ht="15.75" thickBot="1">
      <c r="A48" s="423" t="s">
        <v>1793</v>
      </c>
      <c r="B48" s="424"/>
      <c r="C48" s="1078" t="e">
        <f>R49</f>
        <v>#DIV/0!</v>
      </c>
      <c r="D48" s="2135" t="s">
        <v>2138</v>
      </c>
      <c r="E48" s="1079" t="e">
        <f>R48</f>
        <v>#DIV/0!</v>
      </c>
      <c r="F48" s="2136"/>
      <c r="G48" s="1078" t="e">
        <f>T48</f>
        <v>#DIV/0!</v>
      </c>
      <c r="H48" s="2136"/>
      <c r="I48" s="1079" t="e">
        <f>V48</f>
        <v>#DIV/0!</v>
      </c>
      <c r="J48" s="2136"/>
      <c r="K48" s="2138">
        <f>F48+H48+J48</f>
        <v>0</v>
      </c>
      <c r="L48" s="2487"/>
      <c r="M48" s="2480"/>
      <c r="N48" s="2480"/>
      <c r="O48" s="2480"/>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87"/>
      <c r="M49" s="2480"/>
      <c r="N49" s="2480"/>
      <c r="O49" s="2480"/>
      <c r="P49" s="3377" t="str">
        <f>A49</f>
        <v>估价对象XX用房的比较价值（楼面单价，元/平方米）</v>
      </c>
      <c r="Q49" s="3378"/>
      <c r="R49" s="3379" t="e">
        <f>IF(F1="售价",ROUND(IF(D48="简单平均",AVERAGE(R48:V48),R48*F48+T48*H48+V48*J48),0),ROUND(IF(D48="简单平均",AVERAGE(R48:V48),R48*F48+T48*H48+V48*J48),1))</f>
        <v>#DIV/0!</v>
      </c>
      <c r="S49" s="3379"/>
      <c r="T49" s="3379"/>
      <c r="U49" s="3379"/>
      <c r="V49" s="3379"/>
      <c r="W49" s="3379"/>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7" customFormat="1" ht="13.5" customHeight="1">
      <c r="A54" s="2490"/>
      <c r="B54" s="2490"/>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7"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8" t="s">
        <v>1798</v>
      </c>
      <c r="B57" s="385"/>
      <c r="C57" s="659"/>
      <c r="D57" s="659"/>
      <c r="E57" s="659"/>
      <c r="F57" s="660"/>
      <c r="G57" s="660"/>
      <c r="H57" s="659"/>
      <c r="I57" s="659"/>
      <c r="J57" s="659"/>
      <c r="K57" s="661"/>
      <c r="L57" s="884"/>
      <c r="M57" s="882"/>
      <c r="N57" s="882"/>
      <c r="O57" s="882"/>
      <c r="P57" s="2500"/>
      <c r="Q57" s="2501"/>
      <c r="R57" s="2480"/>
      <c r="S57" s="2480"/>
      <c r="T57" s="2480"/>
      <c r="U57" s="2480"/>
      <c r="V57" s="2480"/>
      <c r="W57" s="2480"/>
      <c r="X57" s="2480"/>
      <c r="Y57" s="2480"/>
      <c r="Z57" s="2480"/>
      <c r="AA57" s="2480"/>
      <c r="AB57" s="2480"/>
      <c r="AC57" s="2480"/>
    </row>
    <row r="58" spans="1:29" s="442" customFormat="1" ht="15">
      <c r="A58" s="440" t="s">
        <v>1679</v>
      </c>
      <c r="B58" s="441"/>
      <c r="C58" s="1099" t="str">
        <f>YEAR(C7)&amp;"-"&amp;MONTH(C7)</f>
        <v>2025-10</v>
      </c>
      <c r="D58" s="1100">
        <f>EDATE(C58,-1)</f>
        <v>45901</v>
      </c>
      <c r="E58" s="1100">
        <f t="shared" ref="E58:N58" si="16">EDATE(D58,-1)</f>
        <v>45870</v>
      </c>
      <c r="F58" s="1100">
        <f t="shared" si="16"/>
        <v>45839</v>
      </c>
      <c r="G58" s="1100">
        <f t="shared" si="16"/>
        <v>45809</v>
      </c>
      <c r="H58" s="1100">
        <f t="shared" si="16"/>
        <v>45778</v>
      </c>
      <c r="I58" s="1100">
        <f t="shared" si="16"/>
        <v>45748</v>
      </c>
      <c r="J58" s="1100">
        <f t="shared" si="16"/>
        <v>45717</v>
      </c>
      <c r="K58" s="1100">
        <f t="shared" si="16"/>
        <v>45689</v>
      </c>
      <c r="L58" s="1100">
        <f t="shared" si="16"/>
        <v>45658</v>
      </c>
      <c r="M58" s="1100">
        <f t="shared" si="16"/>
        <v>45627</v>
      </c>
      <c r="N58" s="1100">
        <f t="shared" si="16"/>
        <v>45597</v>
      </c>
      <c r="O58" s="1100">
        <f>EDATE(N58,-1)</f>
        <v>45566</v>
      </c>
      <c r="P58" s="2502"/>
      <c r="Q58" s="2503"/>
      <c r="R58" s="2503"/>
      <c r="S58" s="2503"/>
      <c r="T58" s="2503"/>
      <c r="U58" s="2503"/>
      <c r="V58" s="2503"/>
      <c r="W58" s="2503"/>
      <c r="X58" s="2503"/>
      <c r="Y58" s="2503"/>
      <c r="Z58" s="2503"/>
      <c r="AA58" s="2503"/>
      <c r="AB58" s="2503"/>
      <c r="AC58" s="2503"/>
    </row>
    <row r="59" spans="1:29" s="102" customFormat="1" ht="15">
      <c r="A59" s="443"/>
      <c r="B59" s="444"/>
      <c r="C59" s="1098">
        <v>100</v>
      </c>
      <c r="D59" s="446"/>
      <c r="E59" s="446"/>
      <c r="F59" s="446"/>
      <c r="G59" s="446"/>
      <c r="H59" s="446"/>
      <c r="I59" s="446"/>
      <c r="J59" s="446"/>
      <c r="K59" s="446"/>
      <c r="L59" s="446"/>
      <c r="M59" s="447"/>
      <c r="N59" s="446"/>
      <c r="O59" s="447"/>
      <c r="P59" s="2504"/>
      <c r="Q59" s="2432"/>
      <c r="R59" s="2432"/>
      <c r="S59" s="2432"/>
      <c r="T59" s="2432"/>
      <c r="U59" s="2432"/>
      <c r="V59" s="2432"/>
      <c r="W59" s="2432"/>
      <c r="X59" s="2432"/>
      <c r="Y59" s="2432"/>
      <c r="Z59" s="2432"/>
      <c r="AA59" s="2432"/>
      <c r="AB59" s="2432"/>
      <c r="AC59" s="2432"/>
    </row>
    <row r="60" spans="1:29" s="102" customFormat="1" ht="15.75" thickBot="1">
      <c r="A60" s="449" t="s">
        <v>1716</v>
      </c>
      <c r="B60" s="450"/>
      <c r="C60" s="451"/>
      <c r="D60" s="452"/>
      <c r="E60" s="452"/>
      <c r="F60" s="452"/>
      <c r="G60" s="452"/>
      <c r="H60" s="452"/>
      <c r="I60" s="452"/>
      <c r="J60" s="452"/>
      <c r="K60" s="452"/>
      <c r="L60" s="452"/>
      <c r="M60" s="453"/>
      <c r="N60" s="452"/>
      <c r="O60" s="453"/>
      <c r="P60" s="2504"/>
      <c r="Q60" s="2501"/>
      <c r="R60" s="2432"/>
      <c r="S60" s="2432"/>
      <c r="T60" s="2432"/>
      <c r="U60" s="2432"/>
      <c r="V60" s="2432"/>
      <c r="W60" s="2432"/>
      <c r="X60" s="2432"/>
      <c r="Y60" s="2432"/>
      <c r="Z60" s="2432"/>
      <c r="AA60" s="2432"/>
      <c r="AB60" s="2432"/>
      <c r="AC60" s="2432"/>
    </row>
    <row r="61" spans="1:29" s="102" customFormat="1" ht="15">
      <c r="A61" s="455" t="s">
        <v>1681</v>
      </c>
      <c r="B61" s="444"/>
      <c r="C61" s="456" t="s">
        <v>1776</v>
      </c>
      <c r="D61" s="31"/>
      <c r="E61" s="31"/>
      <c r="F61" s="31"/>
      <c r="G61" s="31"/>
      <c r="H61" s="31"/>
      <c r="I61" s="31"/>
      <c r="J61" s="31"/>
      <c r="K61" s="31"/>
      <c r="L61" s="457"/>
      <c r="M61" s="458"/>
      <c r="N61" s="2513"/>
      <c r="O61" s="2513"/>
      <c r="P61" s="2505"/>
      <c r="Q61" s="2501"/>
      <c r="R61" s="2432"/>
      <c r="S61" s="2432"/>
      <c r="T61" s="2432"/>
      <c r="U61" s="2432"/>
      <c r="V61" s="2432"/>
      <c r="W61" s="2432"/>
      <c r="X61" s="2432"/>
      <c r="Y61" s="2432"/>
      <c r="Z61" s="2432"/>
      <c r="AA61" s="2432"/>
      <c r="AB61" s="2432"/>
      <c r="AC61" s="2432"/>
    </row>
    <row r="62" spans="1:29" s="102" customFormat="1" ht="15.75" thickBot="1">
      <c r="A62" s="455"/>
      <c r="B62" s="444"/>
      <c r="C62" s="445">
        <v>100</v>
      </c>
      <c r="D62" s="446"/>
      <c r="E62" s="446"/>
      <c r="F62" s="446"/>
      <c r="G62" s="446"/>
      <c r="H62" s="446"/>
      <c r="I62" s="446"/>
      <c r="J62" s="446"/>
      <c r="K62" s="446"/>
      <c r="L62" s="446"/>
      <c r="M62" s="448"/>
      <c r="N62" s="2513"/>
      <c r="O62" s="2513"/>
      <c r="P62" s="2504"/>
      <c r="Q62" s="2501"/>
      <c r="R62" s="2432"/>
      <c r="S62" s="2432"/>
      <c r="T62" s="2432"/>
      <c r="U62" s="2432"/>
      <c r="V62" s="2432"/>
      <c r="W62" s="2432"/>
      <c r="X62" s="2432"/>
      <c r="Y62" s="2432"/>
      <c r="Z62" s="2432"/>
      <c r="AA62" s="2432"/>
      <c r="AB62" s="2432"/>
      <c r="AC62" s="2432"/>
    </row>
    <row r="63" spans="1:29">
      <c r="A63" s="379" t="s">
        <v>1719</v>
      </c>
      <c r="B63" s="460" t="s">
        <v>1685</v>
      </c>
      <c r="C63" s="461">
        <f>C9</f>
        <v>0</v>
      </c>
      <c r="D63" s="462"/>
      <c r="E63" s="462"/>
      <c r="F63" s="462"/>
      <c r="G63" s="462"/>
      <c r="H63" s="462"/>
      <c r="I63" s="462"/>
      <c r="J63" s="462"/>
      <c r="K63" s="463"/>
      <c r="L63" s="464"/>
      <c r="M63" s="465"/>
      <c r="N63" s="2514"/>
      <c r="O63" s="2514"/>
      <c r="P63" s="2506"/>
      <c r="Q63" s="2501"/>
      <c r="R63" s="2480"/>
      <c r="S63" s="2480"/>
      <c r="T63" s="2480"/>
      <c r="U63" s="2480"/>
      <c r="V63" s="2480"/>
      <c r="W63" s="2480"/>
      <c r="X63" s="2480"/>
      <c r="Y63" s="2480"/>
      <c r="Z63" s="2480"/>
      <c r="AA63" s="2480"/>
      <c r="AB63" s="2480"/>
      <c r="AC63" s="2480"/>
    </row>
    <row r="64" spans="1:29" ht="15.75" thickBot="1">
      <c r="A64" s="367"/>
      <c r="B64" s="466"/>
      <c r="C64" s="467">
        <v>100</v>
      </c>
      <c r="D64" s="467"/>
      <c r="E64" s="467"/>
      <c r="F64" s="467"/>
      <c r="G64" s="467"/>
      <c r="H64" s="467"/>
      <c r="I64" s="467"/>
      <c r="J64" s="467"/>
      <c r="K64" s="467"/>
      <c r="L64" s="467"/>
      <c r="M64" s="468"/>
      <c r="N64" s="2515"/>
      <c r="O64" s="2515"/>
      <c r="P64" s="2506"/>
      <c r="Q64" s="2501"/>
      <c r="R64" s="2480"/>
      <c r="S64" s="2480"/>
      <c r="T64" s="2480"/>
      <c r="U64" s="2480"/>
      <c r="V64" s="2480"/>
      <c r="W64" s="2480"/>
      <c r="X64" s="2480"/>
      <c r="Y64" s="2480"/>
      <c r="Z64" s="2480"/>
      <c r="AA64" s="2480"/>
      <c r="AB64" s="2480"/>
      <c r="AC64" s="2480"/>
    </row>
    <row r="65" spans="1:29" ht="27.75" thickTop="1">
      <c r="A65" s="367"/>
      <c r="B65" s="469" t="s">
        <v>1688</v>
      </c>
      <c r="C65" s="513"/>
      <c r="D65" s="513"/>
      <c r="E65" s="513"/>
      <c r="F65" s="513"/>
      <c r="G65" s="513"/>
      <c r="H65" s="513"/>
      <c r="I65" s="513"/>
      <c r="J65" s="513"/>
      <c r="K65" s="514"/>
      <c r="L65" s="515"/>
      <c r="M65" s="516"/>
      <c r="N65" s="2514"/>
      <c r="O65" s="2514"/>
      <c r="P65" s="2506"/>
      <c r="Q65" s="2501"/>
      <c r="R65" s="2480"/>
      <c r="S65" s="2480"/>
      <c r="T65" s="2480"/>
      <c r="U65" s="2480"/>
      <c r="V65" s="2480"/>
      <c r="W65" s="2480"/>
      <c r="X65" s="2480"/>
      <c r="Y65" s="2480"/>
      <c r="Z65" s="2480"/>
      <c r="AA65" s="2480"/>
      <c r="AB65" s="2480"/>
      <c r="AC65" s="2480"/>
    </row>
    <row r="66" spans="1:29" ht="15.75" thickBot="1">
      <c r="A66" s="367"/>
      <c r="B66" s="474"/>
      <c r="C66" s="467"/>
      <c r="D66" s="467"/>
      <c r="E66" s="467"/>
      <c r="F66" s="467"/>
      <c r="G66" s="467"/>
      <c r="H66" s="467"/>
      <c r="I66" s="467"/>
      <c r="J66" s="467"/>
      <c r="K66" s="467"/>
      <c r="L66" s="467"/>
      <c r="M66" s="468"/>
      <c r="N66" s="2515"/>
      <c r="O66" s="2515"/>
      <c r="P66" s="2506"/>
      <c r="Q66" s="2501"/>
      <c r="R66" s="2480"/>
      <c r="S66" s="2480"/>
      <c r="T66" s="2480"/>
      <c r="U66" s="2480"/>
      <c r="V66" s="2480"/>
      <c r="W66" s="2480"/>
      <c r="X66" s="2480"/>
      <c r="Y66" s="2480"/>
      <c r="Z66" s="2480"/>
      <c r="AA66" s="2480"/>
      <c r="AB66" s="2480"/>
      <c r="AC66" s="2480"/>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7"/>
      <c r="B68" s="479"/>
      <c r="C68" s="480"/>
      <c r="D68" s="480"/>
      <c r="E68" s="480"/>
      <c r="F68" s="480"/>
      <c r="G68" s="480"/>
      <c r="H68" s="480"/>
      <c r="I68" s="480"/>
      <c r="J68" s="480"/>
      <c r="K68" s="481"/>
      <c r="L68" s="482"/>
      <c r="M68" s="483"/>
      <c r="N68" s="2514"/>
      <c r="O68" s="2514"/>
      <c r="P68" s="2506"/>
      <c r="Q68" s="2501"/>
      <c r="R68" s="2480"/>
      <c r="S68" s="2480"/>
      <c r="T68" s="2480"/>
      <c r="U68" s="2480"/>
      <c r="V68" s="2480"/>
      <c r="W68" s="2480"/>
      <c r="X68" s="2480"/>
      <c r="Y68" s="2480"/>
      <c r="Z68" s="2480"/>
      <c r="AA68" s="2480"/>
      <c r="AB68" s="2480"/>
      <c r="AC68" s="2480"/>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5"/>
      <c r="O69" s="2515"/>
      <c r="P69" s="2506"/>
      <c r="Q69" s="2501"/>
      <c r="R69" s="2480"/>
      <c r="S69" s="2480"/>
      <c r="T69" s="2480"/>
      <c r="U69" s="2480"/>
      <c r="V69" s="2480"/>
      <c r="W69" s="2480"/>
      <c r="X69" s="2480"/>
      <c r="Y69" s="2480"/>
      <c r="Z69" s="2480"/>
      <c r="AA69" s="2480"/>
      <c r="AB69" s="2480"/>
      <c r="AC69" s="2480"/>
    </row>
    <row r="70" spans="1:29" s="408" customFormat="1" ht="15.75" thickTop="1">
      <c r="A70" s="484"/>
      <c r="B70" s="469">
        <f>B12</f>
        <v>111</v>
      </c>
      <c r="C70" s="485"/>
      <c r="D70" s="485"/>
      <c r="E70" s="485"/>
      <c r="F70" s="485"/>
      <c r="G70" s="485"/>
      <c r="H70" s="486"/>
      <c r="I70" s="486"/>
      <c r="J70" s="486"/>
      <c r="K70" s="486"/>
      <c r="L70" s="487"/>
      <c r="M70" s="488"/>
      <c r="N70" s="2516"/>
      <c r="O70" s="2516"/>
      <c r="P70" s="2507"/>
      <c r="Q70" s="2508"/>
      <c r="R70" s="2486"/>
      <c r="S70" s="2486"/>
      <c r="T70" s="2486"/>
      <c r="U70" s="2486"/>
      <c r="V70" s="2486"/>
      <c r="W70" s="2486"/>
      <c r="X70" s="2486"/>
      <c r="Y70" s="2486"/>
      <c r="Z70" s="2486"/>
      <c r="AA70" s="2486"/>
      <c r="AB70" s="2486"/>
      <c r="AC70" s="2486"/>
    </row>
    <row r="71" spans="1:29" s="408" customFormat="1" ht="15.75" thickBot="1">
      <c r="A71" s="484"/>
      <c r="B71" s="474"/>
      <c r="C71" s="491"/>
      <c r="D71" s="467"/>
      <c r="E71" s="467"/>
      <c r="F71" s="467"/>
      <c r="G71" s="467"/>
      <c r="H71" s="467"/>
      <c r="I71" s="467"/>
      <c r="J71" s="467"/>
      <c r="K71" s="467"/>
      <c r="L71" s="467"/>
      <c r="M71" s="468"/>
      <c r="N71" s="2515"/>
      <c r="O71" s="2515"/>
      <c r="P71" s="2507"/>
      <c r="Q71" s="2508"/>
      <c r="R71" s="2486"/>
      <c r="S71" s="2486"/>
      <c r="T71" s="2486"/>
      <c r="U71" s="2486"/>
      <c r="V71" s="2486"/>
      <c r="W71" s="2486"/>
      <c r="X71" s="2486"/>
      <c r="Y71" s="2486"/>
      <c r="Z71" s="2486"/>
      <c r="AA71" s="2486"/>
      <c r="AB71" s="2486"/>
      <c r="AC71" s="2486"/>
    </row>
    <row r="72" spans="1:29" s="408" customFormat="1" ht="15.75" thickTop="1">
      <c r="A72" s="484"/>
      <c r="B72" s="469">
        <f>B13</f>
        <v>111</v>
      </c>
      <c r="C72" s="485"/>
      <c r="D72" s="485"/>
      <c r="E72" s="485"/>
      <c r="F72" s="485"/>
      <c r="G72" s="485"/>
      <c r="H72" s="486"/>
      <c r="I72" s="486"/>
      <c r="J72" s="486"/>
      <c r="K72" s="486"/>
      <c r="L72" s="487"/>
      <c r="M72" s="488"/>
      <c r="N72" s="2516"/>
      <c r="O72" s="2516"/>
      <c r="P72" s="2509"/>
      <c r="Q72" s="2510"/>
      <c r="R72" s="2486"/>
      <c r="S72" s="2486"/>
      <c r="T72" s="2486"/>
      <c r="U72" s="2486"/>
      <c r="V72" s="2486"/>
      <c r="W72" s="2486"/>
      <c r="X72" s="2486"/>
      <c r="Y72" s="2486"/>
      <c r="Z72" s="2486"/>
      <c r="AA72" s="2486"/>
      <c r="AB72" s="2486"/>
      <c r="AC72" s="2486"/>
    </row>
    <row r="73" spans="1:29" s="408" customFormat="1" ht="15.75" thickBot="1">
      <c r="A73" s="484"/>
      <c r="B73" s="474"/>
      <c r="C73" s="491"/>
      <c r="D73" s="467"/>
      <c r="E73" s="467"/>
      <c r="F73" s="467"/>
      <c r="G73" s="491"/>
      <c r="H73" s="493"/>
      <c r="I73" s="493"/>
      <c r="J73" s="493"/>
      <c r="K73" s="493"/>
      <c r="L73" s="493"/>
      <c r="M73" s="494"/>
      <c r="N73" s="2516"/>
      <c r="O73" s="2516"/>
      <c r="P73" s="2507"/>
      <c r="Q73" s="2508"/>
      <c r="R73" s="2486"/>
      <c r="S73" s="2486"/>
      <c r="T73" s="2486"/>
      <c r="U73" s="2486"/>
      <c r="V73" s="2486"/>
      <c r="W73" s="2486"/>
      <c r="X73" s="2486"/>
      <c r="Y73" s="2486"/>
      <c r="Z73" s="2486"/>
      <c r="AA73" s="2486"/>
      <c r="AB73" s="2486"/>
      <c r="AC73" s="2486"/>
    </row>
    <row r="74" spans="1:29" s="408" customFormat="1" ht="15.75" thickTop="1">
      <c r="A74" s="484"/>
      <c r="B74" s="477">
        <f>B14</f>
        <v>111</v>
      </c>
      <c r="C74" s="485"/>
      <c r="D74" s="485"/>
      <c r="E74" s="485"/>
      <c r="F74" s="485"/>
      <c r="G74" s="31"/>
      <c r="H74" s="495"/>
      <c r="I74" s="495"/>
      <c r="J74" s="495"/>
      <c r="K74" s="495"/>
      <c r="L74" s="496"/>
      <c r="M74" s="497"/>
      <c r="N74" s="2516"/>
      <c r="O74" s="2516"/>
      <c r="P74" s="2511"/>
      <c r="Q74" s="2508"/>
      <c r="R74" s="2486"/>
      <c r="S74" s="2486"/>
      <c r="T74" s="2486"/>
      <c r="U74" s="2486"/>
      <c r="V74" s="2486"/>
      <c r="W74" s="2486"/>
      <c r="X74" s="2486"/>
      <c r="Y74" s="2486"/>
      <c r="Z74" s="2486"/>
      <c r="AA74" s="2486"/>
      <c r="AB74" s="2486"/>
      <c r="AC74" s="2486"/>
    </row>
    <row r="75" spans="1:29" s="408" customFormat="1" ht="15.75" thickBot="1">
      <c r="A75" s="499"/>
      <c r="B75" s="500"/>
      <c r="C75" s="501"/>
      <c r="D75" s="501"/>
      <c r="E75" s="501"/>
      <c r="F75" s="501"/>
      <c r="G75" s="501"/>
      <c r="H75" s="502"/>
      <c r="I75" s="502"/>
      <c r="J75" s="502"/>
      <c r="K75" s="502"/>
      <c r="L75" s="502"/>
      <c r="M75" s="503"/>
      <c r="N75" s="2516"/>
      <c r="O75" s="2516"/>
      <c r="P75" s="2507"/>
      <c r="Q75" s="2508"/>
      <c r="R75" s="2486"/>
      <c r="S75" s="2486"/>
      <c r="T75" s="2486"/>
      <c r="U75" s="2486"/>
      <c r="V75" s="2486"/>
      <c r="W75" s="2486"/>
      <c r="X75" s="2486"/>
      <c r="Y75" s="2486"/>
      <c r="Z75" s="2486"/>
      <c r="AA75" s="2486"/>
      <c r="AB75" s="2486"/>
      <c r="AC75" s="2486"/>
    </row>
    <row r="76" spans="1:29">
      <c r="A76" s="379" t="s">
        <v>1690</v>
      </c>
      <c r="B76" s="460" t="s">
        <v>1720</v>
      </c>
      <c r="C76" s="504" t="s">
        <v>1721</v>
      </c>
      <c r="D76" s="504" t="s">
        <v>1722</v>
      </c>
      <c r="E76" s="504" t="s">
        <v>1723</v>
      </c>
      <c r="F76" s="504" t="s">
        <v>1724</v>
      </c>
      <c r="G76" s="504" t="s">
        <v>1725</v>
      </c>
      <c r="H76" s="461"/>
      <c r="I76" s="461"/>
      <c r="J76" s="461"/>
      <c r="K76" s="505"/>
      <c r="L76" s="506"/>
      <c r="M76" s="507"/>
      <c r="N76" s="2514"/>
      <c r="O76" s="2514"/>
      <c r="P76" s="2512"/>
      <c r="Q76" s="2501"/>
      <c r="R76" s="2480"/>
      <c r="S76" s="2480"/>
      <c r="T76" s="2480"/>
      <c r="U76" s="2480"/>
      <c r="V76" s="2480"/>
      <c r="W76" s="2480"/>
      <c r="X76" s="2480"/>
      <c r="Y76" s="2480"/>
      <c r="Z76" s="2480"/>
      <c r="AA76" s="2480"/>
      <c r="AB76" s="2480"/>
      <c r="AC76" s="2480"/>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5"/>
      <c r="O77" s="2515"/>
      <c r="P77" s="2506"/>
      <c r="Q77" s="2501"/>
      <c r="R77" s="2480"/>
      <c r="S77" s="2480"/>
      <c r="T77" s="2480"/>
      <c r="U77" s="2480"/>
      <c r="V77" s="2480"/>
      <c r="W77" s="2480"/>
      <c r="X77" s="2480"/>
      <c r="Y77" s="2480"/>
      <c r="Z77" s="2480"/>
      <c r="AA77" s="2480"/>
      <c r="AB77" s="2480"/>
      <c r="AC77" s="2480"/>
    </row>
    <row r="78" spans="1:29" ht="15.75" thickTop="1">
      <c r="A78" s="367"/>
      <c r="B78" s="469" t="s">
        <v>1726</v>
      </c>
      <c r="C78" s="509" t="s">
        <v>1721</v>
      </c>
      <c r="D78" s="509" t="s">
        <v>1722</v>
      </c>
      <c r="E78" s="509" t="s">
        <v>1723</v>
      </c>
      <c r="F78" s="509" t="s">
        <v>1724</v>
      </c>
      <c r="G78" s="509" t="s">
        <v>1725</v>
      </c>
      <c r="H78" s="470"/>
      <c r="I78" s="470"/>
      <c r="J78" s="470"/>
      <c r="K78" s="471"/>
      <c r="L78" s="472"/>
      <c r="M78" s="473"/>
      <c r="N78" s="2514"/>
      <c r="O78" s="2514"/>
      <c r="P78" s="2506"/>
      <c r="Q78" s="2501"/>
      <c r="R78" s="2480"/>
      <c r="S78" s="2480"/>
      <c r="T78" s="2480"/>
      <c r="U78" s="2480"/>
      <c r="V78" s="2480"/>
      <c r="W78" s="2480"/>
      <c r="X78" s="2480"/>
      <c r="Y78" s="2480"/>
      <c r="Z78" s="2480"/>
      <c r="AA78" s="2480"/>
      <c r="AB78" s="2480"/>
      <c r="AC78" s="2480"/>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5"/>
      <c r="O79" s="2515"/>
      <c r="P79" s="2506"/>
      <c r="Q79" s="2501"/>
      <c r="R79" s="2480"/>
      <c r="S79" s="2480"/>
      <c r="T79" s="2480"/>
      <c r="U79" s="2480"/>
      <c r="V79" s="2480"/>
      <c r="W79" s="2480"/>
      <c r="X79" s="2480"/>
      <c r="Y79" s="2480"/>
      <c r="Z79" s="2480"/>
      <c r="AA79" s="2480"/>
      <c r="AB79" s="2480"/>
      <c r="AC79" s="2480"/>
    </row>
    <row r="80" spans="1:29" ht="15.75" thickTop="1">
      <c r="A80" s="367"/>
      <c r="B80" s="469" t="s">
        <v>1727</v>
      </c>
      <c r="C80" s="509" t="s">
        <v>1721</v>
      </c>
      <c r="D80" s="509" t="s">
        <v>1722</v>
      </c>
      <c r="E80" s="509" t="s">
        <v>1723</v>
      </c>
      <c r="F80" s="509" t="s">
        <v>1724</v>
      </c>
      <c r="G80" s="509" t="s">
        <v>1725</v>
      </c>
      <c r="H80" s="470"/>
      <c r="I80" s="470"/>
      <c r="J80" s="470"/>
      <c r="K80" s="471"/>
      <c r="L80" s="472"/>
      <c r="M80" s="473"/>
      <c r="N80" s="2514"/>
      <c r="O80" s="2514"/>
      <c r="P80" s="2506"/>
      <c r="Q80" s="2501"/>
      <c r="R80" s="2480"/>
      <c r="S80" s="2480"/>
      <c r="T80" s="2480"/>
      <c r="U80" s="2480"/>
      <c r="V80" s="2480"/>
      <c r="W80" s="2480"/>
      <c r="X80" s="2480"/>
      <c r="Y80" s="2480"/>
      <c r="Z80" s="2480"/>
      <c r="AA80" s="2480"/>
      <c r="AB80" s="2480"/>
      <c r="AC80" s="2480"/>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5"/>
      <c r="O81" s="2515"/>
      <c r="P81" s="2506"/>
      <c r="Q81" s="2501"/>
      <c r="R81" s="2480"/>
      <c r="S81" s="2480"/>
      <c r="T81" s="2480"/>
      <c r="U81" s="2480"/>
      <c r="V81" s="2480"/>
      <c r="W81" s="2480"/>
      <c r="X81" s="2480"/>
      <c r="Y81" s="2480"/>
      <c r="Z81" s="2480"/>
      <c r="AA81" s="2480"/>
      <c r="AB81" s="2480"/>
      <c r="AC81" s="2480"/>
    </row>
    <row r="82" spans="1:29" ht="15.75" thickTop="1">
      <c r="A82" s="367"/>
      <c r="B82" s="477" t="s">
        <v>1779</v>
      </c>
      <c r="C82" s="581" t="s">
        <v>1799</v>
      </c>
      <c r="D82" s="581" t="s">
        <v>1800</v>
      </c>
      <c r="E82" s="581" t="s">
        <v>1801</v>
      </c>
      <c r="F82" s="581" t="s">
        <v>1802</v>
      </c>
      <c r="G82" s="581" t="s">
        <v>1803</v>
      </c>
      <c r="H82" s="470"/>
      <c r="I82" s="470"/>
      <c r="J82" s="470"/>
      <c r="K82" s="470"/>
      <c r="L82" s="470"/>
      <c r="M82" s="1059"/>
      <c r="N82" s="2515"/>
      <c r="O82" s="2515"/>
      <c r="P82" s="2506"/>
      <c r="Q82" s="2501"/>
      <c r="R82" s="2480"/>
      <c r="S82" s="2480"/>
      <c r="T82" s="2480"/>
      <c r="U82" s="2480"/>
      <c r="V82" s="2480"/>
      <c r="W82" s="2480"/>
      <c r="X82" s="2480"/>
      <c r="Y82" s="2480"/>
      <c r="Z82" s="2480"/>
      <c r="AA82" s="2480"/>
      <c r="AB82" s="2480"/>
      <c r="AC82" s="2480"/>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5"/>
      <c r="O83" s="2515"/>
      <c r="P83" s="2506"/>
      <c r="Q83" s="2501"/>
      <c r="R83" s="2480"/>
      <c r="S83" s="2480"/>
      <c r="T83" s="2480"/>
      <c r="U83" s="2480"/>
      <c r="V83" s="2480"/>
      <c r="W83" s="2480"/>
      <c r="X83" s="2480"/>
      <c r="Y83" s="2480"/>
      <c r="Z83" s="2480"/>
      <c r="AA83" s="2480"/>
      <c r="AB83" s="2480"/>
      <c r="AC83" s="2480"/>
    </row>
    <row r="84" spans="1:29" ht="15.75" thickTop="1">
      <c r="A84" s="367"/>
      <c r="B84" s="469" t="s">
        <v>1733</v>
      </c>
      <c r="C84" s="509" t="s">
        <v>1721</v>
      </c>
      <c r="D84" s="509" t="s">
        <v>1722</v>
      </c>
      <c r="E84" s="509" t="s">
        <v>1723</v>
      </c>
      <c r="F84" s="509" t="s">
        <v>1724</v>
      </c>
      <c r="G84" s="509" t="s">
        <v>1725</v>
      </c>
      <c r="H84" s="470"/>
      <c r="I84" s="470"/>
      <c r="J84" s="470"/>
      <c r="K84" s="471"/>
      <c r="L84" s="472"/>
      <c r="M84" s="473"/>
      <c r="N84" s="2514"/>
      <c r="O84" s="2514"/>
      <c r="P84" s="2506"/>
      <c r="Q84" s="2501"/>
      <c r="R84" s="2480"/>
      <c r="S84" s="2480"/>
      <c r="T84" s="2480"/>
      <c r="U84" s="2480"/>
      <c r="V84" s="2480"/>
      <c r="W84" s="2480"/>
      <c r="X84" s="2480"/>
      <c r="Y84" s="2480"/>
      <c r="Z84" s="2480"/>
      <c r="AA84" s="2480"/>
      <c r="AB84" s="2480"/>
      <c r="AC84" s="2480"/>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5"/>
      <c r="O85" s="2515"/>
      <c r="P85" s="2506"/>
      <c r="Q85" s="2501"/>
      <c r="R85" s="2480"/>
      <c r="S85" s="2480"/>
      <c r="T85" s="2480"/>
      <c r="U85" s="2480"/>
      <c r="V85" s="2480"/>
      <c r="W85" s="2480"/>
      <c r="X85" s="2480"/>
      <c r="Y85" s="2480"/>
      <c r="Z85" s="2480"/>
      <c r="AA85" s="2480"/>
      <c r="AB85" s="2480"/>
      <c r="AC85" s="2480"/>
    </row>
    <row r="86" spans="1:29" s="102" customFormat="1" ht="15.75" thickTop="1">
      <c r="A86" s="370"/>
      <c r="B86" s="469" t="s">
        <v>1804</v>
      </c>
      <c r="C86" s="485"/>
      <c r="D86" s="485"/>
      <c r="E86" s="485"/>
      <c r="F86" s="485"/>
      <c r="G86" s="485"/>
      <c r="H86" s="485"/>
      <c r="I86" s="485"/>
      <c r="J86" s="485"/>
      <c r="K86" s="485"/>
      <c r="L86" s="510"/>
      <c r="M86" s="511"/>
      <c r="N86" s="2513"/>
      <c r="O86" s="2513"/>
      <c r="P86" s="2506"/>
      <c r="Q86" s="2501"/>
      <c r="R86" s="2432"/>
      <c r="S86" s="2432"/>
      <c r="T86" s="2432"/>
      <c r="U86" s="2432"/>
      <c r="V86" s="2432"/>
      <c r="W86" s="2432"/>
      <c r="X86" s="2432"/>
      <c r="Y86" s="2432"/>
      <c r="Z86" s="2432"/>
      <c r="AA86" s="2432"/>
      <c r="AB86" s="2432"/>
      <c r="AC86" s="2432"/>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5"/>
      <c r="O87" s="2515"/>
      <c r="P87" s="2506"/>
      <c r="Q87" s="2501"/>
      <c r="R87" s="2432"/>
      <c r="S87" s="2432"/>
      <c r="T87" s="2432"/>
      <c r="U87" s="2432"/>
      <c r="V87" s="2432"/>
      <c r="W87" s="2432"/>
      <c r="X87" s="2432"/>
      <c r="Y87" s="2432"/>
      <c r="Z87" s="2432"/>
      <c r="AA87" s="2432"/>
      <c r="AB87" s="2432"/>
      <c r="AC87" s="2432"/>
    </row>
    <row r="88" spans="1:29" s="102" customFormat="1" ht="15.75" thickTop="1">
      <c r="A88" s="370"/>
      <c r="B88" s="469" t="str">
        <f>B26</f>
        <v>平面位置/可视性</v>
      </c>
      <c r="C88" s="485"/>
      <c r="D88" s="485"/>
      <c r="E88" s="485"/>
      <c r="F88" s="1774"/>
      <c r="G88" s="485"/>
      <c r="H88" s="485"/>
      <c r="I88" s="485"/>
      <c r="J88" s="485"/>
      <c r="K88" s="485"/>
      <c r="L88" s="485"/>
      <c r="M88" s="511"/>
      <c r="N88" s="2513"/>
      <c r="O88" s="2513"/>
      <c r="P88" s="2506"/>
      <c r="Q88" s="2501"/>
      <c r="R88" s="2432"/>
      <c r="S88" s="2432"/>
      <c r="T88" s="2432"/>
      <c r="U88" s="2432"/>
      <c r="V88" s="2432"/>
      <c r="W88" s="2432"/>
      <c r="X88" s="2432"/>
      <c r="Y88" s="2432"/>
      <c r="Z88" s="2432"/>
      <c r="AA88" s="2432"/>
      <c r="AB88" s="2432"/>
      <c r="AC88" s="2432"/>
    </row>
    <row r="89" spans="1:29" s="102" customFormat="1" ht="15.75" thickBot="1">
      <c r="A89" s="370"/>
      <c r="B89" s="474"/>
      <c r="C89" s="491"/>
      <c r="D89" s="467"/>
      <c r="E89" s="467"/>
      <c r="F89" s="467"/>
      <c r="G89" s="467"/>
      <c r="H89" s="467"/>
      <c r="I89" s="467"/>
      <c r="J89" s="467"/>
      <c r="K89" s="467"/>
      <c r="L89" s="467"/>
      <c r="M89" s="467"/>
      <c r="N89" s="2515"/>
      <c r="O89" s="2515"/>
      <c r="P89" s="2506"/>
      <c r="Q89" s="2501"/>
      <c r="R89" s="2432"/>
      <c r="S89" s="2432"/>
      <c r="T89" s="2432"/>
      <c r="U89" s="2432"/>
      <c r="V89" s="2432"/>
      <c r="W89" s="2432"/>
      <c r="X89" s="2432"/>
      <c r="Y89" s="2432"/>
      <c r="Z89" s="2432"/>
      <c r="AA89" s="2432"/>
      <c r="AB89" s="2432"/>
      <c r="AC89" s="2432"/>
    </row>
    <row r="90" spans="1:29" s="408" customFormat="1" ht="15.75" thickTop="1">
      <c r="A90" s="484"/>
      <c r="B90" s="469" t="str">
        <f>B27</f>
        <v>人流量</v>
      </c>
      <c r="C90" s="485"/>
      <c r="D90" s="485"/>
      <c r="E90" s="485"/>
      <c r="F90" s="485"/>
      <c r="G90" s="485"/>
      <c r="H90" s="486"/>
      <c r="I90" s="486"/>
      <c r="J90" s="486"/>
      <c r="K90" s="486"/>
      <c r="L90" s="487"/>
      <c r="M90" s="488"/>
      <c r="N90" s="2516"/>
      <c r="O90" s="2516"/>
      <c r="P90" s="2507"/>
      <c r="Q90" s="2508"/>
      <c r="R90" s="2486"/>
      <c r="S90" s="2486"/>
      <c r="T90" s="2486"/>
      <c r="U90" s="2486"/>
      <c r="V90" s="2486"/>
      <c r="W90" s="2486"/>
      <c r="X90" s="2486"/>
      <c r="Y90" s="2486"/>
      <c r="Z90" s="2486"/>
      <c r="AA90" s="2486"/>
      <c r="AB90" s="2486"/>
      <c r="AC90" s="2486"/>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6"/>
      <c r="O91" s="2516"/>
      <c r="P91" s="2507"/>
      <c r="Q91" s="2508"/>
      <c r="R91" s="2486"/>
      <c r="S91" s="2486"/>
      <c r="T91" s="2486"/>
      <c r="U91" s="2486"/>
      <c r="V91" s="2486"/>
      <c r="W91" s="2486"/>
      <c r="X91" s="2486"/>
      <c r="Y91" s="2486"/>
      <c r="Z91" s="2486"/>
      <c r="AA91" s="2486"/>
      <c r="AB91" s="2486"/>
      <c r="AC91" s="2486"/>
    </row>
    <row r="92" spans="1:29" ht="15.75" thickTop="1">
      <c r="A92" s="367"/>
      <c r="B92" s="469" t="str">
        <f>B28</f>
        <v>楼层</v>
      </c>
      <c r="C92" s="485"/>
      <c r="D92" s="485"/>
      <c r="E92" s="485"/>
      <c r="F92" s="485"/>
      <c r="G92" s="485"/>
      <c r="H92" s="485"/>
      <c r="I92" s="485"/>
      <c r="J92" s="485"/>
      <c r="K92" s="485"/>
      <c r="L92" s="510"/>
      <c r="M92" s="511"/>
      <c r="N92" s="2514"/>
      <c r="O92" s="2514"/>
      <c r="P92" s="2506"/>
      <c r="Q92" s="2501"/>
      <c r="R92" s="2480"/>
      <c r="S92" s="2480"/>
      <c r="T92" s="2480"/>
      <c r="U92" s="2480"/>
      <c r="V92" s="2480"/>
      <c r="W92" s="2480"/>
      <c r="X92" s="2480"/>
      <c r="Y92" s="2480"/>
      <c r="Z92" s="2480"/>
      <c r="AA92" s="2480"/>
      <c r="AB92" s="2480"/>
      <c r="AC92" s="2480"/>
    </row>
    <row r="93" spans="1:29" ht="15.75" thickBot="1">
      <c r="A93" s="367"/>
      <c r="B93" s="474"/>
      <c r="C93" s="467"/>
      <c r="D93" s="467"/>
      <c r="E93" s="467"/>
      <c r="F93" s="467"/>
      <c r="G93" s="467"/>
      <c r="H93" s="467"/>
      <c r="I93" s="467"/>
      <c r="J93" s="467"/>
      <c r="K93" s="467"/>
      <c r="L93" s="467"/>
      <c r="M93" s="468"/>
      <c r="N93" s="2515"/>
      <c r="O93" s="2515"/>
      <c r="P93" s="2506"/>
      <c r="Q93" s="2501"/>
      <c r="R93" s="2480"/>
      <c r="S93" s="2480"/>
      <c r="T93" s="2480"/>
      <c r="U93" s="2480"/>
      <c r="V93" s="2480"/>
      <c r="W93" s="2480"/>
      <c r="X93" s="2480"/>
      <c r="Y93" s="2480"/>
      <c r="Z93" s="2480"/>
      <c r="AA93" s="2480"/>
      <c r="AB93" s="2480"/>
      <c r="AC93" s="2480"/>
    </row>
    <row r="94" spans="1:29" ht="15.75" thickTop="1">
      <c r="A94" s="367"/>
      <c r="B94" s="469">
        <f>B29</f>
        <v>111</v>
      </c>
      <c r="C94" s="485"/>
      <c r="D94" s="485"/>
      <c r="E94" s="485"/>
      <c r="F94" s="485"/>
      <c r="G94" s="513"/>
      <c r="H94" s="513"/>
      <c r="I94" s="513"/>
      <c r="J94" s="513"/>
      <c r="K94" s="514"/>
      <c r="L94" s="515"/>
      <c r="M94" s="516"/>
      <c r="N94" s="2514"/>
      <c r="O94" s="2514"/>
      <c r="P94" s="2506"/>
      <c r="Q94" s="2501"/>
      <c r="R94" s="2480"/>
      <c r="S94" s="2480"/>
      <c r="T94" s="2480"/>
      <c r="U94" s="2480"/>
      <c r="V94" s="2480"/>
      <c r="W94" s="2480"/>
      <c r="X94" s="2480"/>
      <c r="Y94" s="2480"/>
      <c r="Z94" s="2480"/>
      <c r="AA94" s="2480"/>
      <c r="AB94" s="2480"/>
      <c r="AC94" s="2480"/>
    </row>
    <row r="95" spans="1:29" ht="15.75" thickBot="1">
      <c r="A95" s="367"/>
      <c r="B95" s="474"/>
      <c r="C95" s="491"/>
      <c r="D95" s="467"/>
      <c r="E95" s="467"/>
      <c r="F95" s="467"/>
      <c r="G95" s="467"/>
      <c r="H95" s="467"/>
      <c r="I95" s="467"/>
      <c r="J95" s="467"/>
      <c r="K95" s="467"/>
      <c r="L95" s="467"/>
      <c r="M95" s="468"/>
      <c r="N95" s="2515"/>
      <c r="O95" s="2515"/>
      <c r="P95" s="2506"/>
      <c r="Q95" s="2501"/>
      <c r="R95" s="2480"/>
      <c r="S95" s="2480"/>
      <c r="T95" s="2480"/>
      <c r="U95" s="2480"/>
      <c r="V95" s="2480"/>
      <c r="W95" s="2480"/>
      <c r="X95" s="2480"/>
      <c r="Y95" s="2480"/>
      <c r="Z95" s="2480"/>
      <c r="AA95" s="2480"/>
      <c r="AB95" s="2480"/>
      <c r="AC95" s="2480"/>
    </row>
    <row r="96" spans="1:29" ht="15.75" thickTop="1">
      <c r="A96" s="367"/>
      <c r="B96" s="469">
        <f>B30</f>
        <v>111</v>
      </c>
      <c r="C96" s="485"/>
      <c r="D96" s="485"/>
      <c r="E96" s="485"/>
      <c r="F96" s="485"/>
      <c r="G96" s="513"/>
      <c r="H96" s="513"/>
      <c r="I96" s="513"/>
      <c r="J96" s="513"/>
      <c r="K96" s="514"/>
      <c r="L96" s="515"/>
      <c r="M96" s="516"/>
      <c r="N96" s="2514"/>
      <c r="O96" s="2514"/>
      <c r="P96" s="2506"/>
      <c r="Q96" s="2501"/>
      <c r="R96" s="2480"/>
      <c r="S96" s="2480"/>
      <c r="T96" s="2480"/>
      <c r="U96" s="2480"/>
      <c r="V96" s="2480"/>
      <c r="W96" s="2480"/>
      <c r="X96" s="2480"/>
      <c r="Y96" s="2480"/>
      <c r="Z96" s="2480"/>
      <c r="AA96" s="2480"/>
      <c r="AB96" s="2480"/>
      <c r="AC96" s="2480"/>
    </row>
    <row r="97" spans="1:29" ht="15.75" thickBot="1">
      <c r="A97" s="367"/>
      <c r="B97" s="474"/>
      <c r="C97" s="491"/>
      <c r="D97" s="467"/>
      <c r="E97" s="467"/>
      <c r="F97" s="467"/>
      <c r="G97" s="467"/>
      <c r="H97" s="467"/>
      <c r="I97" s="467"/>
      <c r="J97" s="467"/>
      <c r="K97" s="467"/>
      <c r="L97" s="467"/>
      <c r="M97" s="468"/>
      <c r="N97" s="2515"/>
      <c r="O97" s="2515"/>
      <c r="P97" s="2506"/>
      <c r="Q97" s="2501"/>
      <c r="R97" s="2480"/>
      <c r="S97" s="2480"/>
      <c r="T97" s="2480"/>
      <c r="U97" s="2480"/>
      <c r="V97" s="2480"/>
      <c r="W97" s="2480"/>
      <c r="X97" s="2480"/>
      <c r="Y97" s="2480"/>
      <c r="Z97" s="2480"/>
      <c r="AA97" s="2480"/>
      <c r="AB97" s="2480"/>
      <c r="AC97" s="2480"/>
    </row>
    <row r="98" spans="1:29" ht="15.75" thickTop="1">
      <c r="A98" s="367"/>
      <c r="B98" s="477">
        <f>B31</f>
        <v>111</v>
      </c>
      <c r="C98" s="485"/>
      <c r="D98" s="485"/>
      <c r="E98" s="485"/>
      <c r="F98" s="485"/>
      <c r="G98" s="517"/>
      <c r="H98" s="517"/>
      <c r="I98" s="517"/>
      <c r="J98" s="517"/>
      <c r="K98" s="518"/>
      <c r="L98" s="519"/>
      <c r="M98" s="520"/>
      <c r="N98" s="2514"/>
      <c r="O98" s="2514"/>
      <c r="P98" s="2506"/>
      <c r="Q98" s="2501"/>
      <c r="R98" s="2480"/>
      <c r="S98" s="2480"/>
      <c r="T98" s="2480"/>
      <c r="U98" s="2480"/>
      <c r="V98" s="2480"/>
      <c r="W98" s="2480"/>
      <c r="X98" s="2480"/>
      <c r="Y98" s="2480"/>
      <c r="Z98" s="2480"/>
      <c r="AA98" s="2480"/>
      <c r="AB98" s="2480"/>
      <c r="AC98" s="2480"/>
    </row>
    <row r="99" spans="1:29" ht="15.75" thickBot="1">
      <c r="A99" s="375"/>
      <c r="B99" s="500"/>
      <c r="C99" s="501"/>
      <c r="D99" s="501"/>
      <c r="E99" s="501"/>
      <c r="F99" s="501"/>
      <c r="G99" s="521"/>
      <c r="H99" s="521"/>
      <c r="I99" s="521"/>
      <c r="J99" s="521"/>
      <c r="K99" s="521"/>
      <c r="L99" s="521"/>
      <c r="M99" s="522"/>
      <c r="N99" s="2515"/>
      <c r="O99" s="2515"/>
      <c r="P99" s="2506"/>
      <c r="Q99" s="2501"/>
      <c r="R99" s="2480"/>
      <c r="S99" s="2480"/>
      <c r="T99" s="2480"/>
      <c r="U99" s="2480"/>
      <c r="V99" s="2480"/>
      <c r="W99" s="2480"/>
      <c r="X99" s="2480"/>
      <c r="Y99" s="2480"/>
      <c r="Z99" s="2480"/>
      <c r="AA99" s="2480"/>
      <c r="AB99" s="2480"/>
      <c r="AC99" s="2480"/>
    </row>
    <row r="100" spans="1:29">
      <c r="A100" s="379" t="s">
        <v>1694</v>
      </c>
      <c r="B100" s="460" t="s">
        <v>1805</v>
      </c>
      <c r="C100" s="462"/>
      <c r="D100" s="462"/>
      <c r="E100" s="462"/>
      <c r="F100" s="462"/>
      <c r="G100" s="462"/>
      <c r="H100" s="462"/>
      <c r="I100" s="462"/>
      <c r="J100" s="462"/>
      <c r="K100" s="463"/>
      <c r="L100" s="464"/>
      <c r="M100" s="465"/>
      <c r="N100" s="2514"/>
      <c r="O100" s="2514"/>
      <c r="P100" s="2506"/>
      <c r="Q100" s="2501"/>
      <c r="R100" s="2480"/>
      <c r="S100" s="2480"/>
      <c r="T100" s="2480"/>
      <c r="U100" s="2480"/>
      <c r="V100" s="2480"/>
      <c r="W100" s="2480"/>
      <c r="X100" s="2480"/>
      <c r="Y100" s="2480"/>
      <c r="Z100" s="2480"/>
      <c r="AA100" s="2480"/>
      <c r="AB100" s="2480"/>
      <c r="AC100" s="2480"/>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3"/>
      <c r="C103" s="6"/>
      <c r="D103" s="6"/>
      <c r="E103" s="6"/>
      <c r="F103" s="6"/>
      <c r="G103" s="6"/>
      <c r="H103" s="6"/>
      <c r="I103" s="6"/>
      <c r="J103" s="524"/>
      <c r="K103" s="524"/>
      <c r="L103" s="525"/>
      <c r="M103" s="526"/>
      <c r="N103" s="2516"/>
      <c r="O103" s="2516"/>
      <c r="P103" s="2507"/>
      <c r="Q103" s="2508"/>
      <c r="R103" s="2486"/>
      <c r="S103" s="2486"/>
      <c r="T103" s="2486"/>
      <c r="U103" s="2486"/>
      <c r="V103" s="2486"/>
      <c r="W103" s="2486"/>
      <c r="X103" s="2486"/>
      <c r="Y103" s="2486"/>
      <c r="Z103" s="2486"/>
      <c r="AA103" s="2486"/>
      <c r="AB103" s="2486"/>
      <c r="AC103" s="2486"/>
    </row>
    <row r="104" spans="1:29" s="408" customFormat="1" ht="15.75" thickBot="1">
      <c r="A104" s="484"/>
      <c r="B104" s="474"/>
      <c r="C104" s="491"/>
      <c r="D104" s="467"/>
      <c r="E104" s="467"/>
      <c r="F104" s="467"/>
      <c r="G104" s="467"/>
      <c r="H104" s="467"/>
      <c r="I104" s="467"/>
      <c r="J104" s="467"/>
      <c r="K104" s="467"/>
      <c r="L104" s="467"/>
      <c r="M104" s="468"/>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9" t="s">
        <v>1738</v>
      </c>
      <c r="C105" s="485"/>
      <c r="D105" s="485"/>
      <c r="E105" s="513"/>
      <c r="F105" s="513"/>
      <c r="G105" s="513"/>
      <c r="H105" s="513"/>
      <c r="I105" s="513"/>
      <c r="J105" s="513"/>
      <c r="K105" s="514"/>
      <c r="L105" s="515"/>
      <c r="M105" s="516"/>
      <c r="N105" s="2514"/>
      <c r="O105" s="2514"/>
      <c r="P105" s="2506"/>
      <c r="Q105" s="2501"/>
      <c r="R105" s="2480"/>
      <c r="S105" s="2480"/>
      <c r="T105" s="2480"/>
      <c r="U105" s="2480"/>
      <c r="V105" s="2480"/>
      <c r="W105" s="2480"/>
      <c r="X105" s="2480"/>
      <c r="Y105" s="2480"/>
      <c r="Z105" s="2480"/>
      <c r="AA105" s="2480"/>
      <c r="AB105" s="2480"/>
      <c r="AC105" s="2480"/>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9" t="s">
        <v>1740</v>
      </c>
      <c r="C107" s="485"/>
      <c r="D107" s="485"/>
      <c r="E107" s="485"/>
      <c r="F107" s="513"/>
      <c r="G107" s="513"/>
      <c r="H107" s="513"/>
      <c r="I107" s="513"/>
      <c r="J107" s="513"/>
      <c r="K107" s="514"/>
      <c r="L107" s="515"/>
      <c r="M107" s="516"/>
      <c r="N107" s="2514"/>
      <c r="O107" s="2514"/>
      <c r="P107" s="2506"/>
      <c r="Q107" s="2501"/>
      <c r="R107" s="2480"/>
      <c r="S107" s="2480"/>
      <c r="T107" s="2480"/>
      <c r="U107" s="2480"/>
      <c r="V107" s="2480"/>
      <c r="W107" s="2480"/>
      <c r="X107" s="2480"/>
      <c r="Y107" s="2480"/>
      <c r="Z107" s="2480"/>
      <c r="AA107" s="2480"/>
      <c r="AB107" s="2480"/>
      <c r="AC107" s="2480"/>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4"/>
      <c r="O109" s="2514"/>
      <c r="P109" s="2506"/>
      <c r="Q109" s="2501"/>
      <c r="R109" s="2480"/>
      <c r="S109" s="2480"/>
      <c r="T109" s="2480"/>
      <c r="U109" s="2480"/>
      <c r="V109" s="2480"/>
      <c r="W109" s="2480"/>
      <c r="X109" s="2480"/>
      <c r="Y109" s="2480"/>
      <c r="Z109" s="2480"/>
      <c r="AA109" s="2480"/>
      <c r="AB109" s="2480"/>
      <c r="AC109" s="2480"/>
    </row>
    <row r="110" spans="1:29">
      <c r="A110" s="409"/>
      <c r="B110" s="477"/>
      <c r="C110" s="530">
        <v>0.5</v>
      </c>
      <c r="D110" s="530">
        <v>0.6</v>
      </c>
      <c r="E110" s="530">
        <v>0.7</v>
      </c>
      <c r="F110" s="530">
        <v>0.8</v>
      </c>
      <c r="G110" s="530">
        <v>0.9</v>
      </c>
      <c r="H110" s="530">
        <v>1.0001</v>
      </c>
      <c r="I110" s="548"/>
      <c r="J110" s="548"/>
      <c r="K110" s="549"/>
      <c r="L110" s="550"/>
      <c r="M110" s="551"/>
      <c r="N110" s="2514"/>
      <c r="O110" s="2514"/>
      <c r="P110" s="2506"/>
      <c r="Q110" s="2501"/>
      <c r="R110" s="2480"/>
      <c r="S110" s="2480"/>
      <c r="T110" s="2480"/>
      <c r="U110" s="2480"/>
      <c r="V110" s="2480"/>
      <c r="W110" s="2480"/>
      <c r="X110" s="2480"/>
      <c r="Y110" s="2480"/>
      <c r="Z110" s="2480"/>
      <c r="AA110" s="2480"/>
      <c r="AB110" s="2480"/>
      <c r="AC110" s="2480"/>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9" t="s">
        <v>1742</v>
      </c>
      <c r="C112" s="485"/>
      <c r="D112" s="485"/>
      <c r="E112" s="485"/>
      <c r="F112" s="485"/>
      <c r="G112" s="485"/>
      <c r="H112" s="513"/>
      <c r="I112" s="513"/>
      <c r="J112" s="513"/>
      <c r="K112" s="514"/>
      <c r="L112" s="515"/>
      <c r="M112" s="516"/>
      <c r="N112" s="2516"/>
      <c r="O112" s="2516"/>
      <c r="P112" s="2507"/>
      <c r="Q112" s="2508"/>
      <c r="R112" s="2486"/>
      <c r="S112" s="2486"/>
      <c r="T112" s="2486"/>
      <c r="U112" s="2486"/>
      <c r="V112" s="2486"/>
      <c r="W112" s="2486"/>
      <c r="X112" s="2486"/>
      <c r="Y112" s="2486"/>
      <c r="Z112" s="2486"/>
      <c r="AA112" s="2486"/>
      <c r="AB112" s="2486"/>
      <c r="AC112" s="2486"/>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9" t="s">
        <v>1806</v>
      </c>
      <c r="C114" s="485"/>
      <c r="D114" s="485"/>
      <c r="E114" s="513"/>
      <c r="F114" s="513"/>
      <c r="G114" s="513"/>
      <c r="H114" s="513"/>
      <c r="I114" s="513"/>
      <c r="J114" s="513"/>
      <c r="K114" s="514"/>
      <c r="L114" s="515"/>
      <c r="M114" s="516"/>
      <c r="N114" s="2514"/>
      <c r="O114" s="2514"/>
      <c r="P114" s="2506"/>
      <c r="Q114" s="2501"/>
      <c r="R114" s="2480"/>
      <c r="S114" s="2480"/>
      <c r="T114" s="2480"/>
      <c r="U114" s="2480"/>
      <c r="V114" s="2480"/>
      <c r="W114" s="2480"/>
      <c r="X114" s="2480"/>
      <c r="Y114" s="2480"/>
      <c r="Z114" s="2480"/>
      <c r="AA114" s="2480"/>
      <c r="AB114" s="2480"/>
      <c r="AC114" s="2480"/>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9" t="s">
        <v>1807</v>
      </c>
      <c r="C116" s="485"/>
      <c r="D116" s="485"/>
      <c r="E116" s="485"/>
      <c r="F116" s="485"/>
      <c r="G116" s="485"/>
      <c r="H116" s="513"/>
      <c r="I116" s="513"/>
      <c r="J116" s="513"/>
      <c r="K116" s="514"/>
      <c r="L116" s="515"/>
      <c r="M116" s="516"/>
      <c r="N116" s="2514"/>
      <c r="O116" s="2514"/>
      <c r="P116" s="2506"/>
      <c r="Q116" s="2501"/>
      <c r="R116" s="2480"/>
      <c r="S116" s="2480"/>
      <c r="T116" s="2480"/>
      <c r="U116" s="2480"/>
      <c r="V116" s="2480"/>
      <c r="W116" s="2480"/>
      <c r="X116" s="2480"/>
      <c r="Y116" s="2480"/>
      <c r="Z116" s="2480"/>
      <c r="AA116" s="2480"/>
      <c r="AB116" s="2480"/>
      <c r="AC116" s="2480"/>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9" t="s">
        <v>1808</v>
      </c>
      <c r="C118" s="552"/>
      <c r="D118" s="552"/>
      <c r="E118" s="552"/>
      <c r="F118" s="552"/>
      <c r="G118" s="552"/>
      <c r="H118" s="486"/>
      <c r="I118" s="486"/>
      <c r="J118" s="486"/>
      <c r="K118" s="486"/>
      <c r="L118" s="487"/>
      <c r="M118" s="488"/>
      <c r="N118" s="2514"/>
      <c r="O118" s="2514"/>
      <c r="P118" s="2506"/>
      <c r="Q118" s="2501"/>
      <c r="R118" s="2480"/>
      <c r="S118" s="2480"/>
      <c r="T118" s="2480"/>
      <c r="U118" s="2480"/>
      <c r="V118" s="2480"/>
      <c r="W118" s="2480"/>
      <c r="X118" s="2480"/>
      <c r="Y118" s="2480"/>
      <c r="Z118" s="2480"/>
      <c r="AA118" s="2480"/>
      <c r="AB118" s="2480"/>
      <c r="AC118" s="2480"/>
    </row>
    <row r="119" spans="1:29" ht="15.75" thickBot="1">
      <c r="A119" s="367"/>
      <c r="B119" s="474"/>
      <c r="C119" s="491"/>
      <c r="D119" s="467"/>
      <c r="E119" s="467"/>
      <c r="F119" s="467"/>
      <c r="G119" s="467"/>
      <c r="H119" s="467"/>
      <c r="I119" s="467"/>
      <c r="J119" s="467"/>
      <c r="K119" s="467"/>
      <c r="L119" s="467"/>
      <c r="M119" s="468"/>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9" t="s">
        <v>1809</v>
      </c>
      <c r="C120" s="513"/>
      <c r="D120" s="513"/>
      <c r="E120" s="513"/>
      <c r="F120" s="513"/>
      <c r="G120" s="486"/>
      <c r="H120" s="486"/>
      <c r="I120" s="486"/>
      <c r="J120" s="486"/>
      <c r="K120" s="486"/>
      <c r="L120" s="487"/>
      <c r="M120" s="488"/>
      <c r="N120" s="2516"/>
      <c r="O120" s="2516"/>
      <c r="P120" s="2507"/>
      <c r="Q120" s="2508"/>
      <c r="R120" s="2486"/>
      <c r="S120" s="2486"/>
      <c r="T120" s="2486"/>
      <c r="U120" s="2486"/>
      <c r="V120" s="2486"/>
      <c r="W120" s="2486"/>
      <c r="X120" s="2486"/>
      <c r="Y120" s="2486"/>
      <c r="Z120" s="2486"/>
      <c r="AA120" s="2486"/>
      <c r="AB120" s="2486"/>
      <c r="AC120" s="2486"/>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9" t="s">
        <v>1744</v>
      </c>
      <c r="C122" s="485"/>
      <c r="D122" s="485"/>
      <c r="E122" s="485"/>
      <c r="F122" s="513"/>
      <c r="G122" s="513"/>
      <c r="H122" s="513"/>
      <c r="I122" s="513"/>
      <c r="J122" s="513"/>
      <c r="K122" s="514"/>
      <c r="L122" s="515"/>
      <c r="M122" s="516"/>
      <c r="N122" s="2514"/>
      <c r="O122" s="2514"/>
      <c r="P122" s="2506"/>
      <c r="Q122" s="2501"/>
      <c r="R122" s="2480"/>
      <c r="S122" s="2480"/>
      <c r="T122" s="2480"/>
      <c r="U122" s="2480"/>
      <c r="V122" s="2480"/>
      <c r="W122" s="2480"/>
      <c r="X122" s="2480"/>
      <c r="Y122" s="2480"/>
      <c r="Z122" s="2480"/>
      <c r="AA122" s="2480"/>
      <c r="AB122" s="2480"/>
      <c r="AC122" s="2480"/>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4"/>
      <c r="O124" s="2514"/>
      <c r="P124" s="2507"/>
      <c r="Q124" s="2501"/>
      <c r="R124" s="2480"/>
      <c r="S124" s="2480"/>
      <c r="T124" s="2480"/>
      <c r="U124" s="2480"/>
      <c r="V124" s="2480"/>
      <c r="W124" s="2480"/>
      <c r="X124" s="2480"/>
      <c r="Y124" s="2480"/>
      <c r="Z124" s="2480"/>
      <c r="AA124" s="2480"/>
      <c r="AB124" s="2480"/>
      <c r="AC124" s="2480"/>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5"/>
      <c r="O125" s="2515"/>
      <c r="P125" s="2506"/>
      <c r="Q125" s="2501"/>
      <c r="R125" s="2480"/>
      <c r="S125" s="2480"/>
      <c r="T125" s="2480"/>
      <c r="U125" s="2480"/>
      <c r="V125" s="2480"/>
      <c r="W125" s="2480"/>
      <c r="X125" s="2480"/>
      <c r="Y125" s="2480"/>
      <c r="Z125" s="2480"/>
      <c r="AA125" s="2480"/>
      <c r="AB125" s="2480"/>
      <c r="AC125" s="2480"/>
    </row>
    <row r="126" spans="1:29" s="408" customFormat="1" ht="15" thickTop="1">
      <c r="A126" s="406"/>
      <c r="B126" s="469">
        <f>B44</f>
        <v>111</v>
      </c>
      <c r="C126" s="485"/>
      <c r="D126" s="485"/>
      <c r="E126" s="485"/>
      <c r="F126" s="485"/>
      <c r="G126" s="485"/>
      <c r="H126" s="486"/>
      <c r="I126" s="486"/>
      <c r="J126" s="486"/>
      <c r="K126" s="486"/>
      <c r="L126" s="487"/>
      <c r="M126" s="488"/>
      <c r="N126" s="2516"/>
      <c r="O126" s="2516"/>
      <c r="P126" s="2507"/>
      <c r="Q126" s="2508"/>
      <c r="R126" s="2486"/>
      <c r="S126" s="2486"/>
      <c r="T126" s="2486"/>
      <c r="U126" s="2486"/>
      <c r="V126" s="2486"/>
      <c r="W126" s="2486"/>
      <c r="X126" s="2486"/>
      <c r="Y126" s="2486"/>
      <c r="Z126" s="2486"/>
      <c r="AA126" s="2486"/>
      <c r="AB126" s="2486"/>
      <c r="AC126" s="2486"/>
    </row>
    <row r="127" spans="1:29" s="408" customFormat="1" ht="15.75" thickBot="1">
      <c r="A127" s="484"/>
      <c r="B127" s="474"/>
      <c r="C127" s="491"/>
      <c r="D127" s="467"/>
      <c r="E127" s="467"/>
      <c r="F127" s="467"/>
      <c r="G127" s="491"/>
      <c r="H127" s="493"/>
      <c r="I127" s="493"/>
      <c r="J127" s="493"/>
      <c r="K127" s="493"/>
      <c r="L127" s="493"/>
      <c r="M127" s="494"/>
      <c r="N127" s="2516"/>
      <c r="O127" s="2516"/>
      <c r="P127" s="2507"/>
      <c r="Q127" s="2508"/>
      <c r="R127" s="2486"/>
      <c r="S127" s="2486"/>
      <c r="T127" s="2486"/>
      <c r="U127" s="2486"/>
      <c r="V127" s="2486"/>
      <c r="W127" s="2486"/>
      <c r="X127" s="2486"/>
      <c r="Y127" s="2486"/>
      <c r="Z127" s="2486"/>
      <c r="AA127" s="2486"/>
      <c r="AB127" s="2486"/>
      <c r="AC127" s="2486"/>
    </row>
    <row r="128" spans="1:29" ht="15" thickTop="1">
      <c r="A128" s="409"/>
      <c r="B128" s="469">
        <f>B45</f>
        <v>111</v>
      </c>
      <c r="C128" s="485"/>
      <c r="D128" s="485"/>
      <c r="E128" s="485"/>
      <c r="F128" s="485"/>
      <c r="G128" s="513"/>
      <c r="H128" s="513"/>
      <c r="I128" s="513"/>
      <c r="J128" s="513"/>
      <c r="K128" s="514"/>
      <c r="L128" s="515"/>
      <c r="M128" s="516"/>
      <c r="N128" s="2514"/>
      <c r="O128" s="2514"/>
      <c r="P128" s="2506"/>
      <c r="Q128" s="2501"/>
      <c r="R128" s="2480"/>
      <c r="S128" s="2480"/>
      <c r="T128" s="2480"/>
      <c r="U128" s="2480"/>
      <c r="V128" s="2480"/>
      <c r="W128" s="2480"/>
      <c r="X128" s="2480"/>
      <c r="Y128" s="2480"/>
      <c r="Z128" s="2480"/>
      <c r="AA128" s="2480"/>
      <c r="AB128" s="2480"/>
      <c r="AC128" s="2480"/>
    </row>
    <row r="129" spans="1:29" ht="15.75" thickBot="1">
      <c r="A129" s="367"/>
      <c r="B129" s="474"/>
      <c r="C129" s="491"/>
      <c r="D129" s="467"/>
      <c r="E129" s="467"/>
      <c r="F129" s="467"/>
      <c r="G129" s="467"/>
      <c r="H129" s="467"/>
      <c r="I129" s="467"/>
      <c r="J129" s="467"/>
      <c r="K129" s="467"/>
      <c r="L129" s="467"/>
      <c r="M129" s="468"/>
      <c r="N129" s="2515"/>
      <c r="O129" s="2515"/>
      <c r="P129" s="2506"/>
      <c r="Q129" s="2501"/>
      <c r="R129" s="2480"/>
      <c r="S129" s="2480"/>
      <c r="T129" s="2480"/>
      <c r="U129" s="2480"/>
      <c r="V129" s="2480"/>
      <c r="W129" s="2480"/>
      <c r="X129" s="2480"/>
      <c r="Y129" s="2480"/>
      <c r="Z129" s="2480"/>
      <c r="AA129" s="2480"/>
      <c r="AB129" s="2480"/>
      <c r="AC129" s="2480"/>
    </row>
    <row r="130" spans="1:29" ht="15" thickTop="1">
      <c r="A130" s="409"/>
      <c r="B130" s="477">
        <f>B46</f>
        <v>111</v>
      </c>
      <c r="C130" s="485"/>
      <c r="D130" s="485"/>
      <c r="E130" s="485"/>
      <c r="F130" s="485"/>
      <c r="G130" s="517"/>
      <c r="H130" s="517"/>
      <c r="I130" s="517"/>
      <c r="J130" s="517"/>
      <c r="K130" s="31"/>
      <c r="L130" s="457"/>
      <c r="M130" s="520"/>
      <c r="N130" s="2514"/>
      <c r="O130" s="2514"/>
      <c r="P130" s="2506"/>
      <c r="Q130" s="2501"/>
      <c r="R130" s="2480"/>
      <c r="S130" s="2480"/>
      <c r="T130" s="2480"/>
      <c r="U130" s="2480"/>
      <c r="V130" s="2480"/>
      <c r="W130" s="2480"/>
      <c r="X130" s="2480"/>
      <c r="Y130" s="2480"/>
      <c r="Z130" s="2480"/>
      <c r="AA130" s="2480"/>
      <c r="AB130" s="2480"/>
      <c r="AC130" s="2480"/>
    </row>
    <row r="131" spans="1:29" ht="15.75" thickBot="1">
      <c r="A131" s="375"/>
      <c r="B131" s="500"/>
      <c r="C131" s="501"/>
      <c r="D131" s="501"/>
      <c r="E131" s="501"/>
      <c r="F131" s="501"/>
      <c r="G131" s="521"/>
      <c r="H131" s="521"/>
      <c r="I131" s="521"/>
      <c r="J131" s="521"/>
      <c r="K131" s="521"/>
      <c r="L131" s="521"/>
      <c r="M131" s="522"/>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cfRule type="containsText" dxfId="108" priority="17" stopIfTrue="1" operator="containsText" text="超过">
      <formula>NOT(ISERROR(SEARCH("超过",F52)))</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G54">
    <cfRule type="expression" dxfId="105" priority="13"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conditionalFormatting sqref="J52:J54">
    <cfRule type="containsText" dxfId="9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4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1660</v>
      </c>
      <c r="B1" s="1802" t="s">
        <v>1810</v>
      </c>
      <c r="C1" s="1137" t="s">
        <v>1662</v>
      </c>
      <c r="D1" s="1138"/>
      <c r="E1" s="3122"/>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IF(E1="项目模式",IF(C2="——",ROUND(C50*D3/10000,0),ROUND(C50*D3/10000,0)-D2),IF(E1="单套模式",IF(C2="——",ROUND(C50*D3/10000,4),ROUND(C50*D3/10000,4)-D2)))</f>
        <v>0</v>
      </c>
      <c r="C2" s="1733"/>
      <c r="D2" s="1048" t="e">
        <f ca="1">IF(E1="项目模式",SUMIF(INDIRECT("'"&amp;F2&amp;"'"&amp;"!A:A"),"承租人权益价值",INDIRECT("'"&amp;F2&amp;"'"&amp;"!c:c")),SUMIF(INDIRECT("'"&amp;F2&amp;"'"&amp;"!A:A"),"承租人权益价值（单套）",INDIRECT("'"&amp;F2&amp;"'"&amp;"!c:c")))</f>
        <v>#REF!</v>
      </c>
      <c r="E2" s="1734" t="s">
        <v>1463</v>
      </c>
      <c r="F2" s="1735"/>
      <c r="G2" s="851"/>
      <c r="H2" s="851"/>
      <c r="I2" s="851"/>
      <c r="J2" s="851"/>
      <c r="K2" s="851"/>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154.79</v>
      </c>
      <c r="E3" s="1799"/>
      <c r="F3" s="852"/>
      <c r="G3" s="851"/>
      <c r="H3" s="851"/>
      <c r="I3" s="851"/>
      <c r="J3" s="851"/>
      <c r="K3" s="853"/>
      <c r="L3" s="2496"/>
      <c r="M3" s="2497"/>
      <c r="N3" s="2497"/>
      <c r="O3" s="2497"/>
      <c r="P3" s="341"/>
      <c r="Q3" s="341"/>
      <c r="R3" s="341"/>
      <c r="S3" s="341"/>
      <c r="T3" s="341"/>
      <c r="U3" s="341"/>
      <c r="V3" s="341"/>
      <c r="W3" s="341"/>
      <c r="X3" s="341"/>
      <c r="Y3" s="341"/>
      <c r="Z3" s="341"/>
      <c r="AA3" s="341"/>
      <c r="AB3" s="341"/>
      <c r="AC3" s="663"/>
    </row>
    <row r="4" spans="1:29" ht="15">
      <c r="A4" s="345" t="s">
        <v>1769</v>
      </c>
      <c r="B4" s="346"/>
      <c r="C4" s="3395" t="s">
        <v>1770</v>
      </c>
      <c r="D4" s="3396"/>
      <c r="E4" s="3397" t="s">
        <v>1771</v>
      </c>
      <c r="F4" s="3398"/>
      <c r="G4" s="3395" t="s">
        <v>1772</v>
      </c>
      <c r="H4" s="3396"/>
      <c r="I4" s="3395" t="s">
        <v>1773</v>
      </c>
      <c r="J4" s="3396"/>
      <c r="K4" s="537" t="s">
        <v>1774</v>
      </c>
      <c r="L4" s="2479"/>
      <c r="M4" s="2480"/>
      <c r="N4" s="2480"/>
      <c r="O4" s="2480"/>
      <c r="P4" s="3428" t="s">
        <v>1775</v>
      </c>
      <c r="Q4" s="3429"/>
      <c r="R4" s="3432" t="s">
        <v>1771</v>
      </c>
      <c r="S4" s="3433"/>
      <c r="T4" s="3432" t="s">
        <v>1772</v>
      </c>
      <c r="U4" s="3433"/>
      <c r="V4" s="3434" t="s">
        <v>1773</v>
      </c>
      <c r="W4" s="3434"/>
      <c r="X4" s="1803"/>
      <c r="Y4" s="3432" t="s">
        <v>1775</v>
      </c>
      <c r="Z4" s="3433"/>
      <c r="AA4" s="3436" t="s">
        <v>1771</v>
      </c>
      <c r="AB4" s="3436" t="s">
        <v>1772</v>
      </c>
      <c r="AC4" s="3425" t="s">
        <v>1773</v>
      </c>
    </row>
    <row r="5" spans="1:29" ht="15">
      <c r="A5" s="348"/>
      <c r="B5" s="349"/>
      <c r="C5" s="3413" t="s">
        <v>1673</v>
      </c>
      <c r="D5" s="3414"/>
      <c r="E5" s="3420" t="s">
        <v>1674</v>
      </c>
      <c r="F5" s="3421"/>
      <c r="G5" s="3413" t="s">
        <v>1675</v>
      </c>
      <c r="H5" s="3414"/>
      <c r="I5" s="3413" t="s">
        <v>1676</v>
      </c>
      <c r="J5" s="3414"/>
      <c r="K5" s="537"/>
      <c r="L5" s="2479"/>
      <c r="M5" s="2480"/>
      <c r="N5" s="2480"/>
      <c r="O5" s="2480"/>
      <c r="P5" s="3430"/>
      <c r="Q5" s="3402"/>
      <c r="R5" s="3407"/>
      <c r="S5" s="3408"/>
      <c r="T5" s="3407"/>
      <c r="U5" s="3408"/>
      <c r="V5" s="3381"/>
      <c r="W5" s="3381"/>
      <c r="X5" s="1261"/>
      <c r="Y5" s="3407"/>
      <c r="Z5" s="3408"/>
      <c r="AA5" s="3393"/>
      <c r="AB5" s="3393"/>
      <c r="AC5" s="3426"/>
    </row>
    <row r="6" spans="1:29" ht="15.75" thickBot="1">
      <c r="A6" s="350"/>
      <c r="B6" s="351"/>
      <c r="C6" s="3411" t="s">
        <v>1677</v>
      </c>
      <c r="D6" s="3412"/>
      <c r="E6" s="3418" t="s">
        <v>1677</v>
      </c>
      <c r="F6" s="3419"/>
      <c r="G6" s="3411" t="s">
        <v>1677</v>
      </c>
      <c r="H6" s="3412"/>
      <c r="I6" s="3411" t="s">
        <v>1677</v>
      </c>
      <c r="J6" s="3412"/>
      <c r="K6" s="537" t="s">
        <v>1678</v>
      </c>
      <c r="L6" s="2479"/>
      <c r="M6" s="2480"/>
      <c r="N6" s="2480"/>
      <c r="O6" s="2480"/>
      <c r="P6" s="3431"/>
      <c r="Q6" s="3404"/>
      <c r="R6" s="3407"/>
      <c r="S6" s="3408"/>
      <c r="T6" s="3409"/>
      <c r="U6" s="3410"/>
      <c r="V6" s="3381"/>
      <c r="W6" s="3381"/>
      <c r="X6" s="1261"/>
      <c r="Y6" s="3409"/>
      <c r="Z6" s="3410"/>
      <c r="AA6" s="3394"/>
      <c r="AB6" s="3394"/>
      <c r="AC6" s="3427"/>
    </row>
    <row r="7" spans="1:29" s="102" customFormat="1" ht="15.75" thickBot="1">
      <c r="A7" s="352" t="s">
        <v>1679</v>
      </c>
      <c r="B7" s="353"/>
      <c r="C7" s="354">
        <f>'数据-取费表'!B2</f>
        <v>45940</v>
      </c>
      <c r="D7" s="355">
        <v>100</v>
      </c>
      <c r="E7" s="356"/>
      <c r="F7" s="357">
        <f>SUMIF(59:59,YEAR(E7)&amp;"-"&amp;MONTH(E7),60:60)</f>
        <v>0</v>
      </c>
      <c r="G7" s="356"/>
      <c r="H7" s="355">
        <f>SUMIF(59:59,YEAR(G7)&amp;"-"&amp;MONTH(G7),60:60)</f>
        <v>0</v>
      </c>
      <c r="I7" s="356"/>
      <c r="J7" s="355">
        <f>SUMIF(59:59,YEAR(I7)&amp;"-"&amp;MONTH(I7),60:60)</f>
        <v>0</v>
      </c>
      <c r="K7" s="38"/>
      <c r="L7" s="2481"/>
      <c r="M7" s="2432"/>
      <c r="N7" s="2432"/>
      <c r="O7" s="2432"/>
      <c r="P7" s="343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798"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1"/>
      <c r="M8" s="2432"/>
      <c r="N8" s="2432"/>
      <c r="O8" s="2432"/>
      <c r="P8" s="3435" t="s">
        <v>1683</v>
      </c>
      <c r="Q8" s="3416"/>
      <c r="R8" s="664" t="s">
        <v>14</v>
      </c>
      <c r="S8" s="665">
        <f t="shared" si="0"/>
        <v>100</v>
      </c>
      <c r="T8" s="664" t="s">
        <v>14</v>
      </c>
      <c r="U8" s="665">
        <f t="shared" si="1"/>
        <v>100</v>
      </c>
      <c r="V8" s="664" t="s">
        <v>14</v>
      </c>
      <c r="W8" s="665">
        <f t="shared" si="2"/>
        <v>100</v>
      </c>
      <c r="X8" s="666"/>
      <c r="Y8" s="3415" t="s">
        <v>1683</v>
      </c>
      <c r="Z8" s="3416"/>
      <c r="AA8" s="50">
        <f t="shared" ref="AA8:AA47" si="3">D8/F8</f>
        <v>1</v>
      </c>
      <c r="AB8" s="50">
        <f t="shared" ref="AB8:AB47" si="4">D8/H8</f>
        <v>1</v>
      </c>
      <c r="AC8" s="798">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1"/>
      <c r="M9" s="2432"/>
      <c r="N9" s="2432"/>
      <c r="O9" s="2432"/>
      <c r="P9" s="339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798">
        <f t="shared" si="5"/>
        <v>1</v>
      </c>
    </row>
    <row r="10" spans="1:29" s="366" customFormat="1" ht="27">
      <c r="A10" s="363"/>
      <c r="B10" s="364" t="s">
        <v>1688</v>
      </c>
      <c r="C10" s="3123"/>
      <c r="D10" s="119">
        <v>100</v>
      </c>
      <c r="E10" s="3123"/>
      <c r="F10" s="119">
        <f>SUMIF(66:66,E10,67:67)-SUMIF(66:66,C10,67:67)+100</f>
        <v>100</v>
      </c>
      <c r="G10" s="3124"/>
      <c r="H10" s="119">
        <f>SUMIF(66:66,G10,67:67)-SUMIF(66:66,C10,67:67)+100</f>
        <v>100</v>
      </c>
      <c r="I10" s="3123"/>
      <c r="J10" s="119">
        <f>SUMIF(66:66,I10,67:67)-SUMIF(66:66,C10,67:67)+100</f>
        <v>100</v>
      </c>
      <c r="K10" s="38"/>
      <c r="L10" s="2482"/>
      <c r="M10" s="2483"/>
      <c r="N10" s="2483"/>
      <c r="O10" s="2483"/>
      <c r="P10" s="339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798">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4"/>
      <c r="M11" s="2480"/>
      <c r="N11" s="2480"/>
      <c r="O11" s="2480"/>
      <c r="P11" s="3391"/>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798">
        <f t="shared" si="5"/>
        <v>1</v>
      </c>
    </row>
    <row r="12" spans="1:29" s="102" customFormat="1" ht="15">
      <c r="A12" s="370"/>
      <c r="B12" s="447">
        <v>111</v>
      </c>
      <c r="C12" s="371"/>
      <c r="D12" s="372">
        <v>100</v>
      </c>
      <c r="E12" s="371"/>
      <c r="F12" s="119">
        <f>SUMIF(71:71,E12,72:72)-SUMIF(71:71,C12,72:72)+100</f>
        <v>100</v>
      </c>
      <c r="G12" s="1804"/>
      <c r="H12" s="119">
        <f>SUMIF(71:71,G12,72:72)-SUMIF(71:71,C12,72:72)+100</f>
        <v>100</v>
      </c>
      <c r="I12" s="371"/>
      <c r="J12" s="119">
        <f>SUMIF(71:71,I12,72:72)-SUMIF(71:71,C12,72:72)+100</f>
        <v>100</v>
      </c>
      <c r="K12" s="539"/>
      <c r="L12" s="2481"/>
      <c r="M12" s="2432"/>
      <c r="N12" s="2432"/>
      <c r="O12" s="2432"/>
      <c r="P12" s="3391"/>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798">
        <f>D12/J12</f>
        <v>1</v>
      </c>
    </row>
    <row r="13" spans="1:29" ht="15">
      <c r="A13" s="367"/>
      <c r="B13" s="447">
        <v>111</v>
      </c>
      <c r="C13" s="373"/>
      <c r="D13" s="374">
        <v>100</v>
      </c>
      <c r="E13" s="371"/>
      <c r="F13" s="119">
        <f>SUMIF(73:73,E13,74:74)-SUMIF(73:73,C13,74:74)+100</f>
        <v>100</v>
      </c>
      <c r="G13" s="1804"/>
      <c r="H13" s="374">
        <f>SUMIF(73:73,G13,74:74)-SUMIF(73:73,C13,74:74)+100</f>
        <v>100</v>
      </c>
      <c r="I13" s="371"/>
      <c r="J13" s="374">
        <f>SUMIF(73:73,I13,74:74)-SUMIF(73:73,C13,74:74)+100</f>
        <v>100</v>
      </c>
      <c r="K13" s="539"/>
      <c r="L13" s="2485"/>
      <c r="M13" s="2480"/>
      <c r="N13" s="2480"/>
      <c r="O13" s="2480"/>
      <c r="P13" s="3391"/>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798">
        <f t="shared" si="5"/>
        <v>1</v>
      </c>
    </row>
    <row r="14" spans="1:29" ht="15.75" thickBot="1">
      <c r="A14" s="375"/>
      <c r="B14" s="1745">
        <v>111</v>
      </c>
      <c r="C14" s="376"/>
      <c r="D14" s="377">
        <v>100</v>
      </c>
      <c r="E14" s="553"/>
      <c r="F14" s="377">
        <f>SUMIF(75:75,E14,76:76)-SUMIF(75:75,C14,76:76)+100</f>
        <v>100</v>
      </c>
      <c r="G14" s="1804"/>
      <c r="H14" s="377">
        <f>SUMIF(75:75,G14,76:76)-SUMIF(75:75,C14,76:76)+100</f>
        <v>100</v>
      </c>
      <c r="I14" s="371"/>
      <c r="J14" s="377">
        <f>SUMIF(75:75,I14,76:76)-SUMIF(75:75,C14,76:76)+100</f>
        <v>100</v>
      </c>
      <c r="K14" s="539"/>
      <c r="L14" s="2485"/>
      <c r="M14" s="2480"/>
      <c r="N14" s="2480"/>
      <c r="O14" s="2480"/>
      <c r="P14" s="3391"/>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798">
        <f t="shared" si="5"/>
        <v>1</v>
      </c>
    </row>
    <row r="15" spans="1:29" ht="85.5">
      <c r="A15" s="379" t="s">
        <v>1690</v>
      </c>
      <c r="B15" s="554" t="s">
        <v>1811</v>
      </c>
      <c r="C15" s="1805" t="str">
        <f>估价对象房地状况!C5</f>
        <v>估价对象位于北京城市副中心商务中心区，周边办公楼项目较多，入驻率较高，办公集聚程度较好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5"/>
      <c r="M15" s="2480"/>
      <c r="N15" s="2480"/>
      <c r="O15" s="2480"/>
      <c r="P15" s="3389" t="s">
        <v>1691</v>
      </c>
      <c r="Q15" s="1259" t="str">
        <f t="shared" si="6"/>
        <v>办公集聚程度</v>
      </c>
      <c r="R15" s="667" t="s">
        <v>14</v>
      </c>
      <c r="S15" s="668">
        <f t="shared" si="0"/>
        <v>100</v>
      </c>
      <c r="T15" s="667" t="s">
        <v>14</v>
      </c>
      <c r="U15" s="668">
        <f t="shared" si="1"/>
        <v>100</v>
      </c>
      <c r="V15" s="667" t="s">
        <v>14</v>
      </c>
      <c r="W15" s="668">
        <f t="shared" si="2"/>
        <v>100</v>
      </c>
      <c r="X15" s="1261"/>
      <c r="Y15" s="3382" t="s">
        <v>1691</v>
      </c>
      <c r="Z15" s="1260" t="str">
        <f t="shared" si="7"/>
        <v>办公集聚程度</v>
      </c>
      <c r="AA15" s="1260">
        <f t="shared" si="3"/>
        <v>1</v>
      </c>
      <c r="AB15" s="1260">
        <f t="shared" si="4"/>
        <v>1</v>
      </c>
      <c r="AC15" s="1806">
        <f t="shared" si="5"/>
        <v>1</v>
      </c>
    </row>
    <row r="16" spans="1:29" ht="15">
      <c r="A16" s="367"/>
      <c r="B16" s="555"/>
      <c r="C16" s="1754"/>
      <c r="D16" s="387"/>
      <c r="E16" s="386"/>
      <c r="F16" s="387"/>
      <c r="G16" s="1754"/>
      <c r="H16" s="389"/>
      <c r="I16" s="386"/>
      <c r="J16" s="387"/>
      <c r="K16" s="541"/>
      <c r="L16" s="2485"/>
      <c r="M16" s="2480"/>
      <c r="N16" s="2480"/>
      <c r="O16" s="2480"/>
      <c r="P16" s="3390"/>
      <c r="Q16" s="1259"/>
      <c r="R16" s="667"/>
      <c r="S16" s="668"/>
      <c r="T16" s="667"/>
      <c r="U16" s="668"/>
      <c r="V16" s="667"/>
      <c r="W16" s="668"/>
      <c r="X16" s="1261"/>
      <c r="Y16" s="3383"/>
      <c r="Z16" s="1260"/>
      <c r="AA16" s="1260">
        <v>1</v>
      </c>
      <c r="AB16" s="1260">
        <v>1</v>
      </c>
      <c r="AC16" s="1806">
        <v>1</v>
      </c>
    </row>
    <row r="17" spans="1:29" ht="99.75">
      <c r="A17" s="367"/>
      <c r="B17" s="556" t="s">
        <v>1259</v>
      </c>
      <c r="C17" s="1807" t="str">
        <f>估价对象房地状况!C6</f>
        <v>估价对象周边有196路、B38路、Y25路等多条公交线路，综合评价交通便捷度一般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85"/>
      <c r="M17" s="2480"/>
      <c r="N17" s="2480"/>
      <c r="O17" s="2480"/>
      <c r="P17" s="3390"/>
      <c r="Q17" s="1259" t="str">
        <f>B17</f>
        <v>交通便捷度</v>
      </c>
      <c r="R17" s="667" t="s">
        <v>14</v>
      </c>
      <c r="S17" s="668">
        <f>F17</f>
        <v>100</v>
      </c>
      <c r="T17" s="667" t="s">
        <v>14</v>
      </c>
      <c r="U17" s="668">
        <f>H17</f>
        <v>100</v>
      </c>
      <c r="V17" s="667" t="s">
        <v>14</v>
      </c>
      <c r="W17" s="668">
        <f>J17</f>
        <v>100</v>
      </c>
      <c r="X17" s="1261"/>
      <c r="Y17" s="3383"/>
      <c r="Z17" s="1260" t="str">
        <f>Q17</f>
        <v>交通便捷度</v>
      </c>
      <c r="AA17" s="1260">
        <f t="shared" si="3"/>
        <v>1</v>
      </c>
      <c r="AB17" s="1260">
        <f t="shared" si="4"/>
        <v>1</v>
      </c>
      <c r="AC17" s="1806">
        <f t="shared" si="5"/>
        <v>1</v>
      </c>
    </row>
    <row r="18" spans="1:29" ht="15">
      <c r="A18" s="367"/>
      <c r="B18" s="401"/>
      <c r="C18" s="1808"/>
      <c r="D18" s="389"/>
      <c r="E18" s="1752"/>
      <c r="F18" s="389"/>
      <c r="G18" s="1753"/>
      <c r="H18" s="387"/>
      <c r="I18" s="1753"/>
      <c r="J18" s="387"/>
      <c r="K18" s="541"/>
      <c r="L18" s="2485"/>
      <c r="M18" s="2480"/>
      <c r="N18" s="2480"/>
      <c r="O18" s="2480"/>
      <c r="P18" s="3390"/>
      <c r="Q18" s="1259"/>
      <c r="R18" s="667"/>
      <c r="S18" s="668"/>
      <c r="T18" s="667"/>
      <c r="U18" s="668"/>
      <c r="V18" s="667"/>
      <c r="W18" s="668"/>
      <c r="X18" s="1261"/>
      <c r="Y18" s="3383"/>
      <c r="Z18" s="1260"/>
      <c r="AA18" s="1260">
        <v>1</v>
      </c>
      <c r="AB18" s="1260">
        <v>1</v>
      </c>
      <c r="AC18" s="1806">
        <v>1</v>
      </c>
    </row>
    <row r="19" spans="1:29" ht="313.5">
      <c r="A19" s="367"/>
      <c r="B19" s="556" t="s">
        <v>1812</v>
      </c>
      <c r="C19" s="1807" t="str">
        <f>估价对象房地状况!C7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19" s="394">
        <v>100</v>
      </c>
      <c r="E19" s="398"/>
      <c r="F19" s="394">
        <f>SUMIF(81:81,E20,82:82)-SUMIF(81:81,C20,82:82)+100</f>
        <v>100</v>
      </c>
      <c r="G19" s="396"/>
      <c r="H19" s="389">
        <f>SUMIF(81:81,G20,82:82)-SUMIF(81:81,C20,82:82)+100</f>
        <v>100</v>
      </c>
      <c r="I19" s="396"/>
      <c r="J19" s="389">
        <f>SUMIF(81:81,I20,82:82)-SUMIF(81:81,C20,82:82)+100</f>
        <v>100</v>
      </c>
      <c r="K19" s="540"/>
      <c r="L19" s="2485"/>
      <c r="M19" s="2480"/>
      <c r="N19" s="2480"/>
      <c r="O19" s="2480"/>
      <c r="P19" s="3390"/>
      <c r="Q19" s="1259" t="str">
        <f>B19</f>
        <v>公共配套设施</v>
      </c>
      <c r="R19" s="667" t="s">
        <v>14</v>
      </c>
      <c r="S19" s="668">
        <f>F19</f>
        <v>100</v>
      </c>
      <c r="T19" s="667" t="s">
        <v>14</v>
      </c>
      <c r="U19" s="668">
        <f>H19</f>
        <v>100</v>
      </c>
      <c r="V19" s="667" t="s">
        <v>14</v>
      </c>
      <c r="W19" s="668">
        <f>J19</f>
        <v>100</v>
      </c>
      <c r="X19" s="1261"/>
      <c r="Y19" s="3383"/>
      <c r="Z19" s="1260" t="str">
        <f>Q19</f>
        <v>公共配套设施</v>
      </c>
      <c r="AA19" s="1260">
        <f t="shared" si="3"/>
        <v>1</v>
      </c>
      <c r="AB19" s="1260">
        <f t="shared" si="4"/>
        <v>1</v>
      </c>
      <c r="AC19" s="1806">
        <f t="shared" si="5"/>
        <v>1</v>
      </c>
    </row>
    <row r="20" spans="1:29" ht="15">
      <c r="A20" s="367"/>
      <c r="B20" s="401"/>
      <c r="C20" s="1754"/>
      <c r="D20" s="387"/>
      <c r="E20" s="1747"/>
      <c r="F20" s="387"/>
      <c r="G20" s="1748"/>
      <c r="H20" s="387"/>
      <c r="I20" s="1748"/>
      <c r="J20" s="387"/>
      <c r="K20" s="541"/>
      <c r="L20" s="2485"/>
      <c r="M20" s="2480"/>
      <c r="N20" s="2480"/>
      <c r="O20" s="2480"/>
      <c r="P20" s="3390"/>
      <c r="Q20" s="1259"/>
      <c r="R20" s="667"/>
      <c r="S20" s="668"/>
      <c r="T20" s="667"/>
      <c r="U20" s="668"/>
      <c r="V20" s="667"/>
      <c r="W20" s="668"/>
      <c r="X20" s="1261"/>
      <c r="Y20" s="3383"/>
      <c r="Z20" s="1260"/>
      <c r="AA20" s="1260">
        <v>1</v>
      </c>
      <c r="AB20" s="1260">
        <v>1</v>
      </c>
      <c r="AC20" s="1806">
        <v>1</v>
      </c>
    </row>
    <row r="21" spans="1:29" ht="28.5">
      <c r="A21" s="367"/>
      <c r="B21" s="557" t="s">
        <v>1813</v>
      </c>
      <c r="C21" s="1807"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5"/>
      <c r="M21" s="2480"/>
      <c r="N21" s="2480"/>
      <c r="O21" s="2480"/>
      <c r="P21" s="3390"/>
      <c r="Q21" s="1259" t="str">
        <f>B21</f>
        <v>基础设施水平</v>
      </c>
      <c r="R21" s="667" t="s">
        <v>14</v>
      </c>
      <c r="S21" s="668">
        <f>F21</f>
        <v>100</v>
      </c>
      <c r="T21" s="667" t="s">
        <v>14</v>
      </c>
      <c r="U21" s="668">
        <f>H21</f>
        <v>100</v>
      </c>
      <c r="V21" s="667" t="s">
        <v>14</v>
      </c>
      <c r="W21" s="668">
        <f>J21</f>
        <v>100</v>
      </c>
      <c r="X21" s="1261"/>
      <c r="Y21" s="3383"/>
      <c r="Z21" s="1260" t="str">
        <f>Q21</f>
        <v>基础设施水平</v>
      </c>
      <c r="AA21" s="1260">
        <f t="shared" ref="AA21" si="8">D21/F21</f>
        <v>1</v>
      </c>
      <c r="AB21" s="1260">
        <f t="shared" ref="AB21" si="9">D21/H21</f>
        <v>1</v>
      </c>
      <c r="AC21" s="1806">
        <f t="shared" ref="AC21" si="10">D21/J21</f>
        <v>1</v>
      </c>
    </row>
    <row r="22" spans="1:29" ht="15">
      <c r="A22" s="367"/>
      <c r="B22" s="557"/>
      <c r="C22" s="1808"/>
      <c r="D22" s="387"/>
      <c r="E22" s="386"/>
      <c r="F22" s="387"/>
      <c r="G22" s="1754"/>
      <c r="H22" s="387"/>
      <c r="I22" s="1754"/>
      <c r="J22" s="387"/>
      <c r="K22" s="1060"/>
      <c r="L22" s="2485"/>
      <c r="M22" s="2480"/>
      <c r="N22" s="2480"/>
      <c r="O22" s="2480"/>
      <c r="P22" s="3390"/>
      <c r="Q22" s="1259"/>
      <c r="R22" s="667"/>
      <c r="S22" s="668"/>
      <c r="T22" s="667"/>
      <c r="U22" s="668"/>
      <c r="V22" s="667"/>
      <c r="W22" s="668"/>
      <c r="X22" s="1261"/>
      <c r="Y22" s="3383"/>
      <c r="Z22" s="1260"/>
      <c r="AA22" s="1260">
        <v>1</v>
      </c>
      <c r="AB22" s="1260">
        <v>1</v>
      </c>
      <c r="AC22" s="1806">
        <v>1</v>
      </c>
    </row>
    <row r="23" spans="1:29" ht="99.75">
      <c r="A23" s="367"/>
      <c r="B23" s="556" t="s">
        <v>1814</v>
      </c>
      <c r="C23" s="1807" t="str">
        <f>估价对象房地状况!C9</f>
        <v>估价对象周边有河南省体育场馆中心、郑州海洋馆等人文景观，东风渠水系等自然景观，综合评价环境状况较好。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85"/>
      <c r="M23" s="2480"/>
      <c r="N23" s="2480"/>
      <c r="O23" s="2480"/>
      <c r="P23" s="3390"/>
      <c r="Q23" s="1259" t="str">
        <f>B23</f>
        <v>环境质量</v>
      </c>
      <c r="R23" s="667" t="s">
        <v>14</v>
      </c>
      <c r="S23" s="668">
        <f>F23</f>
        <v>100</v>
      </c>
      <c r="T23" s="667" t="s">
        <v>14</v>
      </c>
      <c r="U23" s="668">
        <f>H23</f>
        <v>100</v>
      </c>
      <c r="V23" s="667" t="s">
        <v>14</v>
      </c>
      <c r="W23" s="668">
        <f>J23</f>
        <v>100</v>
      </c>
      <c r="X23" s="1261"/>
      <c r="Y23" s="3383"/>
      <c r="Z23" s="1260" t="str">
        <f>Q23</f>
        <v>环境质量</v>
      </c>
      <c r="AA23" s="1260">
        <f t="shared" si="3"/>
        <v>1</v>
      </c>
      <c r="AB23" s="1260">
        <f t="shared" si="4"/>
        <v>1</v>
      </c>
      <c r="AC23" s="1806">
        <f t="shared" si="5"/>
        <v>1</v>
      </c>
    </row>
    <row r="24" spans="1:29" ht="15">
      <c r="A24" s="367"/>
      <c r="B24" s="557"/>
      <c r="C24" s="1754"/>
      <c r="D24" s="387"/>
      <c r="E24" s="1747"/>
      <c r="F24" s="387"/>
      <c r="G24" s="1748"/>
      <c r="H24" s="387"/>
      <c r="I24" s="1748"/>
      <c r="J24" s="387"/>
      <c r="K24" s="541"/>
      <c r="L24" s="2485"/>
      <c r="M24" s="2480"/>
      <c r="N24" s="2480"/>
      <c r="O24" s="2480"/>
      <c r="P24" s="3390"/>
      <c r="Q24" s="1259"/>
      <c r="R24" s="667"/>
      <c r="S24" s="668"/>
      <c r="T24" s="667"/>
      <c r="U24" s="668"/>
      <c r="V24" s="667"/>
      <c r="W24" s="668"/>
      <c r="X24" s="1261"/>
      <c r="Y24" s="3383"/>
      <c r="Z24" s="1260"/>
      <c r="AA24" s="1260">
        <v>1</v>
      </c>
      <c r="AB24" s="1260">
        <v>1</v>
      </c>
      <c r="AC24" s="1806">
        <v>1</v>
      </c>
    </row>
    <row r="25" spans="1:29" ht="27">
      <c r="A25" s="348"/>
      <c r="B25" s="556" t="s">
        <v>1815</v>
      </c>
      <c r="C25" s="1758"/>
      <c r="D25" s="374">
        <v>100</v>
      </c>
      <c r="E25" s="373"/>
      <c r="F25" s="374">
        <f>SUMIF(87:87,E26,88:88)-SUMIF(87:87,C26,88:88)+100</f>
        <v>100</v>
      </c>
      <c r="G25" s="1758"/>
      <c r="H25" s="374">
        <f>SUMIF(87:87,G26,88:88)-SUMIF(87:87,C26,88:88)+100</f>
        <v>100</v>
      </c>
      <c r="I25" s="373"/>
      <c r="J25" s="374">
        <f>SUMIF(87:87,I26,88:88)-SUMIF(87:87,C26,88:88)+100</f>
        <v>100</v>
      </c>
      <c r="K25" s="540"/>
      <c r="L25" s="2485"/>
      <c r="M25" s="2480"/>
      <c r="N25" s="2480"/>
      <c r="O25" s="2480"/>
      <c r="P25" s="3390"/>
      <c r="Q25" s="1259" t="str">
        <f>B25</f>
        <v>毗邻道路的类型与等级</v>
      </c>
      <c r="R25" s="667" t="s">
        <v>14</v>
      </c>
      <c r="S25" s="668">
        <f>F25</f>
        <v>100</v>
      </c>
      <c r="T25" s="667" t="s">
        <v>14</v>
      </c>
      <c r="U25" s="668">
        <f>H25</f>
        <v>100</v>
      </c>
      <c r="V25" s="667" t="s">
        <v>14</v>
      </c>
      <c r="W25" s="668">
        <f>J25</f>
        <v>100</v>
      </c>
      <c r="X25" s="1261"/>
      <c r="Y25" s="3383"/>
      <c r="Z25" s="1260" t="str">
        <f>Q25</f>
        <v>毗邻道路的类型与等级</v>
      </c>
      <c r="AA25" s="1260">
        <f t="shared" si="3"/>
        <v>1</v>
      </c>
      <c r="AB25" s="1260">
        <f t="shared" si="4"/>
        <v>1</v>
      </c>
      <c r="AC25" s="1806">
        <f t="shared" si="5"/>
        <v>1</v>
      </c>
    </row>
    <row r="26" spans="1:29" ht="15">
      <c r="A26" s="348"/>
      <c r="B26" s="401"/>
      <c r="C26" s="558"/>
      <c r="D26" s="374"/>
      <c r="E26" s="542"/>
      <c r="F26" s="374"/>
      <c r="G26" s="558"/>
      <c r="H26" s="374"/>
      <c r="I26" s="542"/>
      <c r="J26" s="374"/>
      <c r="K26" s="541"/>
      <c r="L26" s="2485"/>
      <c r="M26" s="2480"/>
      <c r="N26" s="2480"/>
      <c r="O26" s="2480"/>
      <c r="P26" s="3390"/>
      <c r="Q26" s="1259"/>
      <c r="R26" s="667"/>
      <c r="S26" s="668"/>
      <c r="T26" s="667"/>
      <c r="U26" s="668"/>
      <c r="V26" s="667"/>
      <c r="W26" s="668"/>
      <c r="X26" s="1261"/>
      <c r="Y26" s="3383"/>
      <c r="Z26" s="1260"/>
      <c r="AA26" s="1260">
        <v>1</v>
      </c>
      <c r="AB26" s="1260">
        <v>1</v>
      </c>
      <c r="AC26" s="1806">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5"/>
      <c r="M27" s="2480"/>
      <c r="N27" s="2480"/>
      <c r="O27" s="2480"/>
      <c r="P27" s="3390"/>
      <c r="Q27" s="1259" t="str">
        <f t="shared" ref="Q27:Q47" si="11">B27</f>
        <v>楼层</v>
      </c>
      <c r="R27" s="667" t="s">
        <v>14</v>
      </c>
      <c r="S27" s="668">
        <f>F27</f>
        <v>100</v>
      </c>
      <c r="T27" s="667" t="s">
        <v>14</v>
      </c>
      <c r="U27" s="668">
        <f>H27</f>
        <v>100</v>
      </c>
      <c r="V27" s="667" t="s">
        <v>14</v>
      </c>
      <c r="W27" s="668">
        <f>J27</f>
        <v>100</v>
      </c>
      <c r="X27" s="1261"/>
      <c r="Y27" s="3383"/>
      <c r="Z27" s="1260" t="str">
        <f>Q27</f>
        <v>楼层</v>
      </c>
      <c r="AA27" s="1260">
        <f t="shared" si="3"/>
        <v>1</v>
      </c>
      <c r="AB27" s="1260">
        <f t="shared" si="4"/>
        <v>1</v>
      </c>
      <c r="AC27" s="1806">
        <f t="shared" si="5"/>
        <v>1</v>
      </c>
    </row>
    <row r="28" spans="1:29" s="102" customFormat="1" ht="15">
      <c r="A28" s="370"/>
      <c r="B28" s="556" t="s">
        <v>1816</v>
      </c>
      <c r="C28" s="1809"/>
      <c r="D28" s="401">
        <v>100</v>
      </c>
      <c r="E28" s="1801"/>
      <c r="F28" s="401">
        <f>SUMIF(91:91,E28,92:92)-SUMIF(91:91,C28,92:92)+100</f>
        <v>100</v>
      </c>
      <c r="G28" s="1809"/>
      <c r="H28" s="401">
        <f>SUMIF(91:91,G28,92:92)-SUMIF(91:91,C28,92:92)+100</f>
        <v>100</v>
      </c>
      <c r="I28" s="1801"/>
      <c r="J28" s="401">
        <f>SUMIF(91:91,I28,92:92)-SUMIF(91:91,C28,92:92)+100</f>
        <v>100</v>
      </c>
      <c r="K28" s="538"/>
      <c r="L28" s="2481"/>
      <c r="M28" s="2432"/>
      <c r="N28" s="2432"/>
      <c r="O28" s="2432"/>
      <c r="P28" s="3390"/>
      <c r="Q28" s="530" t="str">
        <f t="shared" si="11"/>
        <v>朝向</v>
      </c>
      <c r="R28" s="664" t="s">
        <v>14</v>
      </c>
      <c r="S28" s="665">
        <f>F28</f>
        <v>100</v>
      </c>
      <c r="T28" s="664" t="s">
        <v>14</v>
      </c>
      <c r="U28" s="665">
        <f>H28</f>
        <v>100</v>
      </c>
      <c r="V28" s="664" t="s">
        <v>14</v>
      </c>
      <c r="W28" s="665">
        <f>J28</f>
        <v>100</v>
      </c>
      <c r="X28" s="666"/>
      <c r="Y28" s="3383"/>
      <c r="Z28" s="50" t="str">
        <f>Q28</f>
        <v>朝向</v>
      </c>
      <c r="AA28" s="1260">
        <f>D28/F28</f>
        <v>1</v>
      </c>
      <c r="AB28" s="1260">
        <f>D28/H28</f>
        <v>1</v>
      </c>
      <c r="AC28" s="1806">
        <f>D28/J28</f>
        <v>1</v>
      </c>
    </row>
    <row r="29" spans="1:29" ht="15">
      <c r="A29" s="367"/>
      <c r="B29" s="1095">
        <v>111</v>
      </c>
      <c r="C29" s="1758"/>
      <c r="D29" s="374">
        <v>100</v>
      </c>
      <c r="E29" s="371"/>
      <c r="F29" s="374">
        <f>SUMIF(93:93,E29,94:94)-SUMIF(93:93,C29,94:94)+100</f>
        <v>100</v>
      </c>
      <c r="G29" s="1804"/>
      <c r="H29" s="374">
        <f>SUMIF(93:93,G29,94:94)-SUMIF(93:93,C29,94:94)+100</f>
        <v>100</v>
      </c>
      <c r="I29" s="371"/>
      <c r="J29" s="374">
        <f>SUMIF(93:93,I29,94:94)-SUMIF(93:93,C29,94:94)+100</f>
        <v>100</v>
      </c>
      <c r="K29" s="539"/>
      <c r="L29" s="2485"/>
      <c r="M29" s="2480"/>
      <c r="N29" s="2480"/>
      <c r="O29" s="2480"/>
      <c r="P29" s="3390"/>
      <c r="Q29" s="1259">
        <f t="shared" si="11"/>
        <v>111</v>
      </c>
      <c r="R29" s="667" t="s">
        <v>14</v>
      </c>
      <c r="S29" s="668">
        <f t="shared" ref="S29:S47" si="12">F29</f>
        <v>100</v>
      </c>
      <c r="T29" s="667" t="s">
        <v>14</v>
      </c>
      <c r="U29" s="668">
        <f t="shared" ref="U29:U47" si="13">H29</f>
        <v>100</v>
      </c>
      <c r="V29" s="667" t="s">
        <v>14</v>
      </c>
      <c r="W29" s="668">
        <f t="shared" ref="W29:W47" si="14">J29</f>
        <v>100</v>
      </c>
      <c r="X29" s="1261"/>
      <c r="Y29" s="3383"/>
      <c r="Z29" s="1260">
        <f t="shared" ref="Z29:Z47" si="15">Q29</f>
        <v>111</v>
      </c>
      <c r="AA29" s="1260">
        <f t="shared" si="3"/>
        <v>1</v>
      </c>
      <c r="AB29" s="1260">
        <f t="shared" si="4"/>
        <v>1</v>
      </c>
      <c r="AC29" s="1806">
        <f t="shared" si="5"/>
        <v>1</v>
      </c>
    </row>
    <row r="30" spans="1:29" ht="15">
      <c r="A30" s="367"/>
      <c r="B30" s="1095">
        <v>111</v>
      </c>
      <c r="C30" s="1758"/>
      <c r="D30" s="374">
        <v>100</v>
      </c>
      <c r="E30" s="371"/>
      <c r="F30" s="374">
        <f>SUMIF(95:95,E30,96:96)-SUMIF(95:95,C30,96:96)+100</f>
        <v>100</v>
      </c>
      <c r="G30" s="1804"/>
      <c r="H30" s="374">
        <f>SUMIF(95:95,G30,96:96)-SUMIF(95:95,C30,96:96)+100</f>
        <v>100</v>
      </c>
      <c r="I30" s="371"/>
      <c r="J30" s="374">
        <f>SUMIF(95:95,I30,96:96)-SUMIF(95:95,C30,96:96)+100</f>
        <v>100</v>
      </c>
      <c r="K30" s="539"/>
      <c r="L30" s="2485"/>
      <c r="M30" s="2480"/>
      <c r="N30" s="2480"/>
      <c r="O30" s="2480"/>
      <c r="P30" s="3390"/>
      <c r="Q30" s="1259">
        <f t="shared" si="11"/>
        <v>111</v>
      </c>
      <c r="R30" s="667" t="s">
        <v>14</v>
      </c>
      <c r="S30" s="668">
        <f t="shared" si="12"/>
        <v>100</v>
      </c>
      <c r="T30" s="667" t="s">
        <v>14</v>
      </c>
      <c r="U30" s="668">
        <f t="shared" si="13"/>
        <v>100</v>
      </c>
      <c r="V30" s="667" t="s">
        <v>14</v>
      </c>
      <c r="W30" s="668">
        <f t="shared" si="14"/>
        <v>100</v>
      </c>
      <c r="X30" s="1261"/>
      <c r="Y30" s="3383"/>
      <c r="Z30" s="1260">
        <f t="shared" si="15"/>
        <v>111</v>
      </c>
      <c r="AA30" s="1260">
        <f t="shared" si="3"/>
        <v>1</v>
      </c>
      <c r="AB30" s="1260">
        <f t="shared" si="4"/>
        <v>1</v>
      </c>
      <c r="AC30" s="1806">
        <f t="shared" si="5"/>
        <v>1</v>
      </c>
    </row>
    <row r="31" spans="1:29" ht="15">
      <c r="A31" s="367"/>
      <c r="B31" s="1095">
        <v>111</v>
      </c>
      <c r="C31" s="1758"/>
      <c r="D31" s="374">
        <v>100</v>
      </c>
      <c r="E31" s="371"/>
      <c r="F31" s="374">
        <f>SUMIF(97:97,E31,98:98)-SUMIF(97:97,C31,98:98)+100</f>
        <v>100</v>
      </c>
      <c r="G31" s="1804"/>
      <c r="H31" s="374">
        <f>SUMIF(97:97,G31,98:98)-SUMIF(97:97,C31,98:98)+100</f>
        <v>100</v>
      </c>
      <c r="I31" s="371"/>
      <c r="J31" s="374">
        <f>SUMIF(97:97,I31,98:98)-SUMIF(97:97,C31,98:98)+100</f>
        <v>100</v>
      </c>
      <c r="K31" s="539"/>
      <c r="L31" s="2485"/>
      <c r="M31" s="2480"/>
      <c r="N31" s="2480"/>
      <c r="O31" s="2480"/>
      <c r="P31" s="3390"/>
      <c r="Q31" s="1259">
        <f t="shared" si="11"/>
        <v>111</v>
      </c>
      <c r="R31" s="667" t="s">
        <v>14</v>
      </c>
      <c r="S31" s="668">
        <f t="shared" si="12"/>
        <v>100</v>
      </c>
      <c r="T31" s="667" t="s">
        <v>14</v>
      </c>
      <c r="U31" s="668">
        <f t="shared" si="13"/>
        <v>100</v>
      </c>
      <c r="V31" s="667" t="s">
        <v>14</v>
      </c>
      <c r="W31" s="668">
        <f t="shared" si="14"/>
        <v>100</v>
      </c>
      <c r="X31" s="1261"/>
      <c r="Y31" s="3383"/>
      <c r="Z31" s="1260">
        <f t="shared" si="15"/>
        <v>111</v>
      </c>
      <c r="AA31" s="1260">
        <f t="shared" si="3"/>
        <v>1</v>
      </c>
      <c r="AB31" s="1260">
        <f t="shared" si="4"/>
        <v>1</v>
      </c>
      <c r="AC31" s="1806">
        <f t="shared" si="5"/>
        <v>1</v>
      </c>
    </row>
    <row r="32" spans="1:29" ht="15.75" thickBot="1">
      <c r="A32" s="375"/>
      <c r="B32" s="559">
        <v>111</v>
      </c>
      <c r="C32" s="1759"/>
      <c r="D32" s="377">
        <v>100</v>
      </c>
      <c r="E32" s="553"/>
      <c r="F32" s="377">
        <f>SUMIF(99:99,E32,100:100)-SUMIF(99:99,C32,100:100)+100</f>
        <v>100</v>
      </c>
      <c r="G32" s="1804"/>
      <c r="H32" s="377">
        <f>SUMIF(99:99,G32,100:100)-SUMIF(99:99,C32,100:100)+100</f>
        <v>100</v>
      </c>
      <c r="I32" s="371"/>
      <c r="J32" s="377">
        <f>SUMIF(99:99,I32,100:100)-SUMIF(99:99,C32,100:100)+100</f>
        <v>100</v>
      </c>
      <c r="K32" s="539"/>
      <c r="L32" s="2485"/>
      <c r="M32" s="2480"/>
      <c r="N32" s="2480"/>
      <c r="O32" s="2480"/>
      <c r="P32" s="3390"/>
      <c r="Q32" s="1259">
        <f t="shared" si="11"/>
        <v>111</v>
      </c>
      <c r="R32" s="667" t="s">
        <v>14</v>
      </c>
      <c r="S32" s="668">
        <f t="shared" si="12"/>
        <v>100</v>
      </c>
      <c r="T32" s="667" t="s">
        <v>14</v>
      </c>
      <c r="U32" s="668">
        <f t="shared" si="13"/>
        <v>100</v>
      </c>
      <c r="V32" s="667" t="s">
        <v>14</v>
      </c>
      <c r="W32" s="668">
        <f t="shared" si="14"/>
        <v>100</v>
      </c>
      <c r="X32" s="1261"/>
      <c r="Y32" s="3383"/>
      <c r="Z32" s="1260">
        <f t="shared" si="15"/>
        <v>111</v>
      </c>
      <c r="AA32" s="1260">
        <f t="shared" si="3"/>
        <v>1</v>
      </c>
      <c r="AB32" s="1260">
        <f t="shared" si="4"/>
        <v>1</v>
      </c>
      <c r="AC32" s="1806">
        <f t="shared" si="5"/>
        <v>1</v>
      </c>
    </row>
    <row r="33" spans="1:29" ht="15">
      <c r="A33" s="379" t="s">
        <v>1694</v>
      </c>
      <c r="B33" s="60" t="s">
        <v>1817</v>
      </c>
      <c r="C33" s="1760"/>
      <c r="D33" s="405">
        <v>100</v>
      </c>
      <c r="E33" s="1760"/>
      <c r="F33" s="400">
        <f>SUMIF(101:101,E33,102:102)-SUMIF(101:101,C33,102:102)+100</f>
        <v>100</v>
      </c>
      <c r="G33" s="1760"/>
      <c r="H33" s="374">
        <f>SUMIF(101:101,G33,102:102)-SUMIF(101:101,C33,102:102)+100</f>
        <v>100</v>
      </c>
      <c r="I33" s="1760"/>
      <c r="J33" s="405">
        <f>SUMIF(101:101,I33,102:102)-SUMIF(101:101,C33,102:102)+100</f>
        <v>100</v>
      </c>
      <c r="K33" s="538"/>
      <c r="L33" s="2485"/>
      <c r="M33" s="2480"/>
      <c r="N33" s="2480"/>
      <c r="O33" s="2480"/>
      <c r="P33" s="3384" t="s">
        <v>1696</v>
      </c>
      <c r="Q33" s="1259" t="str">
        <f t="shared" si="11"/>
        <v>建筑类型</v>
      </c>
      <c r="R33" s="667" t="s">
        <v>14</v>
      </c>
      <c r="S33" s="668">
        <f t="shared" si="12"/>
        <v>100</v>
      </c>
      <c r="T33" s="667" t="s">
        <v>14</v>
      </c>
      <c r="U33" s="668">
        <f t="shared" si="13"/>
        <v>100</v>
      </c>
      <c r="V33" s="667" t="s">
        <v>14</v>
      </c>
      <c r="W33" s="668">
        <f t="shared" si="14"/>
        <v>100</v>
      </c>
      <c r="X33" s="1261"/>
      <c r="Y33" s="3387" t="s">
        <v>1696</v>
      </c>
      <c r="Z33" s="1260" t="str">
        <f t="shared" si="15"/>
        <v>建筑类型</v>
      </c>
      <c r="AA33" s="1260">
        <f t="shared" si="3"/>
        <v>1</v>
      </c>
      <c r="AB33" s="1260">
        <f t="shared" si="4"/>
        <v>1</v>
      </c>
      <c r="AC33" s="1806">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4"/>
      <c r="M34" s="2486"/>
      <c r="N34" s="2486"/>
      <c r="O34" s="2486"/>
      <c r="P34" s="3385"/>
      <c r="Q34" s="531" t="str">
        <f t="shared" si="11"/>
        <v>项目建筑规模</v>
      </c>
      <c r="R34" s="669" t="s">
        <v>14</v>
      </c>
      <c r="S34" s="670" t="e">
        <f t="shared" si="12"/>
        <v>#N/A</v>
      </c>
      <c r="T34" s="669" t="s">
        <v>14</v>
      </c>
      <c r="U34" s="670" t="e">
        <f t="shared" si="13"/>
        <v>#N/A</v>
      </c>
      <c r="V34" s="669" t="s">
        <v>14</v>
      </c>
      <c r="W34" s="670" t="e">
        <f t="shared" si="14"/>
        <v>#N/A</v>
      </c>
      <c r="X34" s="671"/>
      <c r="Y34" s="3387"/>
      <c r="Z34" s="672" t="str">
        <f t="shared" si="15"/>
        <v>项目建筑规模</v>
      </c>
      <c r="AA34" s="1260" t="e">
        <f t="shared" si="3"/>
        <v>#N/A</v>
      </c>
      <c r="AB34" s="1260" t="e">
        <f t="shared" si="4"/>
        <v>#N/A</v>
      </c>
      <c r="AC34" s="1806"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5"/>
      <c r="M35" s="2480"/>
      <c r="N35" s="2480"/>
      <c r="O35" s="2480"/>
      <c r="P35" s="3385"/>
      <c r="Q35" s="1259" t="str">
        <f t="shared" si="11"/>
        <v>建筑结构</v>
      </c>
      <c r="R35" s="667" t="s">
        <v>14</v>
      </c>
      <c r="S35" s="668">
        <f t="shared" si="12"/>
        <v>100</v>
      </c>
      <c r="T35" s="667" t="s">
        <v>14</v>
      </c>
      <c r="U35" s="668">
        <f t="shared" si="13"/>
        <v>100</v>
      </c>
      <c r="V35" s="667" t="s">
        <v>14</v>
      </c>
      <c r="W35" s="668">
        <f t="shared" si="14"/>
        <v>100</v>
      </c>
      <c r="X35" s="1261"/>
      <c r="Y35" s="3387"/>
      <c r="Z35" s="1260" t="str">
        <f t="shared" si="15"/>
        <v>建筑结构</v>
      </c>
      <c r="AA35" s="1260">
        <f t="shared" si="3"/>
        <v>1</v>
      </c>
      <c r="AB35" s="1260">
        <f t="shared" si="4"/>
        <v>1</v>
      </c>
      <c r="AC35" s="1806">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5"/>
      <c r="M36" s="2480"/>
      <c r="N36" s="2480"/>
      <c r="O36" s="2480"/>
      <c r="P36" s="3385"/>
      <c r="Q36" s="1259" t="str">
        <f t="shared" si="11"/>
        <v>公共部分装修</v>
      </c>
      <c r="R36" s="667" t="s">
        <v>14</v>
      </c>
      <c r="S36" s="668">
        <f t="shared" si="12"/>
        <v>100</v>
      </c>
      <c r="T36" s="667" t="s">
        <v>14</v>
      </c>
      <c r="U36" s="668">
        <f t="shared" si="13"/>
        <v>100</v>
      </c>
      <c r="V36" s="667" t="s">
        <v>14</v>
      </c>
      <c r="W36" s="668">
        <f t="shared" si="14"/>
        <v>100</v>
      </c>
      <c r="X36" s="1261"/>
      <c r="Y36" s="3387"/>
      <c r="Z36" s="1260" t="str">
        <f t="shared" si="15"/>
        <v>公共部分装修</v>
      </c>
      <c r="AA36" s="1260">
        <f t="shared" si="3"/>
        <v>1</v>
      </c>
      <c r="AB36" s="1260">
        <f t="shared" si="4"/>
        <v>1</v>
      </c>
      <c r="AC36" s="1806">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5"/>
      <c r="M37" s="2480"/>
      <c r="N37" s="2480"/>
      <c r="O37" s="2480"/>
      <c r="P37" s="3385"/>
      <c r="Q37" s="1259" t="str">
        <f t="shared" si="11"/>
        <v>成新度</v>
      </c>
      <c r="R37" s="667" t="s">
        <v>14</v>
      </c>
      <c r="S37" s="668" t="e">
        <f t="shared" si="12"/>
        <v>#N/A</v>
      </c>
      <c r="T37" s="667" t="s">
        <v>14</v>
      </c>
      <c r="U37" s="668" t="e">
        <f t="shared" si="13"/>
        <v>#N/A</v>
      </c>
      <c r="V37" s="667" t="s">
        <v>14</v>
      </c>
      <c r="W37" s="668" t="e">
        <f t="shared" si="14"/>
        <v>#N/A</v>
      </c>
      <c r="X37" s="1261"/>
      <c r="Y37" s="3387"/>
      <c r="Z37" s="1260" t="str">
        <f t="shared" si="15"/>
        <v>成新度</v>
      </c>
      <c r="AA37" s="1260" t="e">
        <f t="shared" si="3"/>
        <v>#N/A</v>
      </c>
      <c r="AB37" s="1260" t="e">
        <f t="shared" si="4"/>
        <v>#N/A</v>
      </c>
      <c r="AC37" s="1806"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1"/>
      <c r="M38" s="2432"/>
      <c r="N38" s="2432"/>
      <c r="O38" s="2432"/>
      <c r="P38" s="3385"/>
      <c r="Q38" s="530" t="str">
        <f t="shared" si="11"/>
        <v>写字楼等级</v>
      </c>
      <c r="R38" s="664" t="s">
        <v>14</v>
      </c>
      <c r="S38" s="665">
        <f t="shared" si="12"/>
        <v>100</v>
      </c>
      <c r="T38" s="664" t="s">
        <v>14</v>
      </c>
      <c r="U38" s="665">
        <f t="shared" si="13"/>
        <v>100</v>
      </c>
      <c r="V38" s="664" t="s">
        <v>14</v>
      </c>
      <c r="W38" s="665">
        <f t="shared" si="14"/>
        <v>100</v>
      </c>
      <c r="X38" s="666"/>
      <c r="Y38" s="3387"/>
      <c r="Z38" s="50" t="str">
        <f t="shared" si="15"/>
        <v>写字楼等级</v>
      </c>
      <c r="AA38" s="50">
        <f t="shared" si="3"/>
        <v>1</v>
      </c>
      <c r="AB38" s="50">
        <f t="shared" si="4"/>
        <v>1</v>
      </c>
      <c r="AC38" s="798">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5"/>
      <c r="M39" s="2480"/>
      <c r="N39" s="2480"/>
      <c r="O39" s="2480"/>
      <c r="P39" s="3385" t="s">
        <v>1696</v>
      </c>
      <c r="Q39" s="1259" t="str">
        <f t="shared" si="11"/>
        <v>物业管理</v>
      </c>
      <c r="R39" s="667" t="s">
        <v>14</v>
      </c>
      <c r="S39" s="668">
        <f t="shared" si="12"/>
        <v>100</v>
      </c>
      <c r="T39" s="667" t="s">
        <v>14</v>
      </c>
      <c r="U39" s="668">
        <f t="shared" si="13"/>
        <v>100</v>
      </c>
      <c r="V39" s="667" t="s">
        <v>14</v>
      </c>
      <c r="W39" s="668">
        <f t="shared" si="14"/>
        <v>100</v>
      </c>
      <c r="X39" s="1261"/>
      <c r="Y39" s="3387" t="s">
        <v>1696</v>
      </c>
      <c r="Z39" s="1260" t="str">
        <f t="shared" si="15"/>
        <v>物业管理</v>
      </c>
      <c r="AA39" s="1260">
        <f t="shared" si="3"/>
        <v>1</v>
      </c>
      <c r="AB39" s="1260">
        <f t="shared" si="4"/>
        <v>1</v>
      </c>
      <c r="AC39" s="1806">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5"/>
      <c r="M40" s="2480"/>
      <c r="N40" s="2480"/>
      <c r="O40" s="2480"/>
      <c r="P40" s="3385"/>
      <c r="Q40" s="1259" t="str">
        <f t="shared" si="11"/>
        <v>市政基础设施</v>
      </c>
      <c r="R40" s="667" t="s">
        <v>14</v>
      </c>
      <c r="S40" s="668">
        <f t="shared" si="12"/>
        <v>100</v>
      </c>
      <c r="T40" s="667" t="s">
        <v>14</v>
      </c>
      <c r="U40" s="668">
        <f t="shared" si="13"/>
        <v>100</v>
      </c>
      <c r="V40" s="667" t="s">
        <v>14</v>
      </c>
      <c r="W40" s="668">
        <f t="shared" si="14"/>
        <v>100</v>
      </c>
      <c r="X40" s="1261"/>
      <c r="Y40" s="3387"/>
      <c r="Z40" s="1260" t="str">
        <f t="shared" si="15"/>
        <v>市政基础设施</v>
      </c>
      <c r="AA40" s="1260">
        <f t="shared" si="3"/>
        <v>1</v>
      </c>
      <c r="AB40" s="1260">
        <f t="shared" si="4"/>
        <v>1</v>
      </c>
      <c r="AC40" s="1806">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5"/>
      <c r="M41" s="2480"/>
      <c r="N41" s="2480"/>
      <c r="O41" s="2480"/>
      <c r="P41" s="3385"/>
      <c r="Q41" s="1259" t="str">
        <f t="shared" si="11"/>
        <v>层高</v>
      </c>
      <c r="R41" s="667" t="s">
        <v>14</v>
      </c>
      <c r="S41" s="668">
        <f t="shared" si="12"/>
        <v>100</v>
      </c>
      <c r="T41" s="667" t="s">
        <v>14</v>
      </c>
      <c r="U41" s="668">
        <f t="shared" si="13"/>
        <v>100</v>
      </c>
      <c r="V41" s="667" t="s">
        <v>14</v>
      </c>
      <c r="W41" s="668">
        <f t="shared" si="14"/>
        <v>100</v>
      </c>
      <c r="X41" s="1261"/>
      <c r="Y41" s="3387"/>
      <c r="Z41" s="1260" t="str">
        <f t="shared" si="15"/>
        <v>层高</v>
      </c>
      <c r="AA41" s="1260">
        <f t="shared" si="3"/>
        <v>1</v>
      </c>
      <c r="AB41" s="1260">
        <f t="shared" si="4"/>
        <v>1</v>
      </c>
      <c r="AC41" s="1806">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4"/>
      <c r="M42" s="2486"/>
      <c r="N42" s="2486"/>
      <c r="O42" s="2486"/>
      <c r="P42" s="3385"/>
      <c r="Q42" s="531" t="str">
        <f t="shared" si="11"/>
        <v>单套建筑面积</v>
      </c>
      <c r="R42" s="669" t="s">
        <v>14</v>
      </c>
      <c r="S42" s="670">
        <f t="shared" si="12"/>
        <v>100</v>
      </c>
      <c r="T42" s="669" t="s">
        <v>14</v>
      </c>
      <c r="U42" s="670">
        <f t="shared" si="13"/>
        <v>100</v>
      </c>
      <c r="V42" s="669" t="s">
        <v>14</v>
      </c>
      <c r="W42" s="670">
        <f t="shared" si="14"/>
        <v>100</v>
      </c>
      <c r="X42" s="671"/>
      <c r="Y42" s="3387"/>
      <c r="Z42" s="672" t="str">
        <f t="shared" si="15"/>
        <v>单套建筑面积</v>
      </c>
      <c r="AA42" s="1260">
        <f t="shared" si="3"/>
        <v>1</v>
      </c>
      <c r="AB42" s="1260">
        <f t="shared" si="4"/>
        <v>1</v>
      </c>
      <c r="AC42" s="1806">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5"/>
      <c r="M43" s="2480"/>
      <c r="N43" s="2480"/>
      <c r="O43" s="2480"/>
      <c r="P43" s="3385"/>
      <c r="Q43" s="1259" t="str">
        <f t="shared" si="11"/>
        <v>内部装修</v>
      </c>
      <c r="R43" s="667" t="s">
        <v>14</v>
      </c>
      <c r="S43" s="668">
        <f t="shared" si="12"/>
        <v>100</v>
      </c>
      <c r="T43" s="667" t="s">
        <v>14</v>
      </c>
      <c r="U43" s="668">
        <f t="shared" si="13"/>
        <v>100</v>
      </c>
      <c r="V43" s="667" t="s">
        <v>14</v>
      </c>
      <c r="W43" s="668">
        <f t="shared" si="14"/>
        <v>100</v>
      </c>
      <c r="X43" s="1261"/>
      <c r="Y43" s="3387"/>
      <c r="Z43" s="1260" t="str">
        <f t="shared" si="15"/>
        <v>内部装修</v>
      </c>
      <c r="AA43" s="1260">
        <f t="shared" si="3"/>
        <v>1</v>
      </c>
      <c r="AB43" s="1260">
        <f t="shared" si="4"/>
        <v>1</v>
      </c>
      <c r="AC43" s="1806">
        <f t="shared" si="5"/>
        <v>1</v>
      </c>
    </row>
    <row r="44" spans="1:29" ht="15">
      <c r="A44" s="409"/>
      <c r="B44" s="364" t="s">
        <v>1707</v>
      </c>
      <c r="C44" s="399"/>
      <c r="D44" s="374">
        <v>100</v>
      </c>
      <c r="E44" s="1756"/>
      <c r="F44" s="400">
        <f>SUMIF(125:125,E44,126:126)-SUMIF(125:125,C44,126:126)+100</f>
        <v>100</v>
      </c>
      <c r="G44" s="1756"/>
      <c r="H44" s="374">
        <f>SUMIF(125:125,G44,126:126)-SUMIF(125:125,C44,126:126)+100</f>
        <v>100</v>
      </c>
      <c r="I44" s="1756"/>
      <c r="J44" s="374">
        <f>SUMIF(125:125,I44,126:126)-SUMIF(125:125,C44,126:126)+100</f>
        <v>100</v>
      </c>
      <c r="K44" s="538"/>
      <c r="L44" s="2485"/>
      <c r="M44" s="2480"/>
      <c r="N44" s="2480"/>
      <c r="O44" s="2480"/>
      <c r="P44" s="3385"/>
      <c r="Q44" s="1259" t="str">
        <f t="shared" si="11"/>
        <v>内部装修维护情况</v>
      </c>
      <c r="R44" s="667" t="s">
        <v>14</v>
      </c>
      <c r="S44" s="668">
        <f t="shared" si="12"/>
        <v>100</v>
      </c>
      <c r="T44" s="667" t="s">
        <v>14</v>
      </c>
      <c r="U44" s="668">
        <f t="shared" si="13"/>
        <v>100</v>
      </c>
      <c r="V44" s="667" t="s">
        <v>14</v>
      </c>
      <c r="W44" s="668">
        <f t="shared" si="14"/>
        <v>100</v>
      </c>
      <c r="X44" s="1261"/>
      <c r="Y44" s="3387"/>
      <c r="Z44" s="1260" t="str">
        <f t="shared" si="15"/>
        <v>内部装修维护情况</v>
      </c>
      <c r="AA44" s="1260">
        <f t="shared" si="3"/>
        <v>1</v>
      </c>
      <c r="AB44" s="1260">
        <f t="shared" si="4"/>
        <v>1</v>
      </c>
      <c r="AC44" s="1806">
        <f t="shared" si="5"/>
        <v>1</v>
      </c>
    </row>
    <row r="45" spans="1:29" s="102" customFormat="1" ht="15">
      <c r="A45" s="410"/>
      <c r="B45" s="1062">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1"/>
      <c r="M45" s="2432"/>
      <c r="N45" s="2432"/>
      <c r="O45" s="2432"/>
      <c r="P45" s="3385"/>
      <c r="Q45" s="530">
        <f t="shared" si="11"/>
        <v>111</v>
      </c>
      <c r="R45" s="664" t="s">
        <v>14</v>
      </c>
      <c r="S45" s="665">
        <f t="shared" si="12"/>
        <v>100</v>
      </c>
      <c r="T45" s="664" t="s">
        <v>14</v>
      </c>
      <c r="U45" s="665">
        <f t="shared" si="13"/>
        <v>100</v>
      </c>
      <c r="V45" s="664" t="s">
        <v>14</v>
      </c>
      <c r="W45" s="665">
        <f t="shared" si="14"/>
        <v>100</v>
      </c>
      <c r="X45" s="666"/>
      <c r="Y45" s="3387"/>
      <c r="Z45" s="50">
        <f t="shared" si="15"/>
        <v>111</v>
      </c>
      <c r="AA45" s="50">
        <f t="shared" si="3"/>
        <v>1</v>
      </c>
      <c r="AB45" s="50">
        <f t="shared" si="4"/>
        <v>1</v>
      </c>
      <c r="AC45" s="798">
        <f t="shared" si="5"/>
        <v>1</v>
      </c>
    </row>
    <row r="46" spans="1:29" ht="15">
      <c r="A46" s="409"/>
      <c r="B46" s="1062">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5"/>
      <c r="M46" s="2480"/>
      <c r="N46" s="2480"/>
      <c r="O46" s="2480"/>
      <c r="P46" s="3385"/>
      <c r="Q46" s="1259">
        <f t="shared" si="11"/>
        <v>111</v>
      </c>
      <c r="R46" s="667" t="s">
        <v>14</v>
      </c>
      <c r="S46" s="668">
        <f t="shared" si="12"/>
        <v>100</v>
      </c>
      <c r="T46" s="667" t="s">
        <v>14</v>
      </c>
      <c r="U46" s="668">
        <f t="shared" si="13"/>
        <v>100</v>
      </c>
      <c r="V46" s="667" t="s">
        <v>14</v>
      </c>
      <c r="W46" s="668">
        <f t="shared" si="14"/>
        <v>100</v>
      </c>
      <c r="X46" s="1261"/>
      <c r="Y46" s="3387"/>
      <c r="Z46" s="1260">
        <f t="shared" si="15"/>
        <v>111</v>
      </c>
      <c r="AA46" s="1260">
        <f t="shared" si="3"/>
        <v>1</v>
      </c>
      <c r="AB46" s="1260">
        <f t="shared" si="4"/>
        <v>1</v>
      </c>
      <c r="AC46" s="1806">
        <f t="shared" si="5"/>
        <v>1</v>
      </c>
    </row>
    <row r="47" spans="1:29" ht="15.75"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5"/>
      <c r="M47" s="2480"/>
      <c r="N47" s="2480"/>
      <c r="O47" s="2480"/>
      <c r="P47" s="3386"/>
      <c r="Q47" s="1259">
        <f t="shared" si="11"/>
        <v>111</v>
      </c>
      <c r="R47" s="667" t="s">
        <v>14</v>
      </c>
      <c r="S47" s="668">
        <f t="shared" si="12"/>
        <v>100</v>
      </c>
      <c r="T47" s="667" t="s">
        <v>14</v>
      </c>
      <c r="U47" s="668">
        <f t="shared" si="13"/>
        <v>100</v>
      </c>
      <c r="V47" s="667" t="s">
        <v>14</v>
      </c>
      <c r="W47" s="668">
        <f t="shared" si="14"/>
        <v>100</v>
      </c>
      <c r="X47" s="1261"/>
      <c r="Y47" s="3388"/>
      <c r="Z47" s="1260">
        <f t="shared" si="15"/>
        <v>111</v>
      </c>
      <c r="AA47" s="1260">
        <f t="shared" si="3"/>
        <v>1</v>
      </c>
      <c r="AB47" s="1260">
        <f t="shared" si="4"/>
        <v>1</v>
      </c>
      <c r="AC47" s="1806">
        <f t="shared" si="5"/>
        <v>1</v>
      </c>
    </row>
    <row r="48" spans="1:29" ht="15">
      <c r="A48" s="416" t="s">
        <v>1708</v>
      </c>
      <c r="B48" s="417"/>
      <c r="C48" s="1077" t="s">
        <v>0</v>
      </c>
      <c r="D48" s="418"/>
      <c r="E48" s="419"/>
      <c r="F48" s="420"/>
      <c r="G48" s="421"/>
      <c r="H48" s="422"/>
      <c r="I48" s="419"/>
      <c r="J48" s="422"/>
      <c r="K48" s="674"/>
      <c r="L48" s="2487"/>
      <c r="M48" s="2480"/>
      <c r="N48" s="2480"/>
      <c r="O48" s="2480"/>
      <c r="P48" s="3391" t="str">
        <f>A48</f>
        <v>成交单价（元/平方米）</v>
      </c>
      <c r="Q48" s="3380"/>
      <c r="R48" s="3381">
        <f>E48</f>
        <v>0</v>
      </c>
      <c r="S48" s="3381"/>
      <c r="T48" s="3381">
        <f>G48</f>
        <v>0</v>
      </c>
      <c r="U48" s="3381"/>
      <c r="V48" s="3381">
        <f>I48</f>
        <v>0</v>
      </c>
      <c r="W48" s="3381"/>
      <c r="X48" s="385"/>
      <c r="Y48" s="673"/>
      <c r="Z48" s="385"/>
      <c r="AA48" s="385"/>
      <c r="AB48" s="385"/>
      <c r="AC48" s="555"/>
    </row>
    <row r="49" spans="1:29" ht="15.75" thickBot="1">
      <c r="A49" s="423" t="s">
        <v>1793</v>
      </c>
      <c r="B49" s="424"/>
      <c r="C49" s="1078" t="e">
        <f>R50</f>
        <v>#DIV/0!</v>
      </c>
      <c r="D49" s="2135" t="s">
        <v>2138</v>
      </c>
      <c r="E49" s="1079" t="e">
        <f>R49</f>
        <v>#DIV/0!</v>
      </c>
      <c r="F49" s="2136"/>
      <c r="G49" s="1078" t="e">
        <f>T49</f>
        <v>#DIV/0!</v>
      </c>
      <c r="H49" s="2136"/>
      <c r="I49" s="1079" t="e">
        <f>V49</f>
        <v>#DIV/0!</v>
      </c>
      <c r="J49" s="2136"/>
      <c r="K49" s="2138">
        <f>F49+H49+J49</f>
        <v>0</v>
      </c>
      <c r="L49" s="2487"/>
      <c r="M49" s="2480"/>
      <c r="N49" s="2480"/>
      <c r="O49" s="2480"/>
      <c r="P49" s="3391" t="str">
        <f>A49</f>
        <v>比较价值（元/平方米）</v>
      </c>
      <c r="Q49" s="3380"/>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87"/>
      <c r="M50" s="2480"/>
      <c r="N50" s="2480"/>
      <c r="O50" s="2480"/>
      <c r="P50" s="3422" t="str">
        <f>A50</f>
        <v>估价对象XX用房的比较价值（楼面单价，元/平方米）</v>
      </c>
      <c r="Q50" s="3423"/>
      <c r="R50" s="3424" t="e">
        <f>IF(F1="售价",ROUND(IF(D49="简单平均",AVERAGE(R49:V49),R49*F49+T49*H49+V49*J49),0),ROUND(IF(D49="简单平均",AVERAGE(R49:V49),R49*F49+T49*H49+V49*J49),1))</f>
        <v>#DIV/0!</v>
      </c>
      <c r="S50" s="3424"/>
      <c r="T50" s="3424"/>
      <c r="U50" s="3424"/>
      <c r="V50" s="3424"/>
      <c r="W50" s="3424"/>
      <c r="X50" s="1792"/>
      <c r="Y50" s="1792"/>
      <c r="Z50" s="1792"/>
      <c r="AA50" s="1792"/>
      <c r="AB50" s="1792"/>
      <c r="AC50" s="1793"/>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7" customFormat="1" ht="13.5" customHeight="1">
      <c r="A55" s="2490"/>
      <c r="B55" s="2490"/>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7"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8" t="s">
        <v>1798</v>
      </c>
      <c r="B58" s="385"/>
      <c r="C58" s="659"/>
      <c r="D58" s="659"/>
      <c r="E58" s="659"/>
      <c r="F58" s="660"/>
      <c r="G58" s="660"/>
      <c r="H58" s="659"/>
      <c r="I58" s="659"/>
      <c r="J58" s="659"/>
      <c r="K58" s="661"/>
      <c r="L58" s="884"/>
      <c r="M58" s="882"/>
      <c r="N58" s="2530"/>
      <c r="O58" s="2530"/>
      <c r="P58" s="2519"/>
      <c r="Q58" s="2501"/>
      <c r="R58" s="2480"/>
      <c r="S58" s="2480"/>
      <c r="T58" s="2480"/>
      <c r="U58" s="2480"/>
      <c r="V58" s="2480"/>
      <c r="W58" s="2480"/>
      <c r="X58" s="2480"/>
      <c r="Y58" s="2480"/>
      <c r="Z58" s="2480"/>
      <c r="AA58" s="2480"/>
      <c r="AB58" s="2480"/>
      <c r="AC58" s="2480"/>
    </row>
    <row r="59" spans="1:29" s="442" customFormat="1" ht="15">
      <c r="A59" s="440" t="s">
        <v>1679</v>
      </c>
      <c r="B59" s="441"/>
      <c r="C59" s="1099" t="str">
        <f>YEAR(C7)&amp;"-"&amp;MONTH(C7)</f>
        <v>2025-10</v>
      </c>
      <c r="D59" s="1100">
        <f>EDATE(C59,-1)</f>
        <v>45901</v>
      </c>
      <c r="E59" s="1100">
        <f>EDATE(D59,-1)</f>
        <v>45870</v>
      </c>
      <c r="F59" s="1100">
        <f t="shared" ref="F59:O59" si="16">EDATE(E59,-1)</f>
        <v>45839</v>
      </c>
      <c r="G59" s="1100">
        <f t="shared" si="16"/>
        <v>45809</v>
      </c>
      <c r="H59" s="1100">
        <f t="shared" si="16"/>
        <v>45778</v>
      </c>
      <c r="I59" s="1100">
        <f t="shared" si="16"/>
        <v>45748</v>
      </c>
      <c r="J59" s="1100">
        <f t="shared" si="16"/>
        <v>45717</v>
      </c>
      <c r="K59" s="1100">
        <f t="shared" si="16"/>
        <v>45689</v>
      </c>
      <c r="L59" s="1100">
        <f t="shared" si="16"/>
        <v>45658</v>
      </c>
      <c r="M59" s="1100">
        <f t="shared" si="16"/>
        <v>45627</v>
      </c>
      <c r="N59" s="1100">
        <f t="shared" si="16"/>
        <v>45597</v>
      </c>
      <c r="O59" s="1100">
        <f t="shared" si="16"/>
        <v>45566</v>
      </c>
      <c r="P59" s="2520"/>
      <c r="Q59" s="2503"/>
      <c r="R59" s="2503"/>
      <c r="S59" s="2503"/>
      <c r="T59" s="2503"/>
      <c r="U59" s="2503"/>
      <c r="V59" s="2503"/>
      <c r="W59" s="2503"/>
      <c r="X59" s="2503"/>
      <c r="Y59" s="2503"/>
      <c r="Z59" s="2503"/>
      <c r="AA59" s="2503"/>
      <c r="AB59" s="2503"/>
      <c r="AC59" s="2503"/>
    </row>
    <row r="60" spans="1:29" s="102" customFormat="1" ht="15">
      <c r="A60" s="443"/>
      <c r="B60" s="444"/>
      <c r="C60" s="1098">
        <v>100</v>
      </c>
      <c r="D60" s="446"/>
      <c r="E60" s="446"/>
      <c r="F60" s="446"/>
      <c r="G60" s="446"/>
      <c r="H60" s="446"/>
      <c r="I60" s="446"/>
      <c r="J60" s="446"/>
      <c r="K60" s="446"/>
      <c r="L60" s="446"/>
      <c r="M60" s="447"/>
      <c r="N60" s="446"/>
      <c r="O60" s="447"/>
      <c r="P60" s="2521"/>
      <c r="Q60" s="2432"/>
      <c r="R60" s="2432"/>
      <c r="S60" s="2432"/>
      <c r="T60" s="2432"/>
      <c r="U60" s="2432"/>
      <c r="V60" s="2432"/>
      <c r="W60" s="2432"/>
      <c r="X60" s="2432"/>
      <c r="Y60" s="2432"/>
      <c r="Z60" s="2432"/>
      <c r="AA60" s="2432"/>
      <c r="AB60" s="2432"/>
      <c r="AC60" s="2432"/>
    </row>
    <row r="61" spans="1:29" s="102" customFormat="1" ht="15.75" thickBot="1">
      <c r="A61" s="449" t="s">
        <v>1716</v>
      </c>
      <c r="B61" s="450"/>
      <c r="C61" s="451"/>
      <c r="D61" s="452"/>
      <c r="E61" s="452"/>
      <c r="F61" s="452"/>
      <c r="G61" s="452"/>
      <c r="H61" s="452"/>
      <c r="I61" s="452"/>
      <c r="J61" s="452"/>
      <c r="K61" s="452"/>
      <c r="L61" s="452"/>
      <c r="M61" s="453"/>
      <c r="N61" s="452"/>
      <c r="O61" s="453"/>
      <c r="P61" s="2521"/>
      <c r="Q61" s="2501"/>
      <c r="R61" s="2432"/>
      <c r="S61" s="2432"/>
      <c r="T61" s="2432"/>
      <c r="U61" s="2432"/>
      <c r="V61" s="2432"/>
      <c r="W61" s="2432"/>
      <c r="X61" s="2432"/>
      <c r="Y61" s="2432"/>
      <c r="Z61" s="2432"/>
      <c r="AA61" s="2432"/>
      <c r="AB61" s="2432"/>
      <c r="AC61" s="2432"/>
    </row>
    <row r="62" spans="1:29" s="102" customFormat="1" ht="15">
      <c r="A62" s="455" t="s">
        <v>1681</v>
      </c>
      <c r="B62" s="444"/>
      <c r="C62" s="456" t="s">
        <v>1776</v>
      </c>
      <c r="D62" s="31"/>
      <c r="E62" s="31"/>
      <c r="F62" s="31"/>
      <c r="G62" s="31"/>
      <c r="H62" s="31"/>
      <c r="I62" s="31"/>
      <c r="J62" s="31"/>
      <c r="K62" s="31"/>
      <c r="L62" s="457"/>
      <c r="M62" s="458"/>
      <c r="N62" s="2513"/>
      <c r="O62" s="2513"/>
      <c r="P62" s="2522"/>
      <c r="Q62" s="2501"/>
      <c r="R62" s="2432"/>
      <c r="S62" s="2432"/>
      <c r="T62" s="2432"/>
      <c r="U62" s="2432"/>
      <c r="V62" s="2432"/>
      <c r="W62" s="2432"/>
      <c r="X62" s="2432"/>
      <c r="Y62" s="2432"/>
      <c r="Z62" s="2432"/>
      <c r="AA62" s="2432"/>
      <c r="AB62" s="2432"/>
      <c r="AC62" s="2432"/>
    </row>
    <row r="63" spans="1:29" s="102" customFormat="1" ht="15.75" thickBot="1">
      <c r="A63" s="455"/>
      <c r="B63" s="444"/>
      <c r="C63" s="445">
        <v>100</v>
      </c>
      <c r="D63" s="446"/>
      <c r="E63" s="446"/>
      <c r="F63" s="446"/>
      <c r="G63" s="446"/>
      <c r="H63" s="446"/>
      <c r="I63" s="446"/>
      <c r="J63" s="446"/>
      <c r="K63" s="446"/>
      <c r="L63" s="446"/>
      <c r="M63" s="448"/>
      <c r="N63" s="2513"/>
      <c r="O63" s="2513"/>
      <c r="P63" s="2521"/>
      <c r="Q63" s="2501"/>
      <c r="R63" s="2432"/>
      <c r="S63" s="2432"/>
      <c r="T63" s="2432"/>
      <c r="U63" s="2432"/>
      <c r="V63" s="2432"/>
      <c r="W63" s="2432"/>
      <c r="X63" s="2432"/>
      <c r="Y63" s="2432"/>
      <c r="Z63" s="2432"/>
      <c r="AA63" s="2432"/>
      <c r="AB63" s="2432"/>
      <c r="AC63" s="2432"/>
    </row>
    <row r="64" spans="1:29">
      <c r="A64" s="379" t="s">
        <v>1719</v>
      </c>
      <c r="B64" s="460" t="s">
        <v>1685</v>
      </c>
      <c r="C64" s="461">
        <f>C9</f>
        <v>0</v>
      </c>
      <c r="D64" s="462"/>
      <c r="E64" s="462"/>
      <c r="F64" s="462"/>
      <c r="G64" s="462"/>
      <c r="H64" s="462"/>
      <c r="I64" s="462"/>
      <c r="J64" s="462"/>
      <c r="K64" s="463"/>
      <c r="L64" s="464"/>
      <c r="M64" s="465"/>
      <c r="N64" s="2514"/>
      <c r="O64" s="2514"/>
      <c r="P64" s="2523"/>
      <c r="Q64" s="2501"/>
      <c r="R64" s="2480"/>
      <c r="S64" s="2480"/>
      <c r="T64" s="2480"/>
      <c r="U64" s="2480"/>
      <c r="V64" s="2480"/>
      <c r="W64" s="2480"/>
      <c r="X64" s="2480"/>
      <c r="Y64" s="2480"/>
      <c r="Z64" s="2480"/>
      <c r="AA64" s="2480"/>
      <c r="AB64" s="2480"/>
      <c r="AC64" s="2480"/>
    </row>
    <row r="65" spans="1:29" ht="15.75" thickBot="1">
      <c r="A65" s="367"/>
      <c r="B65" s="466"/>
      <c r="C65" s="467">
        <v>100</v>
      </c>
      <c r="D65" s="467"/>
      <c r="E65" s="467"/>
      <c r="F65" s="467"/>
      <c r="G65" s="467"/>
      <c r="H65" s="467"/>
      <c r="I65" s="467"/>
      <c r="J65" s="467"/>
      <c r="K65" s="467"/>
      <c r="L65" s="467"/>
      <c r="M65" s="468"/>
      <c r="N65" s="2515"/>
      <c r="O65" s="2515"/>
      <c r="P65" s="2523"/>
      <c r="Q65" s="2501"/>
      <c r="R65" s="2480"/>
      <c r="S65" s="2480"/>
      <c r="T65" s="2480"/>
      <c r="U65" s="2480"/>
      <c r="V65" s="2480"/>
      <c r="W65" s="2480"/>
      <c r="X65" s="2480"/>
      <c r="Y65" s="2480"/>
      <c r="Z65" s="2480"/>
      <c r="AA65" s="2480"/>
      <c r="AB65" s="2480"/>
      <c r="AC65" s="2480"/>
    </row>
    <row r="66" spans="1:29" ht="27.75" thickTop="1">
      <c r="A66" s="367"/>
      <c r="B66" s="469" t="s">
        <v>1688</v>
      </c>
      <c r="C66" s="513"/>
      <c r="D66" s="513"/>
      <c r="E66" s="513"/>
      <c r="F66" s="513"/>
      <c r="G66" s="513"/>
      <c r="H66" s="513"/>
      <c r="I66" s="513"/>
      <c r="J66" s="513"/>
      <c r="K66" s="514"/>
      <c r="L66" s="515"/>
      <c r="M66" s="516"/>
      <c r="N66" s="2514"/>
      <c r="O66" s="2514"/>
      <c r="P66" s="2523"/>
      <c r="Q66" s="2501"/>
      <c r="R66" s="2480"/>
      <c r="S66" s="2480"/>
      <c r="T66" s="2480"/>
      <c r="U66" s="2480"/>
      <c r="V66" s="2480"/>
      <c r="W66" s="2480"/>
      <c r="X66" s="2480"/>
      <c r="Y66" s="2480"/>
      <c r="Z66" s="2480"/>
      <c r="AA66" s="2480"/>
      <c r="AB66" s="2480"/>
      <c r="AC66" s="2480"/>
    </row>
    <row r="67" spans="1:29" ht="15.75" thickBot="1">
      <c r="A67" s="367"/>
      <c r="B67" s="474"/>
      <c r="C67" s="467"/>
      <c r="D67" s="467"/>
      <c r="E67" s="467"/>
      <c r="F67" s="467"/>
      <c r="G67" s="467"/>
      <c r="H67" s="467"/>
      <c r="I67" s="467"/>
      <c r="J67" s="467"/>
      <c r="K67" s="467"/>
      <c r="L67" s="467"/>
      <c r="M67" s="468"/>
      <c r="N67" s="2515"/>
      <c r="O67" s="2515"/>
      <c r="P67" s="2523"/>
      <c r="Q67" s="2501"/>
      <c r="R67" s="2480"/>
      <c r="S67" s="2480"/>
      <c r="T67" s="2480"/>
      <c r="U67" s="2480"/>
      <c r="V67" s="2480"/>
      <c r="W67" s="2480"/>
      <c r="X67" s="2480"/>
      <c r="Y67" s="2480"/>
      <c r="Z67" s="2480"/>
      <c r="AA67" s="2480"/>
      <c r="AB67" s="2480"/>
      <c r="AC67" s="2480"/>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7"/>
      <c r="B69" s="479"/>
      <c r="C69" s="480">
        <v>0</v>
      </c>
      <c r="D69" s="480">
        <v>3</v>
      </c>
      <c r="E69" s="480"/>
      <c r="F69" s="480"/>
      <c r="G69" s="480"/>
      <c r="H69" s="480"/>
      <c r="I69" s="480"/>
      <c r="J69" s="480"/>
      <c r="K69" s="481"/>
      <c r="L69" s="482"/>
      <c r="M69" s="483"/>
      <c r="N69" s="2514"/>
      <c r="O69" s="2514"/>
      <c r="P69" s="2523"/>
      <c r="Q69" s="2501"/>
      <c r="R69" s="2480"/>
      <c r="S69" s="2480"/>
      <c r="T69" s="2480"/>
      <c r="U69" s="2480"/>
      <c r="V69" s="2480"/>
      <c r="W69" s="2480"/>
      <c r="X69" s="2480"/>
      <c r="Y69" s="2480"/>
      <c r="Z69" s="2480"/>
      <c r="AA69" s="2480"/>
      <c r="AB69" s="2480"/>
      <c r="AC69" s="2480"/>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5"/>
      <c r="O70" s="2515"/>
      <c r="P70" s="2523"/>
      <c r="Q70" s="2501"/>
      <c r="R70" s="2480"/>
      <c r="S70" s="2480"/>
      <c r="T70" s="2480"/>
      <c r="U70" s="2480"/>
      <c r="V70" s="2480"/>
      <c r="W70" s="2480"/>
      <c r="X70" s="2480"/>
      <c r="Y70" s="2480"/>
      <c r="Z70" s="2480"/>
      <c r="AA70" s="2480"/>
      <c r="AB70" s="2480"/>
      <c r="AC70" s="2480"/>
    </row>
    <row r="71" spans="1:29" s="408" customFormat="1" ht="15.75" thickTop="1">
      <c r="A71" s="484"/>
      <c r="B71" s="469">
        <f>B12</f>
        <v>111</v>
      </c>
      <c r="C71" s="485"/>
      <c r="D71" s="485"/>
      <c r="E71" s="485"/>
      <c r="F71" s="485"/>
      <c r="G71" s="485"/>
      <c r="H71" s="486"/>
      <c r="I71" s="486"/>
      <c r="J71" s="486"/>
      <c r="K71" s="486"/>
      <c r="L71" s="487"/>
      <c r="M71" s="488"/>
      <c r="N71" s="2516"/>
      <c r="O71" s="2516"/>
      <c r="P71" s="2524"/>
      <c r="Q71" s="2508"/>
      <c r="R71" s="2486"/>
      <c r="S71" s="2486"/>
      <c r="T71" s="2486"/>
      <c r="U71" s="2486"/>
      <c r="V71" s="2486"/>
      <c r="W71" s="2486"/>
      <c r="X71" s="2486"/>
      <c r="Y71" s="2486"/>
      <c r="Z71" s="2486"/>
      <c r="AA71" s="2486"/>
      <c r="AB71" s="2486"/>
      <c r="AC71" s="2486"/>
    </row>
    <row r="72" spans="1:29" s="408" customFormat="1" ht="15.75" thickBot="1">
      <c r="A72" s="484"/>
      <c r="B72" s="474"/>
      <c r="C72" s="491"/>
      <c r="D72" s="467"/>
      <c r="E72" s="467"/>
      <c r="F72" s="467"/>
      <c r="G72" s="467"/>
      <c r="H72" s="467"/>
      <c r="I72" s="467"/>
      <c r="J72" s="467"/>
      <c r="K72" s="467"/>
      <c r="L72" s="467"/>
      <c r="M72" s="468"/>
      <c r="N72" s="2515"/>
      <c r="O72" s="2515"/>
      <c r="P72" s="2524"/>
      <c r="Q72" s="2508"/>
      <c r="R72" s="2486"/>
      <c r="S72" s="2486"/>
      <c r="T72" s="2486"/>
      <c r="U72" s="2486"/>
      <c r="V72" s="2486"/>
      <c r="W72" s="2486"/>
      <c r="X72" s="2486"/>
      <c r="Y72" s="2486"/>
      <c r="Z72" s="2486"/>
      <c r="AA72" s="2486"/>
      <c r="AB72" s="2486"/>
      <c r="AC72" s="2486"/>
    </row>
    <row r="73" spans="1:29" s="408" customFormat="1" ht="15.75" thickTop="1">
      <c r="A73" s="484"/>
      <c r="B73" s="469">
        <f>B13</f>
        <v>111</v>
      </c>
      <c r="C73" s="485"/>
      <c r="D73" s="485"/>
      <c r="E73" s="485"/>
      <c r="F73" s="485"/>
      <c r="G73" s="485"/>
      <c r="H73" s="486"/>
      <c r="I73" s="486"/>
      <c r="J73" s="486"/>
      <c r="K73" s="486"/>
      <c r="L73" s="487"/>
      <c r="M73" s="488"/>
      <c r="N73" s="2516"/>
      <c r="O73" s="2516"/>
      <c r="P73" s="2525"/>
      <c r="Q73" s="2510"/>
      <c r="R73" s="2486"/>
      <c r="S73" s="2486"/>
      <c r="T73" s="2486"/>
      <c r="U73" s="2486"/>
      <c r="V73" s="2486"/>
      <c r="W73" s="2486"/>
      <c r="X73" s="2486"/>
      <c r="Y73" s="2486"/>
      <c r="Z73" s="2486"/>
      <c r="AA73" s="2486"/>
      <c r="AB73" s="2486"/>
      <c r="AC73" s="2486"/>
    </row>
    <row r="74" spans="1:29" s="408" customFormat="1" ht="15.75" thickBot="1">
      <c r="A74" s="484"/>
      <c r="B74" s="474"/>
      <c r="C74" s="491"/>
      <c r="D74" s="491"/>
      <c r="E74" s="491"/>
      <c r="F74" s="491"/>
      <c r="G74" s="491"/>
      <c r="H74" s="493"/>
      <c r="I74" s="493"/>
      <c r="J74" s="493"/>
      <c r="K74" s="493"/>
      <c r="L74" s="493"/>
      <c r="M74" s="494"/>
      <c r="N74" s="2516"/>
      <c r="O74" s="2516"/>
      <c r="P74" s="2524"/>
      <c r="Q74" s="2508"/>
      <c r="R74" s="2486"/>
      <c r="S74" s="2486"/>
      <c r="T74" s="2486"/>
      <c r="U74" s="2486"/>
      <c r="V74" s="2486"/>
      <c r="W74" s="2486"/>
      <c r="X74" s="2486"/>
      <c r="Y74" s="2486"/>
      <c r="Z74" s="2486"/>
      <c r="AA74" s="2486"/>
      <c r="AB74" s="2486"/>
      <c r="AC74" s="2486"/>
    </row>
    <row r="75" spans="1:29" s="408" customFormat="1" ht="15.75" thickTop="1">
      <c r="A75" s="484"/>
      <c r="B75" s="477">
        <f>B14</f>
        <v>111</v>
      </c>
      <c r="C75" s="31"/>
      <c r="D75" s="31"/>
      <c r="E75" s="31"/>
      <c r="F75" s="31"/>
      <c r="G75" s="31"/>
      <c r="H75" s="495"/>
      <c r="I75" s="495"/>
      <c r="J75" s="495"/>
      <c r="K75" s="495"/>
      <c r="L75" s="496"/>
      <c r="M75" s="497"/>
      <c r="N75" s="2516"/>
      <c r="O75" s="2516"/>
      <c r="P75" s="2526"/>
      <c r="Q75" s="2508"/>
      <c r="R75" s="2486"/>
      <c r="S75" s="2486"/>
      <c r="T75" s="2486"/>
      <c r="U75" s="2486"/>
      <c r="V75" s="2486"/>
      <c r="W75" s="2486"/>
      <c r="X75" s="2486"/>
      <c r="Y75" s="2486"/>
      <c r="Z75" s="2486"/>
      <c r="AA75" s="2486"/>
      <c r="AB75" s="2486"/>
      <c r="AC75" s="2486"/>
    </row>
    <row r="76" spans="1:29" s="408" customFormat="1" ht="15.75" thickBot="1">
      <c r="A76" s="499"/>
      <c r="B76" s="500"/>
      <c r="C76" s="501"/>
      <c r="D76" s="501"/>
      <c r="E76" s="501"/>
      <c r="F76" s="501"/>
      <c r="G76" s="501"/>
      <c r="H76" s="502"/>
      <c r="I76" s="502"/>
      <c r="J76" s="502"/>
      <c r="K76" s="502"/>
      <c r="L76" s="502"/>
      <c r="M76" s="503"/>
      <c r="N76" s="2516"/>
      <c r="O76" s="2516"/>
      <c r="P76" s="2524"/>
      <c r="Q76" s="2508"/>
      <c r="R76" s="2486"/>
      <c r="S76" s="2486"/>
      <c r="T76" s="2486"/>
      <c r="U76" s="2486"/>
      <c r="V76" s="2486"/>
      <c r="W76" s="2486"/>
      <c r="X76" s="2486"/>
      <c r="Y76" s="2486"/>
      <c r="Z76" s="2486"/>
      <c r="AA76" s="2486"/>
      <c r="AB76" s="2486"/>
      <c r="AC76" s="2486"/>
    </row>
    <row r="77" spans="1:29">
      <c r="A77" s="379" t="s">
        <v>1690</v>
      </c>
      <c r="B77" s="460" t="s">
        <v>1821</v>
      </c>
      <c r="C77" s="504" t="s">
        <v>1721</v>
      </c>
      <c r="D77" s="504" t="s">
        <v>1722</v>
      </c>
      <c r="E77" s="504" t="s">
        <v>1723</v>
      </c>
      <c r="F77" s="504" t="s">
        <v>1724</v>
      </c>
      <c r="G77" s="504" t="s">
        <v>1725</v>
      </c>
      <c r="H77" s="461"/>
      <c r="I77" s="461"/>
      <c r="J77" s="461"/>
      <c r="K77" s="505"/>
      <c r="L77" s="506"/>
      <c r="M77" s="507"/>
      <c r="N77" s="2514"/>
      <c r="O77" s="2514"/>
      <c r="P77" s="2527"/>
      <c r="Q77" s="2501"/>
      <c r="R77" s="2480"/>
      <c r="S77" s="2480"/>
      <c r="T77" s="2480"/>
      <c r="U77" s="2480"/>
      <c r="V77" s="2480"/>
      <c r="W77" s="2480"/>
      <c r="X77" s="2480"/>
      <c r="Y77" s="2480"/>
      <c r="Z77" s="2480"/>
      <c r="AA77" s="2480"/>
      <c r="AB77" s="2480"/>
      <c r="AC77" s="2480"/>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5"/>
      <c r="O78" s="2515"/>
      <c r="P78" s="2523"/>
      <c r="Q78" s="2501"/>
      <c r="R78" s="2480"/>
      <c r="S78" s="2480"/>
      <c r="T78" s="2480"/>
      <c r="U78" s="2480"/>
      <c r="V78" s="2480"/>
      <c r="W78" s="2480"/>
      <c r="X78" s="2480"/>
      <c r="Y78" s="2480"/>
      <c r="Z78" s="2480"/>
      <c r="AA78" s="2480"/>
      <c r="AB78" s="2480"/>
      <c r="AC78" s="2480"/>
    </row>
    <row r="79" spans="1:29" ht="15.75" thickTop="1">
      <c r="A79" s="367"/>
      <c r="B79" s="469" t="s">
        <v>1726</v>
      </c>
      <c r="C79" s="509" t="s">
        <v>1721</v>
      </c>
      <c r="D79" s="509" t="s">
        <v>1722</v>
      </c>
      <c r="E79" s="509" t="s">
        <v>1723</v>
      </c>
      <c r="F79" s="509" t="s">
        <v>1724</v>
      </c>
      <c r="G79" s="509" t="s">
        <v>1725</v>
      </c>
      <c r="H79" s="470"/>
      <c r="I79" s="470"/>
      <c r="J79" s="470"/>
      <c r="K79" s="471"/>
      <c r="L79" s="472"/>
      <c r="M79" s="473"/>
      <c r="N79" s="2514"/>
      <c r="O79" s="2514"/>
      <c r="P79" s="2523"/>
      <c r="Q79" s="2501"/>
      <c r="R79" s="2480"/>
      <c r="S79" s="2480"/>
      <c r="T79" s="2480"/>
      <c r="U79" s="2480"/>
      <c r="V79" s="2480"/>
      <c r="W79" s="2480"/>
      <c r="X79" s="2480"/>
      <c r="Y79" s="2480"/>
      <c r="Z79" s="2480"/>
      <c r="AA79" s="2480"/>
      <c r="AB79" s="2480"/>
      <c r="AC79" s="2480"/>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5"/>
      <c r="O80" s="2515"/>
      <c r="P80" s="2523"/>
      <c r="Q80" s="2501"/>
      <c r="R80" s="2480"/>
      <c r="S80" s="2480"/>
      <c r="T80" s="2480"/>
      <c r="U80" s="2480"/>
      <c r="V80" s="2480"/>
      <c r="W80" s="2480"/>
      <c r="X80" s="2480"/>
      <c r="Y80" s="2480"/>
      <c r="Z80" s="2480"/>
      <c r="AA80" s="2480"/>
      <c r="AB80" s="2480"/>
      <c r="AC80" s="2480"/>
    </row>
    <row r="81" spans="1:29" ht="15.75" thickTop="1">
      <c r="A81" s="367"/>
      <c r="B81" s="469" t="s">
        <v>1727</v>
      </c>
      <c r="C81" s="509" t="s">
        <v>1721</v>
      </c>
      <c r="D81" s="509" t="s">
        <v>1722</v>
      </c>
      <c r="E81" s="509" t="s">
        <v>1723</v>
      </c>
      <c r="F81" s="509" t="s">
        <v>1724</v>
      </c>
      <c r="G81" s="509" t="s">
        <v>1725</v>
      </c>
      <c r="H81" s="470"/>
      <c r="I81" s="470"/>
      <c r="J81" s="470"/>
      <c r="K81" s="471"/>
      <c r="L81" s="472"/>
      <c r="M81" s="473"/>
      <c r="N81" s="2514"/>
      <c r="O81" s="2514"/>
      <c r="P81" s="2523"/>
      <c r="Q81" s="2501"/>
      <c r="R81" s="2480"/>
      <c r="S81" s="2480"/>
      <c r="T81" s="2480"/>
      <c r="U81" s="2480"/>
      <c r="V81" s="2480"/>
      <c r="W81" s="2480"/>
      <c r="X81" s="2480"/>
      <c r="Y81" s="2480"/>
      <c r="Z81" s="2480"/>
      <c r="AA81" s="2480"/>
      <c r="AB81" s="2480"/>
      <c r="AC81" s="2480"/>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5"/>
      <c r="O82" s="2515"/>
      <c r="P82" s="2523"/>
      <c r="Q82" s="2501"/>
      <c r="R82" s="2480"/>
      <c r="S82" s="2480"/>
      <c r="T82" s="2480"/>
      <c r="U82" s="2480"/>
      <c r="V82" s="2480"/>
      <c r="W82" s="2480"/>
      <c r="X82" s="2480"/>
      <c r="Y82" s="2480"/>
      <c r="Z82" s="2480"/>
      <c r="AA82" s="2480"/>
      <c r="AB82" s="2480"/>
      <c r="AC82" s="2480"/>
    </row>
    <row r="83" spans="1:29" ht="15.75" thickTop="1">
      <c r="A83" s="367"/>
      <c r="B83" s="477" t="s">
        <v>1813</v>
      </c>
      <c r="C83" s="581" t="s">
        <v>1799</v>
      </c>
      <c r="D83" s="581" t="s">
        <v>1800</v>
      </c>
      <c r="E83" s="581" t="s">
        <v>1801</v>
      </c>
      <c r="F83" s="581" t="s">
        <v>1802</v>
      </c>
      <c r="G83" s="581" t="s">
        <v>1803</v>
      </c>
      <c r="H83" s="470"/>
      <c r="I83" s="470"/>
      <c r="J83" s="470"/>
      <c r="K83" s="470"/>
      <c r="L83" s="470"/>
      <c r="M83" s="1059"/>
      <c r="N83" s="2515"/>
      <c r="O83" s="2515"/>
      <c r="P83" s="2523"/>
      <c r="Q83" s="2501"/>
      <c r="R83" s="2480"/>
      <c r="S83" s="2480"/>
      <c r="T83" s="2480"/>
      <c r="U83" s="2480"/>
      <c r="V83" s="2480"/>
      <c r="W83" s="2480"/>
      <c r="X83" s="2480"/>
      <c r="Y83" s="2480"/>
      <c r="Z83" s="2480"/>
      <c r="AA83" s="2480"/>
      <c r="AB83" s="2480"/>
      <c r="AC83" s="2480"/>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5"/>
      <c r="O84" s="2515"/>
      <c r="P84" s="2523"/>
      <c r="Q84" s="2501"/>
      <c r="R84" s="2480"/>
      <c r="S84" s="2480"/>
      <c r="T84" s="2480"/>
      <c r="U84" s="2480"/>
      <c r="V84" s="2480"/>
      <c r="W84" s="2480"/>
      <c r="X84" s="2480"/>
      <c r="Y84" s="2480"/>
      <c r="Z84" s="2480"/>
      <c r="AA84" s="2480"/>
      <c r="AB84" s="2480"/>
      <c r="AC84" s="2480"/>
    </row>
    <row r="85" spans="1:29" ht="15.75" thickTop="1">
      <c r="A85" s="367"/>
      <c r="B85" s="469" t="s">
        <v>1822</v>
      </c>
      <c r="C85" s="509" t="s">
        <v>1721</v>
      </c>
      <c r="D85" s="509" t="s">
        <v>1722</v>
      </c>
      <c r="E85" s="509" t="s">
        <v>1723</v>
      </c>
      <c r="F85" s="509" t="s">
        <v>1724</v>
      </c>
      <c r="G85" s="509" t="s">
        <v>1725</v>
      </c>
      <c r="H85" s="470"/>
      <c r="I85" s="470"/>
      <c r="J85" s="470"/>
      <c r="K85" s="471"/>
      <c r="L85" s="472"/>
      <c r="M85" s="473"/>
      <c r="N85" s="2514"/>
      <c r="O85" s="2514"/>
      <c r="P85" s="2523"/>
      <c r="Q85" s="2501"/>
      <c r="R85" s="2480"/>
      <c r="S85" s="2480"/>
      <c r="T85" s="2480"/>
      <c r="U85" s="2480"/>
      <c r="V85" s="2480"/>
      <c r="W85" s="2480"/>
      <c r="X85" s="2480"/>
      <c r="Y85" s="2480"/>
      <c r="Z85" s="2480"/>
      <c r="AA85" s="2480"/>
      <c r="AB85" s="2480"/>
      <c r="AC85" s="2480"/>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5"/>
      <c r="O86" s="2515"/>
      <c r="P86" s="2523"/>
      <c r="Q86" s="2501"/>
      <c r="R86" s="2480"/>
      <c r="S86" s="2480"/>
      <c r="T86" s="2480"/>
      <c r="U86" s="2480"/>
      <c r="V86" s="2480"/>
      <c r="W86" s="2480"/>
      <c r="X86" s="2480"/>
      <c r="Y86" s="2480"/>
      <c r="Z86" s="2480"/>
      <c r="AA86" s="2480"/>
      <c r="AB86" s="2480"/>
      <c r="AC86" s="2480"/>
    </row>
    <row r="87" spans="1:29" s="102" customFormat="1" ht="27.75" thickTop="1">
      <c r="A87" s="370"/>
      <c r="B87" s="469" t="s">
        <v>1823</v>
      </c>
      <c r="C87" s="485"/>
      <c r="D87" s="485"/>
      <c r="E87" s="485"/>
      <c r="F87" s="485"/>
      <c r="G87" s="485"/>
      <c r="H87" s="485"/>
      <c r="I87" s="485"/>
      <c r="J87" s="485"/>
      <c r="K87" s="485"/>
      <c r="L87" s="510"/>
      <c r="M87" s="511"/>
      <c r="N87" s="2513"/>
      <c r="O87" s="2513"/>
      <c r="P87" s="2523"/>
      <c r="Q87" s="2501"/>
      <c r="R87" s="2432"/>
      <c r="S87" s="2432"/>
      <c r="T87" s="2432"/>
      <c r="U87" s="2432"/>
      <c r="V87" s="2432"/>
      <c r="W87" s="2432"/>
      <c r="X87" s="2432"/>
      <c r="Y87" s="2432"/>
      <c r="Z87" s="2432"/>
      <c r="AA87" s="2432"/>
      <c r="AB87" s="2432"/>
      <c r="AC87" s="2432"/>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5"/>
      <c r="O88" s="2515"/>
      <c r="P88" s="2523"/>
      <c r="Q88" s="2501"/>
      <c r="R88" s="2432"/>
      <c r="S88" s="2432"/>
      <c r="T88" s="2432"/>
      <c r="U88" s="2432"/>
      <c r="V88" s="2432"/>
      <c r="W88" s="2432"/>
      <c r="X88" s="2432"/>
      <c r="Y88" s="2432"/>
      <c r="Z88" s="2432"/>
      <c r="AA88" s="2432"/>
      <c r="AB88" s="2432"/>
      <c r="AC88" s="2432"/>
    </row>
    <row r="89" spans="1:29" s="102" customFormat="1" ht="15.75" thickTop="1">
      <c r="A89" s="370"/>
      <c r="B89" s="469" t="str">
        <f>B27</f>
        <v>楼层</v>
      </c>
      <c r="C89" s="485"/>
      <c r="D89" s="485"/>
      <c r="E89" s="485"/>
      <c r="F89" s="1774"/>
      <c r="G89" s="485"/>
      <c r="H89" s="485"/>
      <c r="I89" s="485"/>
      <c r="J89" s="485"/>
      <c r="K89" s="485"/>
      <c r="L89" s="485"/>
      <c r="M89" s="511"/>
      <c r="N89" s="2513"/>
      <c r="O89" s="2513"/>
      <c r="P89" s="2523"/>
      <c r="Q89" s="2501"/>
      <c r="R89" s="2432"/>
      <c r="S89" s="2432"/>
      <c r="T89" s="2432"/>
      <c r="U89" s="2432"/>
      <c r="V89" s="2432"/>
      <c r="W89" s="2432"/>
      <c r="X89" s="2432"/>
      <c r="Y89" s="2432"/>
      <c r="Z89" s="2432"/>
      <c r="AA89" s="2432"/>
      <c r="AB89" s="2432"/>
      <c r="AC89" s="2432"/>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5"/>
      <c r="O90" s="2515"/>
      <c r="P90" s="2523"/>
      <c r="Q90" s="2501"/>
      <c r="R90" s="2432"/>
      <c r="S90" s="2432"/>
      <c r="T90" s="2432"/>
      <c r="U90" s="2432"/>
      <c r="V90" s="2432"/>
      <c r="W90" s="2432"/>
      <c r="X90" s="2432"/>
      <c r="Y90" s="2432"/>
      <c r="Z90" s="2432"/>
      <c r="AA90" s="2432"/>
      <c r="AB90" s="2432"/>
      <c r="AC90" s="2432"/>
    </row>
    <row r="91" spans="1:29" s="408" customFormat="1" ht="15.75" thickTop="1">
      <c r="A91" s="484"/>
      <c r="B91" s="469" t="str">
        <f>B28</f>
        <v>朝向</v>
      </c>
      <c r="C91" s="485"/>
      <c r="D91" s="485"/>
      <c r="E91" s="485"/>
      <c r="F91" s="485"/>
      <c r="G91" s="485"/>
      <c r="H91" s="486"/>
      <c r="I91" s="486"/>
      <c r="J91" s="486"/>
      <c r="K91" s="486"/>
      <c r="L91" s="487"/>
      <c r="M91" s="488"/>
      <c r="N91" s="2516"/>
      <c r="O91" s="2516"/>
      <c r="P91" s="2524"/>
      <c r="Q91" s="2508"/>
      <c r="R91" s="2486"/>
      <c r="S91" s="2486"/>
      <c r="T91" s="2486"/>
      <c r="U91" s="2486"/>
      <c r="V91" s="2486"/>
      <c r="W91" s="2486"/>
      <c r="X91" s="2486"/>
      <c r="Y91" s="2486"/>
      <c r="Z91" s="2486"/>
      <c r="AA91" s="2486"/>
      <c r="AB91" s="2486"/>
      <c r="AC91" s="2486"/>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7"/>
      <c r="B93" s="469">
        <f>B29</f>
        <v>111</v>
      </c>
      <c r="C93" s="485"/>
      <c r="D93" s="485"/>
      <c r="E93" s="485"/>
      <c r="F93" s="485"/>
      <c r="G93" s="485"/>
      <c r="H93" s="485"/>
      <c r="I93" s="485"/>
      <c r="J93" s="485"/>
      <c r="K93" s="485"/>
      <c r="L93" s="510"/>
      <c r="M93" s="511"/>
      <c r="N93" s="2514"/>
      <c r="O93" s="2514"/>
      <c r="P93" s="2523"/>
      <c r="Q93" s="2501"/>
      <c r="R93" s="2480"/>
      <c r="S93" s="2480"/>
      <c r="T93" s="2480"/>
      <c r="U93" s="2480"/>
      <c r="V93" s="2480"/>
      <c r="W93" s="2480"/>
      <c r="X93" s="2480"/>
      <c r="Y93" s="2480"/>
      <c r="Z93" s="2480"/>
      <c r="AA93" s="2480"/>
      <c r="AB93" s="2480"/>
      <c r="AC93" s="2480"/>
    </row>
    <row r="94" spans="1:29" ht="15.75" thickBot="1">
      <c r="A94" s="367"/>
      <c r="B94" s="474"/>
      <c r="C94" s="491"/>
      <c r="D94" s="467"/>
      <c r="E94" s="467"/>
      <c r="F94" s="467"/>
      <c r="G94" s="467"/>
      <c r="H94" s="467"/>
      <c r="I94" s="467"/>
      <c r="J94" s="467"/>
      <c r="K94" s="467"/>
      <c r="L94" s="467"/>
      <c r="M94" s="468"/>
      <c r="N94" s="2515"/>
      <c r="O94" s="2515"/>
      <c r="P94" s="2523"/>
      <c r="Q94" s="2501"/>
      <c r="R94" s="2480"/>
      <c r="S94" s="2480"/>
      <c r="T94" s="2480"/>
      <c r="U94" s="2480"/>
      <c r="V94" s="2480"/>
      <c r="W94" s="2480"/>
      <c r="X94" s="2480"/>
      <c r="Y94" s="2480"/>
      <c r="Z94" s="2480"/>
      <c r="AA94" s="2480"/>
      <c r="AB94" s="2480"/>
      <c r="AC94" s="2480"/>
    </row>
    <row r="95" spans="1:29" ht="15.75" thickTop="1">
      <c r="A95" s="367"/>
      <c r="B95" s="469">
        <f>B30</f>
        <v>111</v>
      </c>
      <c r="C95" s="485"/>
      <c r="D95" s="485"/>
      <c r="E95" s="485"/>
      <c r="F95" s="485"/>
      <c r="G95" s="513"/>
      <c r="H95" s="513"/>
      <c r="I95" s="513"/>
      <c r="J95" s="513"/>
      <c r="K95" s="514"/>
      <c r="L95" s="515"/>
      <c r="M95" s="516"/>
      <c r="N95" s="2514"/>
      <c r="O95" s="2514"/>
      <c r="P95" s="2523"/>
      <c r="Q95" s="2501"/>
      <c r="R95" s="2480"/>
      <c r="S95" s="2480"/>
      <c r="T95" s="2480"/>
      <c r="U95" s="2480"/>
      <c r="V95" s="2480"/>
      <c r="W95" s="2480"/>
      <c r="X95" s="2480"/>
      <c r="Y95" s="2480"/>
      <c r="Z95" s="2480"/>
      <c r="AA95" s="2480"/>
      <c r="AB95" s="2480"/>
      <c r="AC95" s="2480"/>
    </row>
    <row r="96" spans="1:29" ht="15.75" thickBot="1">
      <c r="A96" s="367"/>
      <c r="B96" s="474"/>
      <c r="C96" s="491"/>
      <c r="D96" s="491"/>
      <c r="E96" s="491"/>
      <c r="F96" s="491"/>
      <c r="G96" s="467"/>
      <c r="H96" s="467"/>
      <c r="I96" s="467"/>
      <c r="J96" s="467"/>
      <c r="K96" s="467"/>
      <c r="L96" s="467"/>
      <c r="M96" s="468"/>
      <c r="N96" s="2515"/>
      <c r="O96" s="2515"/>
      <c r="P96" s="2523"/>
      <c r="Q96" s="2501"/>
      <c r="R96" s="2480"/>
      <c r="S96" s="2480"/>
      <c r="T96" s="2480"/>
      <c r="U96" s="2480"/>
      <c r="V96" s="2480"/>
      <c r="W96" s="2480"/>
      <c r="X96" s="2480"/>
      <c r="Y96" s="2480"/>
      <c r="Z96" s="2480"/>
      <c r="AA96" s="2480"/>
      <c r="AB96" s="2480"/>
      <c r="AC96" s="2480"/>
    </row>
    <row r="97" spans="1:29" ht="15.75" thickTop="1">
      <c r="A97" s="367"/>
      <c r="B97" s="469">
        <f>B31</f>
        <v>111</v>
      </c>
      <c r="C97" s="485"/>
      <c r="D97" s="485"/>
      <c r="E97" s="485"/>
      <c r="F97" s="485"/>
      <c r="G97" s="513"/>
      <c r="H97" s="513"/>
      <c r="I97" s="513"/>
      <c r="J97" s="513"/>
      <c r="K97" s="514"/>
      <c r="L97" s="515"/>
      <c r="M97" s="516"/>
      <c r="N97" s="2514"/>
      <c r="O97" s="2514"/>
      <c r="P97" s="2523"/>
      <c r="Q97" s="2501"/>
      <c r="R97" s="2480"/>
      <c r="S97" s="2480"/>
      <c r="T97" s="2480"/>
      <c r="U97" s="2480"/>
      <c r="V97" s="2480"/>
      <c r="W97" s="2480"/>
      <c r="X97" s="2480"/>
      <c r="Y97" s="2480"/>
      <c r="Z97" s="2480"/>
      <c r="AA97" s="2480"/>
      <c r="AB97" s="2480"/>
      <c r="AC97" s="2480"/>
    </row>
    <row r="98" spans="1:29" ht="15.75" thickBot="1">
      <c r="A98" s="367"/>
      <c r="B98" s="474"/>
      <c r="C98" s="491"/>
      <c r="D98" s="467"/>
      <c r="E98" s="467"/>
      <c r="F98" s="467"/>
      <c r="G98" s="467"/>
      <c r="H98" s="467"/>
      <c r="I98" s="467"/>
      <c r="J98" s="467"/>
      <c r="K98" s="467"/>
      <c r="L98" s="467"/>
      <c r="M98" s="468"/>
      <c r="N98" s="2515"/>
      <c r="O98" s="2515"/>
      <c r="P98" s="2523"/>
      <c r="Q98" s="2501"/>
      <c r="R98" s="2480"/>
      <c r="S98" s="2480"/>
      <c r="T98" s="2480"/>
      <c r="U98" s="2480"/>
      <c r="V98" s="2480"/>
      <c r="W98" s="2480"/>
      <c r="X98" s="2480"/>
      <c r="Y98" s="2480"/>
      <c r="Z98" s="2480"/>
      <c r="AA98" s="2480"/>
      <c r="AB98" s="2480"/>
      <c r="AC98" s="2480"/>
    </row>
    <row r="99" spans="1:29" ht="15.75" thickTop="1">
      <c r="A99" s="367"/>
      <c r="B99" s="477">
        <f>B32</f>
        <v>111</v>
      </c>
      <c r="C99" s="31"/>
      <c r="D99" s="31"/>
      <c r="E99" s="31"/>
      <c r="F99" s="31"/>
      <c r="G99" s="517"/>
      <c r="H99" s="517"/>
      <c r="I99" s="517"/>
      <c r="J99" s="517"/>
      <c r="K99" s="518"/>
      <c r="L99" s="519"/>
      <c r="M99" s="520"/>
      <c r="N99" s="2514"/>
      <c r="O99" s="2514"/>
      <c r="P99" s="2523"/>
      <c r="Q99" s="2501"/>
      <c r="R99" s="2480"/>
      <c r="S99" s="2480"/>
      <c r="T99" s="2480"/>
      <c r="U99" s="2480"/>
      <c r="V99" s="2480"/>
      <c r="W99" s="2480"/>
      <c r="X99" s="2480"/>
      <c r="Y99" s="2480"/>
      <c r="Z99" s="2480"/>
      <c r="AA99" s="2480"/>
      <c r="AB99" s="2480"/>
      <c r="AC99" s="2480"/>
    </row>
    <row r="100" spans="1:29" ht="15.75" thickBot="1">
      <c r="A100" s="375"/>
      <c r="B100" s="500"/>
      <c r="C100" s="501"/>
      <c r="D100" s="501"/>
      <c r="E100" s="501"/>
      <c r="F100" s="501"/>
      <c r="G100" s="521"/>
      <c r="H100" s="521"/>
      <c r="I100" s="521"/>
      <c r="J100" s="521"/>
      <c r="K100" s="521"/>
      <c r="L100" s="521"/>
      <c r="M100" s="522"/>
      <c r="N100" s="2515"/>
      <c r="O100" s="2515"/>
      <c r="P100" s="2523"/>
      <c r="Q100" s="2501"/>
      <c r="R100" s="2480"/>
      <c r="S100" s="2480"/>
      <c r="T100" s="2480"/>
      <c r="U100" s="2480"/>
      <c r="V100" s="2480"/>
      <c r="W100" s="2480"/>
      <c r="X100" s="2480"/>
      <c r="Y100" s="2480"/>
      <c r="Z100" s="2480"/>
      <c r="AA100" s="2480"/>
      <c r="AB100" s="2480"/>
      <c r="AC100" s="2480"/>
    </row>
    <row r="101" spans="1:29">
      <c r="A101" s="379" t="s">
        <v>1694</v>
      </c>
      <c r="B101" s="460" t="s">
        <v>1736</v>
      </c>
      <c r="C101" s="462"/>
      <c r="D101" s="462"/>
      <c r="E101" s="462"/>
      <c r="F101" s="462"/>
      <c r="G101" s="462"/>
      <c r="H101" s="462"/>
      <c r="I101" s="462"/>
      <c r="J101" s="462"/>
      <c r="K101" s="463"/>
      <c r="L101" s="464"/>
      <c r="M101" s="465"/>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3"/>
      <c r="C104" s="6"/>
      <c r="D104" s="6"/>
      <c r="E104" s="6"/>
      <c r="F104" s="6"/>
      <c r="G104" s="6"/>
      <c r="H104" s="6"/>
      <c r="I104" s="6"/>
      <c r="J104" s="524"/>
      <c r="K104" s="524"/>
      <c r="L104" s="525"/>
      <c r="M104" s="526"/>
      <c r="N104" s="2516"/>
      <c r="O104" s="2516"/>
      <c r="P104" s="2524"/>
      <c r="Q104" s="2508"/>
      <c r="R104" s="2486"/>
      <c r="S104" s="2486"/>
      <c r="T104" s="2486"/>
      <c r="U104" s="2486"/>
      <c r="V104" s="2486"/>
      <c r="W104" s="2486"/>
      <c r="X104" s="2486"/>
      <c r="Y104" s="2486"/>
      <c r="Z104" s="2486"/>
      <c r="AA104" s="2486"/>
      <c r="AB104" s="2486"/>
      <c r="AC104" s="2486"/>
    </row>
    <row r="105" spans="1:29" s="408" customFormat="1" ht="15.75" thickBot="1">
      <c r="A105" s="484"/>
      <c r="B105" s="474"/>
      <c r="C105" s="491"/>
      <c r="D105" s="467"/>
      <c r="E105" s="467"/>
      <c r="F105" s="467"/>
      <c r="G105" s="467"/>
      <c r="H105" s="467"/>
      <c r="I105" s="467"/>
      <c r="J105" s="467"/>
      <c r="K105" s="467"/>
      <c r="L105" s="467"/>
      <c r="M105" s="468"/>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9" t="s">
        <v>1738</v>
      </c>
      <c r="C106" s="485"/>
      <c r="D106" s="485"/>
      <c r="E106" s="513"/>
      <c r="F106" s="513"/>
      <c r="G106" s="513"/>
      <c r="H106" s="513"/>
      <c r="I106" s="513"/>
      <c r="J106" s="513"/>
      <c r="K106" s="514"/>
      <c r="L106" s="515"/>
      <c r="M106" s="516"/>
      <c r="N106" s="2514"/>
      <c r="O106" s="2514"/>
      <c r="P106" s="2523"/>
      <c r="Q106" s="2501"/>
      <c r="R106" s="2480"/>
      <c r="S106" s="2480"/>
      <c r="T106" s="2480"/>
      <c r="U106" s="2480"/>
      <c r="V106" s="2480"/>
      <c r="W106" s="2480"/>
      <c r="X106" s="2480"/>
      <c r="Y106" s="2480"/>
      <c r="Z106" s="2480"/>
      <c r="AA106" s="2480"/>
      <c r="AB106" s="2480"/>
      <c r="AC106" s="2480"/>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9" t="s">
        <v>1740</v>
      </c>
      <c r="C108" s="485"/>
      <c r="D108" s="485"/>
      <c r="E108" s="485"/>
      <c r="F108" s="513"/>
      <c r="G108" s="513"/>
      <c r="H108" s="513"/>
      <c r="I108" s="513"/>
      <c r="J108" s="513"/>
      <c r="K108" s="514"/>
      <c r="L108" s="515"/>
      <c r="M108" s="516"/>
      <c r="N108" s="2514"/>
      <c r="O108" s="2514"/>
      <c r="P108" s="2523"/>
      <c r="Q108" s="2501"/>
      <c r="R108" s="2480"/>
      <c r="S108" s="2480"/>
      <c r="T108" s="2480"/>
      <c r="U108" s="2480"/>
      <c r="V108" s="2480"/>
      <c r="W108" s="2480"/>
      <c r="X108" s="2480"/>
      <c r="Y108" s="2480"/>
      <c r="Z108" s="2480"/>
      <c r="AA108" s="2480"/>
      <c r="AB108" s="2480"/>
      <c r="AC108" s="2480"/>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4"/>
      <c r="O110" s="2514"/>
      <c r="P110" s="2523"/>
      <c r="Q110" s="2501"/>
      <c r="R110" s="2480"/>
      <c r="S110" s="2480"/>
      <c r="T110" s="2480"/>
      <c r="U110" s="2480"/>
      <c r="V110" s="2480"/>
      <c r="W110" s="2480"/>
      <c r="X110" s="2480"/>
      <c r="Y110" s="2480"/>
      <c r="Z110" s="2480"/>
      <c r="AA110" s="2480"/>
      <c r="AB110" s="2480"/>
      <c r="AC110" s="2480"/>
    </row>
    <row r="111" spans="1:29">
      <c r="A111" s="409"/>
      <c r="B111" s="477"/>
      <c r="C111" s="530">
        <v>0.5</v>
      </c>
      <c r="D111" s="530">
        <v>0.6</v>
      </c>
      <c r="E111" s="530">
        <v>0.7</v>
      </c>
      <c r="F111" s="530">
        <v>0.8</v>
      </c>
      <c r="G111" s="530">
        <v>0.9</v>
      </c>
      <c r="H111" s="530">
        <v>1.0001</v>
      </c>
      <c r="I111" s="548"/>
      <c r="J111" s="548"/>
      <c r="K111" s="549"/>
      <c r="L111" s="550"/>
      <c r="M111" s="551"/>
      <c r="N111" s="2514"/>
      <c r="O111" s="2514"/>
      <c r="P111" s="2523"/>
      <c r="Q111" s="2501"/>
      <c r="R111" s="2480"/>
      <c r="S111" s="2480"/>
      <c r="T111" s="2480"/>
      <c r="U111" s="2480"/>
      <c r="V111" s="2480"/>
      <c r="W111" s="2480"/>
      <c r="X111" s="2480"/>
      <c r="Y111" s="2480"/>
      <c r="Z111" s="2480"/>
      <c r="AA111" s="2480"/>
      <c r="AB111" s="2480"/>
      <c r="AC111" s="2480"/>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9" t="s">
        <v>1824</v>
      </c>
      <c r="C113" s="485"/>
      <c r="D113" s="485"/>
      <c r="E113" s="485"/>
      <c r="F113" s="485"/>
      <c r="G113" s="485"/>
      <c r="H113" s="513"/>
      <c r="I113" s="513"/>
      <c r="J113" s="513"/>
      <c r="K113" s="514"/>
      <c r="L113" s="515"/>
      <c r="M113" s="516"/>
      <c r="N113" s="2516"/>
      <c r="O113" s="2516"/>
      <c r="P113" s="2524"/>
      <c r="Q113" s="2508"/>
      <c r="R113" s="2486"/>
      <c r="S113" s="2486"/>
      <c r="T113" s="2486"/>
      <c r="U113" s="2486"/>
      <c r="V113" s="2486"/>
      <c r="W113" s="2486"/>
      <c r="X113" s="2486"/>
      <c r="Y113" s="2486"/>
      <c r="Z113" s="2486"/>
      <c r="AA113" s="2486"/>
      <c r="AB113" s="2486"/>
      <c r="AC113" s="2486"/>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9" t="s">
        <v>1741</v>
      </c>
      <c r="C115" s="485"/>
      <c r="D115" s="485"/>
      <c r="E115" s="513"/>
      <c r="F115" s="513"/>
      <c r="G115" s="513"/>
      <c r="H115" s="513"/>
      <c r="I115" s="513"/>
      <c r="J115" s="513"/>
      <c r="K115" s="514"/>
      <c r="L115" s="515"/>
      <c r="M115" s="516"/>
      <c r="N115" s="2514"/>
      <c r="O115" s="2514"/>
      <c r="P115" s="2523"/>
      <c r="Q115" s="2501"/>
      <c r="R115" s="2480"/>
      <c r="S115" s="2480"/>
      <c r="T115" s="2480"/>
      <c r="U115" s="2480"/>
      <c r="V115" s="2480"/>
      <c r="W115" s="2480"/>
      <c r="X115" s="2480"/>
      <c r="Y115" s="2480"/>
      <c r="Z115" s="2480"/>
      <c r="AA115" s="2480"/>
      <c r="AB115" s="2480"/>
      <c r="AC115" s="2480"/>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9" t="s">
        <v>1742</v>
      </c>
      <c r="C117" s="485"/>
      <c r="D117" s="485"/>
      <c r="E117" s="485"/>
      <c r="F117" s="485"/>
      <c r="G117" s="485"/>
      <c r="H117" s="513"/>
      <c r="I117" s="513"/>
      <c r="J117" s="513"/>
      <c r="K117" s="514"/>
      <c r="L117" s="515"/>
      <c r="M117" s="516"/>
      <c r="N117" s="2514"/>
      <c r="O117" s="2514"/>
      <c r="P117" s="2523"/>
      <c r="Q117" s="2501"/>
      <c r="R117" s="2480"/>
      <c r="S117" s="2480"/>
      <c r="T117" s="2480"/>
      <c r="U117" s="2480"/>
      <c r="V117" s="2480"/>
      <c r="W117" s="2480"/>
      <c r="X117" s="2480"/>
      <c r="Y117" s="2480"/>
      <c r="Z117" s="2480"/>
      <c r="AA117" s="2480"/>
      <c r="AB117" s="2480"/>
      <c r="AC117" s="2480"/>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60" t="s">
        <v>1825</v>
      </c>
      <c r="C119" s="513"/>
      <c r="D119" s="513"/>
      <c r="E119" s="513"/>
      <c r="F119" s="513"/>
      <c r="G119" s="513"/>
      <c r="H119" s="513"/>
      <c r="I119" s="513"/>
      <c r="J119" s="513"/>
      <c r="K119" s="513"/>
      <c r="L119" s="1810"/>
      <c r="M119" s="1811"/>
      <c r="N119" s="2515"/>
      <c r="O119" s="2515"/>
      <c r="P119" s="2528"/>
      <c r="Q119" s="2529"/>
      <c r="R119" s="2480"/>
      <c r="S119" s="2480"/>
      <c r="T119" s="2480"/>
      <c r="U119" s="2480"/>
      <c r="V119" s="2480"/>
      <c r="W119" s="2480"/>
      <c r="X119" s="2480"/>
      <c r="Y119" s="2480"/>
      <c r="Z119" s="2480"/>
      <c r="AA119" s="2480"/>
      <c r="AB119" s="2480"/>
      <c r="AC119" s="2480"/>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9" t="s">
        <v>1808</v>
      </c>
      <c r="C121" s="485"/>
      <c r="D121" s="485"/>
      <c r="E121" s="485"/>
      <c r="F121" s="513"/>
      <c r="G121" s="486"/>
      <c r="H121" s="486"/>
      <c r="I121" s="486"/>
      <c r="J121" s="486"/>
      <c r="K121" s="486"/>
      <c r="L121" s="487"/>
      <c r="M121" s="488"/>
      <c r="N121" s="2516"/>
      <c r="O121" s="2516"/>
      <c r="P121" s="2524"/>
      <c r="Q121" s="2508"/>
      <c r="R121" s="2486"/>
      <c r="S121" s="2486"/>
      <c r="T121" s="2486"/>
      <c r="U121" s="2486"/>
      <c r="V121" s="2486"/>
      <c r="W121" s="2486"/>
      <c r="X121" s="2486"/>
      <c r="Y121" s="2486"/>
      <c r="Z121" s="2486"/>
      <c r="AA121" s="2486"/>
      <c r="AB121" s="2486"/>
      <c r="AC121" s="2486"/>
    </row>
    <row r="122" spans="1:29" s="408" customFormat="1" ht="15.75" thickBot="1">
      <c r="A122" s="484"/>
      <c r="B122" s="466"/>
      <c r="C122" s="491"/>
      <c r="D122" s="491"/>
      <c r="E122" s="491"/>
      <c r="F122" s="491"/>
      <c r="G122" s="491"/>
      <c r="H122" s="491"/>
      <c r="I122" s="491"/>
      <c r="J122" s="491"/>
      <c r="K122" s="491"/>
      <c r="L122" s="491"/>
      <c r="M122" s="491"/>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9" t="s">
        <v>1744</v>
      </c>
      <c r="C123" s="485"/>
      <c r="D123" s="485"/>
      <c r="E123" s="485"/>
      <c r="F123" s="513"/>
      <c r="G123" s="513"/>
      <c r="H123" s="513"/>
      <c r="I123" s="513"/>
      <c r="J123" s="513"/>
      <c r="K123" s="514"/>
      <c r="L123" s="515"/>
      <c r="M123" s="516"/>
      <c r="N123" s="2514"/>
      <c r="O123" s="2514"/>
      <c r="P123" s="2523"/>
      <c r="Q123" s="2501"/>
      <c r="R123" s="2480"/>
      <c r="S123" s="2480"/>
      <c r="T123" s="2480"/>
      <c r="U123" s="2480"/>
      <c r="V123" s="2480"/>
      <c r="W123" s="2480"/>
      <c r="X123" s="2480"/>
      <c r="Y123" s="2480"/>
      <c r="Z123" s="2480"/>
      <c r="AA123" s="2480"/>
      <c r="AB123" s="2480"/>
      <c r="AC123" s="2480"/>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4"/>
      <c r="O125" s="2514"/>
      <c r="P125" s="2524"/>
      <c r="Q125" s="2501"/>
      <c r="R125" s="2480"/>
      <c r="S125" s="2480"/>
      <c r="T125" s="2480"/>
      <c r="U125" s="2480"/>
      <c r="V125" s="2480"/>
      <c r="W125" s="2480"/>
      <c r="X125" s="2480"/>
      <c r="Y125" s="2480"/>
      <c r="Z125" s="2480"/>
      <c r="AA125" s="2480"/>
      <c r="AB125" s="2480"/>
      <c r="AC125" s="2480"/>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5"/>
      <c r="O126" s="2515"/>
      <c r="P126" s="2523"/>
      <c r="Q126" s="2501"/>
      <c r="R126" s="2480"/>
      <c r="S126" s="2480"/>
      <c r="T126" s="2480"/>
      <c r="U126" s="2480"/>
      <c r="V126" s="2480"/>
      <c r="W126" s="2480"/>
      <c r="X126" s="2480"/>
      <c r="Y126" s="2480"/>
      <c r="Z126" s="2480"/>
      <c r="AA126" s="2480"/>
      <c r="AB126" s="2480"/>
      <c r="AC126" s="2480"/>
    </row>
    <row r="127" spans="1:29" s="408" customFormat="1" ht="15" thickTop="1">
      <c r="A127" s="406"/>
      <c r="B127" s="469">
        <f>B45</f>
        <v>111</v>
      </c>
      <c r="C127" s="485"/>
      <c r="D127" s="485"/>
      <c r="E127" s="485"/>
      <c r="F127" s="485"/>
      <c r="G127" s="485"/>
      <c r="H127" s="486"/>
      <c r="I127" s="486"/>
      <c r="J127" s="486"/>
      <c r="K127" s="486"/>
      <c r="L127" s="487"/>
      <c r="M127" s="488"/>
      <c r="N127" s="2516"/>
      <c r="O127" s="2516"/>
      <c r="P127" s="2524"/>
      <c r="Q127" s="2508"/>
      <c r="R127" s="2486"/>
      <c r="S127" s="2486"/>
      <c r="T127" s="2486"/>
      <c r="U127" s="2486"/>
      <c r="V127" s="2486"/>
      <c r="W127" s="2486"/>
      <c r="X127" s="2486"/>
      <c r="Y127" s="2486"/>
      <c r="Z127" s="2486"/>
      <c r="AA127" s="2486"/>
      <c r="AB127" s="2486"/>
      <c r="AC127" s="2486"/>
    </row>
    <row r="128" spans="1:29" s="408" customFormat="1" ht="15.75" thickBot="1">
      <c r="A128" s="484"/>
      <c r="B128" s="474"/>
      <c r="C128" s="491"/>
      <c r="D128" s="467"/>
      <c r="E128" s="467"/>
      <c r="F128" s="467"/>
      <c r="G128" s="491"/>
      <c r="H128" s="493"/>
      <c r="I128" s="493"/>
      <c r="J128" s="493"/>
      <c r="K128" s="493"/>
      <c r="L128" s="493"/>
      <c r="M128" s="494"/>
      <c r="N128" s="2516"/>
      <c r="O128" s="2516"/>
      <c r="P128" s="2524"/>
      <c r="Q128" s="2508"/>
      <c r="R128" s="2486"/>
      <c r="S128" s="2486"/>
      <c r="T128" s="2486"/>
      <c r="U128" s="2486"/>
      <c r="V128" s="2486"/>
      <c r="W128" s="2486"/>
      <c r="X128" s="2486"/>
      <c r="Y128" s="2486"/>
      <c r="Z128" s="2486"/>
      <c r="AA128" s="2486"/>
      <c r="AB128" s="2486"/>
      <c r="AC128" s="2486"/>
    </row>
    <row r="129" spans="1:29" ht="15" thickTop="1">
      <c r="A129" s="409"/>
      <c r="B129" s="469">
        <f>B46</f>
        <v>111</v>
      </c>
      <c r="C129" s="485"/>
      <c r="D129" s="485"/>
      <c r="E129" s="485"/>
      <c r="F129" s="485"/>
      <c r="G129" s="513"/>
      <c r="H129" s="513"/>
      <c r="I129" s="513"/>
      <c r="J129" s="513"/>
      <c r="K129" s="514"/>
      <c r="L129" s="515"/>
      <c r="M129" s="516"/>
      <c r="N129" s="2514"/>
      <c r="O129" s="2514"/>
      <c r="P129" s="2523"/>
      <c r="Q129" s="2501"/>
      <c r="R129" s="2480"/>
      <c r="S129" s="2480"/>
      <c r="T129" s="2480"/>
      <c r="U129" s="2480"/>
      <c r="V129" s="2480"/>
      <c r="W129" s="2480"/>
      <c r="X129" s="2480"/>
      <c r="Y129" s="2480"/>
      <c r="Z129" s="2480"/>
      <c r="AA129" s="2480"/>
      <c r="AB129" s="2480"/>
      <c r="AC129" s="2480"/>
    </row>
    <row r="130" spans="1:29" ht="15.75" thickBot="1">
      <c r="A130" s="367"/>
      <c r="B130" s="474"/>
      <c r="C130" s="491"/>
      <c r="D130" s="491"/>
      <c r="E130" s="491"/>
      <c r="F130" s="491"/>
      <c r="G130" s="467"/>
      <c r="H130" s="467"/>
      <c r="I130" s="467"/>
      <c r="J130" s="467"/>
      <c r="K130" s="467"/>
      <c r="L130" s="467"/>
      <c r="M130" s="468"/>
      <c r="N130" s="2515"/>
      <c r="O130" s="2515"/>
      <c r="P130" s="2523"/>
      <c r="Q130" s="2501"/>
      <c r="R130" s="2480"/>
      <c r="S130" s="2480"/>
      <c r="T130" s="2480"/>
      <c r="U130" s="2480"/>
      <c r="V130" s="2480"/>
      <c r="W130" s="2480"/>
      <c r="X130" s="2480"/>
      <c r="Y130" s="2480"/>
      <c r="Z130" s="2480"/>
      <c r="AA130" s="2480"/>
      <c r="AB130" s="2480"/>
      <c r="AC130" s="2480"/>
    </row>
    <row r="131" spans="1:29" ht="15" thickTop="1">
      <c r="A131" s="409"/>
      <c r="B131" s="477">
        <f>B47</f>
        <v>111</v>
      </c>
      <c r="C131" s="31"/>
      <c r="D131" s="31"/>
      <c r="E131" s="31"/>
      <c r="F131" s="31"/>
      <c r="G131" s="517"/>
      <c r="H131" s="517"/>
      <c r="I131" s="517"/>
      <c r="J131" s="517"/>
      <c r="K131" s="31"/>
      <c r="L131" s="457"/>
      <c r="M131" s="520"/>
      <c r="N131" s="2514"/>
      <c r="O131" s="2514"/>
      <c r="P131" s="2523"/>
      <c r="Q131" s="2501"/>
      <c r="R131" s="2480"/>
      <c r="S131" s="2480"/>
      <c r="T131" s="2480"/>
      <c r="U131" s="2480"/>
      <c r="V131" s="2480"/>
      <c r="W131" s="2480"/>
      <c r="X131" s="2480"/>
      <c r="Y131" s="2480"/>
      <c r="Z131" s="2480"/>
      <c r="AA131" s="2480"/>
      <c r="AB131" s="2480"/>
      <c r="AC131" s="2480"/>
    </row>
    <row r="132" spans="1:29" ht="15.75" thickBot="1">
      <c r="A132" s="375"/>
      <c r="B132" s="500"/>
      <c r="C132" s="501"/>
      <c r="D132" s="501"/>
      <c r="E132" s="501"/>
      <c r="F132" s="501"/>
      <c r="G132" s="521"/>
      <c r="H132" s="521"/>
      <c r="I132" s="521"/>
      <c r="J132" s="521"/>
      <c r="K132" s="521"/>
      <c r="L132" s="521"/>
      <c r="M132" s="522"/>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1660</v>
      </c>
      <c r="B1" s="1802" t="s">
        <v>1826</v>
      </c>
      <c r="C1" s="1137" t="s">
        <v>1662</v>
      </c>
      <c r="D1" s="1138"/>
      <c r="E1" s="3122"/>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IF(E1="项目模式",IF(C2="——",ROUND(C43*D3/10000,0),ROUND(C43*D3/10000,0)-D2),IF(E1="单套模式",IF(C2="——",ROUND(C43*D3/10000,4),ROUND(C43*D3/10000,4)-D2)))</f>
        <v>0</v>
      </c>
      <c r="C2" s="1733"/>
      <c r="D2" s="850" t="e">
        <f ca="1">IF(E1="项目模式",SUMIF(INDIRECT("'"&amp;F2&amp;"'"&amp;"!A:A"),"承租人权益价值",INDIRECT("'"&amp;F2&amp;"'"&amp;"!c:c")),SUMIF(INDIRECT("'"&amp;F2&amp;"'"&amp;"!A:A"),"承租人权益价值（单套）",INDIRECT("'"&amp;F2&amp;"'"&amp;"!c:c")))</f>
        <v>#REF!</v>
      </c>
      <c r="E2" s="1734" t="s">
        <v>1463</v>
      </c>
      <c r="F2" s="1735"/>
      <c r="G2" s="851"/>
      <c r="H2" s="851"/>
      <c r="I2" s="851"/>
      <c r="J2" s="851"/>
      <c r="K2" s="851"/>
      <c r="L2" s="854"/>
      <c r="M2" s="855"/>
      <c r="N2" s="855"/>
      <c r="O2" s="855"/>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154.79</v>
      </c>
      <c r="E3" s="851"/>
      <c r="F3" s="852"/>
      <c r="G3" s="851"/>
      <c r="H3" s="851"/>
      <c r="I3" s="851"/>
      <c r="J3" s="851"/>
      <c r="K3" s="853"/>
      <c r="L3" s="854"/>
      <c r="M3" s="855"/>
      <c r="N3" s="855"/>
      <c r="O3" s="855"/>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856"/>
      <c r="M4" s="857"/>
      <c r="N4" s="857"/>
      <c r="O4" s="857"/>
      <c r="P4" s="3399" t="s">
        <v>1775</v>
      </c>
      <c r="Q4" s="3400"/>
      <c r="R4" s="3405" t="s">
        <v>1771</v>
      </c>
      <c r="S4" s="3406"/>
      <c r="T4" s="3405" t="s">
        <v>1772</v>
      </c>
      <c r="U4" s="3406"/>
      <c r="V4" s="3381" t="s">
        <v>1773</v>
      </c>
      <c r="W4" s="3381"/>
      <c r="X4" s="1261"/>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856"/>
      <c r="M5" s="857"/>
      <c r="N5" s="857"/>
      <c r="O5" s="857"/>
      <c r="P5" s="3401"/>
      <c r="Q5" s="3402"/>
      <c r="R5" s="3407"/>
      <c r="S5" s="3408"/>
      <c r="T5" s="3407"/>
      <c r="U5" s="3408"/>
      <c r="V5" s="3381"/>
      <c r="W5" s="3381"/>
      <c r="X5" s="1261"/>
      <c r="Y5" s="3407"/>
      <c r="Z5" s="3408"/>
      <c r="AA5" s="3393"/>
      <c r="AB5" s="3393"/>
      <c r="AC5" s="3393"/>
    </row>
    <row r="6" spans="1:29" ht="15.75" thickBot="1">
      <c r="A6" s="350"/>
      <c r="B6" s="351"/>
      <c r="C6" s="3411" t="s">
        <v>1677</v>
      </c>
      <c r="D6" s="3412"/>
      <c r="E6" s="3418" t="s">
        <v>1677</v>
      </c>
      <c r="F6" s="3419"/>
      <c r="G6" s="3411" t="s">
        <v>1677</v>
      </c>
      <c r="H6" s="3412"/>
      <c r="I6" s="3411" t="s">
        <v>1677</v>
      </c>
      <c r="J6" s="3412"/>
      <c r="K6" s="537" t="s">
        <v>1678</v>
      </c>
      <c r="L6" s="856"/>
      <c r="M6" s="857"/>
      <c r="N6" s="857"/>
      <c r="O6" s="857"/>
      <c r="P6" s="3403"/>
      <c r="Q6" s="3404"/>
      <c r="R6" s="3407"/>
      <c r="S6" s="3408"/>
      <c r="T6" s="3409"/>
      <c r="U6" s="3410"/>
      <c r="V6" s="3381"/>
      <c r="W6" s="3381"/>
      <c r="X6" s="1261"/>
      <c r="Y6" s="3409"/>
      <c r="Z6" s="3410"/>
      <c r="AA6" s="3394"/>
      <c r="AB6" s="3394"/>
      <c r="AC6" s="3394"/>
    </row>
    <row r="7" spans="1:29" s="102" customFormat="1" ht="15.75" thickBot="1">
      <c r="A7" s="352" t="s">
        <v>1679</v>
      </c>
      <c r="B7" s="353"/>
      <c r="C7" s="354">
        <f>'数据-取费表'!B2</f>
        <v>45940</v>
      </c>
      <c r="D7" s="355">
        <v>100</v>
      </c>
      <c r="E7" s="356"/>
      <c r="F7" s="357">
        <f>SUMIF(52:52,YEAR(E7)&amp;"-"&amp;MONTH(E7),53:53)</f>
        <v>0</v>
      </c>
      <c r="G7" s="356"/>
      <c r="H7" s="355">
        <f>SUMIF(52:52,YEAR(G7)&amp;"-"&amp;MONTH(G7),53:53)</f>
        <v>0</v>
      </c>
      <c r="I7" s="356"/>
      <c r="J7" s="355">
        <f>SUMIF(52:52,YEAR(I7)&amp;"-"&amp;MONTH(I7),53:53)</f>
        <v>0</v>
      </c>
      <c r="K7" s="38"/>
      <c r="L7" s="858"/>
      <c r="M7" s="859"/>
      <c r="N7" s="859"/>
      <c r="O7" s="859"/>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8"/>
      <c r="M8" s="859"/>
      <c r="N8" s="859"/>
      <c r="O8" s="859"/>
      <c r="P8" s="3415" t="s">
        <v>1683</v>
      </c>
      <c r="Q8" s="3416"/>
      <c r="R8" s="664" t="s">
        <v>14</v>
      </c>
      <c r="S8" s="665">
        <f t="shared" si="0"/>
        <v>100</v>
      </c>
      <c r="T8" s="664" t="s">
        <v>14</v>
      </c>
      <c r="U8" s="665">
        <f t="shared" si="1"/>
        <v>100</v>
      </c>
      <c r="V8" s="664" t="s">
        <v>14</v>
      </c>
      <c r="W8" s="665">
        <f t="shared" si="2"/>
        <v>100</v>
      </c>
      <c r="X8" s="666"/>
      <c r="Y8" s="3415" t="s">
        <v>1683</v>
      </c>
      <c r="Z8" s="341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8"/>
      <c r="M9" s="859"/>
      <c r="N9" s="859"/>
      <c r="O9" s="860"/>
      <c r="P9" s="338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23"/>
      <c r="D10" s="119">
        <v>100</v>
      </c>
      <c r="E10" s="3123"/>
      <c r="F10" s="119">
        <f>SUMIF(59:59,E10,60:60)-SUMIF(59:59,C10,60:60)+100</f>
        <v>100</v>
      </c>
      <c r="G10" s="3124"/>
      <c r="H10" s="119">
        <f>SUMIF(59:59,G10,60:60)-SUMIF(59:59,C10,60:60)+100</f>
        <v>100</v>
      </c>
      <c r="I10" s="3123"/>
      <c r="J10" s="119">
        <f>SUMIF(59:59,I10,60:60)-SUMIF(59:59,C10,60:60)+100</f>
        <v>100</v>
      </c>
      <c r="K10" s="38"/>
      <c r="L10" s="861"/>
      <c r="M10" s="862"/>
      <c r="N10" s="862"/>
      <c r="O10" s="863"/>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4"/>
      <c r="M11" s="857"/>
      <c r="N11" s="857"/>
      <c r="O11" s="865"/>
      <c r="P11" s="3380"/>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2"/>
      <c r="H12" s="119">
        <f>SUMIF(64:64,G12,65:65)-SUMIF(64:64,C12,65:65)+100</f>
        <v>100</v>
      </c>
      <c r="I12" s="407"/>
      <c r="J12" s="119">
        <f>SUMIF(64:64,I12,65:65)-SUMIF(64:64,C12,65:65)+100</f>
        <v>100</v>
      </c>
      <c r="K12" s="539"/>
      <c r="L12" s="858"/>
      <c r="M12" s="859"/>
      <c r="N12" s="859"/>
      <c r="O12" s="860"/>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2"/>
      <c r="H13" s="374">
        <f>SUMIF(66:66,G13,67:67)-SUMIF(66:66,C13,67:67)+100</f>
        <v>100</v>
      </c>
      <c r="I13" s="407"/>
      <c r="J13" s="374">
        <f>SUMIF(66:66,I13,67:67)-SUMIF(66:66,C13,67:67)+100</f>
        <v>100</v>
      </c>
      <c r="K13" s="539"/>
      <c r="L13" s="866"/>
      <c r="M13" s="857"/>
      <c r="N13" s="857"/>
      <c r="O13" s="865"/>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5">
        <v>111</v>
      </c>
      <c r="C14" s="376"/>
      <c r="D14" s="377">
        <v>100</v>
      </c>
      <c r="E14" s="376"/>
      <c r="F14" s="377">
        <f>SUMIF(68:68,E14,69:69)-SUMIF(68:68,C14,69:69)+100</f>
        <v>100</v>
      </c>
      <c r="G14" s="1812"/>
      <c r="H14" s="377">
        <f>SUMIF(68:68,G14,69:69)-SUMIF(68:68,C14,69:69)+100</f>
        <v>100</v>
      </c>
      <c r="I14" s="407"/>
      <c r="J14" s="377">
        <f>SUMIF(68:68,I14,69:69)-SUMIF(68:68,C14,69:69)+100</f>
        <v>100</v>
      </c>
      <c r="K14" s="539"/>
      <c r="L14" s="866"/>
      <c r="M14" s="857"/>
      <c r="N14" s="857"/>
      <c r="O14" s="865"/>
      <c r="P14" s="338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57">
      <c r="A15" s="379" t="s">
        <v>1690</v>
      </c>
      <c r="B15" s="58" t="s">
        <v>1827</v>
      </c>
      <c r="C15" s="1813"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6"/>
      <c r="M15" s="857"/>
      <c r="N15" s="857"/>
      <c r="O15" s="865"/>
      <c r="P15" s="3382" t="s">
        <v>1691</v>
      </c>
      <c r="Q15" s="1259" t="str">
        <f t="shared" si="6"/>
        <v>产业集聚程度</v>
      </c>
      <c r="R15" s="667" t="s">
        <v>14</v>
      </c>
      <c r="S15" s="668">
        <f t="shared" si="0"/>
        <v>100</v>
      </c>
      <c r="T15" s="667" t="s">
        <v>14</v>
      </c>
      <c r="U15" s="668">
        <f t="shared" si="1"/>
        <v>100</v>
      </c>
      <c r="V15" s="667" t="s">
        <v>14</v>
      </c>
      <c r="W15" s="668">
        <f t="shared" si="2"/>
        <v>100</v>
      </c>
      <c r="X15" s="1261"/>
      <c r="Y15" s="3382" t="s">
        <v>1691</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6"/>
      <c r="M16" s="857"/>
      <c r="N16" s="857"/>
      <c r="O16" s="865"/>
      <c r="P16" s="3383"/>
      <c r="Q16" s="1259"/>
      <c r="R16" s="667"/>
      <c r="S16" s="668"/>
      <c r="T16" s="667"/>
      <c r="U16" s="668"/>
      <c r="V16" s="667"/>
      <c r="W16" s="668"/>
      <c r="X16" s="1261"/>
      <c r="Y16" s="3383"/>
      <c r="Z16" s="1260"/>
      <c r="AA16" s="1260">
        <v>1</v>
      </c>
      <c r="AB16" s="1260">
        <v>1</v>
      </c>
      <c r="AC16" s="1260">
        <v>1</v>
      </c>
    </row>
    <row r="17" spans="1:29" ht="85.5">
      <c r="A17" s="367"/>
      <c r="B17" s="390" t="s">
        <v>1259</v>
      </c>
      <c r="C17" s="1750"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6"/>
      <c r="M17" s="857"/>
      <c r="N17" s="857"/>
      <c r="O17" s="865"/>
      <c r="P17" s="3383"/>
      <c r="Q17" s="1259" t="str">
        <f>B17</f>
        <v>交通便捷度</v>
      </c>
      <c r="R17" s="667" t="s">
        <v>14</v>
      </c>
      <c r="S17" s="668">
        <f>F17</f>
        <v>100</v>
      </c>
      <c r="T17" s="667" t="s">
        <v>14</v>
      </c>
      <c r="U17" s="668">
        <f>H17</f>
        <v>100</v>
      </c>
      <c r="V17" s="667" t="s">
        <v>14</v>
      </c>
      <c r="W17" s="668">
        <f>J17</f>
        <v>100</v>
      </c>
      <c r="X17" s="1261"/>
      <c r="Y17" s="3383"/>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6"/>
      <c r="M18" s="857"/>
      <c r="N18" s="857"/>
      <c r="O18" s="865"/>
      <c r="P18" s="3383"/>
      <c r="Q18" s="1259"/>
      <c r="R18" s="667"/>
      <c r="S18" s="668"/>
      <c r="T18" s="667"/>
      <c r="U18" s="668"/>
      <c r="V18" s="667"/>
      <c r="W18" s="668"/>
      <c r="X18" s="1261"/>
      <c r="Y18" s="3383"/>
      <c r="Z18" s="1260"/>
      <c r="AA18" s="1260">
        <v>1</v>
      </c>
      <c r="AB18" s="1260">
        <v>1</v>
      </c>
      <c r="AC18" s="1260">
        <v>1</v>
      </c>
    </row>
    <row r="19" spans="1:29" ht="42.75">
      <c r="A19" s="367"/>
      <c r="B19" s="390" t="s">
        <v>1812</v>
      </c>
      <c r="C19" s="1750"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6"/>
      <c r="M19" s="857"/>
      <c r="N19" s="857"/>
      <c r="O19" s="865"/>
      <c r="P19" s="3383"/>
      <c r="Q19" s="1259" t="str">
        <f>B19</f>
        <v>公共配套设施</v>
      </c>
      <c r="R19" s="667" t="s">
        <v>14</v>
      </c>
      <c r="S19" s="668">
        <f>F19</f>
        <v>100</v>
      </c>
      <c r="T19" s="667" t="s">
        <v>14</v>
      </c>
      <c r="U19" s="668">
        <f>H19</f>
        <v>100</v>
      </c>
      <c r="V19" s="667" t="s">
        <v>14</v>
      </c>
      <c r="W19" s="668">
        <f>J19</f>
        <v>100</v>
      </c>
      <c r="X19" s="1261"/>
      <c r="Y19" s="3383"/>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6"/>
      <c r="M20" s="857"/>
      <c r="N20" s="857"/>
      <c r="O20" s="865"/>
      <c r="P20" s="3383"/>
      <c r="Q20" s="1259"/>
      <c r="R20" s="667"/>
      <c r="S20" s="668"/>
      <c r="T20" s="667"/>
      <c r="U20" s="668"/>
      <c r="V20" s="667"/>
      <c r="W20" s="668"/>
      <c r="X20" s="1261"/>
      <c r="Y20" s="3383"/>
      <c r="Z20" s="1260"/>
      <c r="AA20" s="1260">
        <v>1</v>
      </c>
      <c r="AB20" s="1260">
        <v>1</v>
      </c>
      <c r="AC20" s="1260">
        <v>1</v>
      </c>
    </row>
    <row r="21" spans="1:29" ht="28.5">
      <c r="A21" s="367"/>
      <c r="B21" s="586" t="s">
        <v>1813</v>
      </c>
      <c r="C21" s="1750"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6"/>
      <c r="M21" s="857"/>
      <c r="N21" s="857"/>
      <c r="O21" s="865"/>
      <c r="P21" s="3383"/>
      <c r="Q21" s="1259" t="str">
        <f>B21</f>
        <v>基础设施水平</v>
      </c>
      <c r="R21" s="667" t="s">
        <v>14</v>
      </c>
      <c r="S21" s="668">
        <f>F21</f>
        <v>100</v>
      </c>
      <c r="T21" s="667" t="s">
        <v>14</v>
      </c>
      <c r="U21" s="668">
        <f>H21</f>
        <v>100</v>
      </c>
      <c r="V21" s="667" t="s">
        <v>14</v>
      </c>
      <c r="W21" s="668">
        <f>J21</f>
        <v>100</v>
      </c>
      <c r="X21" s="1261"/>
      <c r="Y21" s="3383"/>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0"/>
      <c r="L22" s="866"/>
      <c r="M22" s="857"/>
      <c r="N22" s="857"/>
      <c r="O22" s="865"/>
      <c r="P22" s="3383"/>
      <c r="Q22" s="1259"/>
      <c r="R22" s="667"/>
      <c r="S22" s="668"/>
      <c r="T22" s="667"/>
      <c r="U22" s="668"/>
      <c r="V22" s="667"/>
      <c r="W22" s="668"/>
      <c r="X22" s="1261"/>
      <c r="Y22" s="3383"/>
      <c r="Z22" s="1260"/>
      <c r="AA22" s="1260">
        <v>1</v>
      </c>
      <c r="AB22" s="1260">
        <v>1</v>
      </c>
      <c r="AC22" s="1260">
        <v>1</v>
      </c>
    </row>
    <row r="23" spans="1:29" ht="71.25">
      <c r="A23" s="367"/>
      <c r="B23" s="390" t="s">
        <v>1814</v>
      </c>
      <c r="C23" s="1750"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6"/>
      <c r="M23" s="857"/>
      <c r="N23" s="857"/>
      <c r="O23" s="865"/>
      <c r="P23" s="3383"/>
      <c r="Q23" s="1259" t="str">
        <f>B23</f>
        <v>环境质量</v>
      </c>
      <c r="R23" s="667" t="s">
        <v>14</v>
      </c>
      <c r="S23" s="668">
        <f>F23</f>
        <v>100</v>
      </c>
      <c r="T23" s="667" t="s">
        <v>14</v>
      </c>
      <c r="U23" s="668">
        <f>H23</f>
        <v>100</v>
      </c>
      <c r="V23" s="667" t="s">
        <v>14</v>
      </c>
      <c r="W23" s="668">
        <f>J23</f>
        <v>100</v>
      </c>
      <c r="X23" s="1261"/>
      <c r="Y23" s="3383"/>
      <c r="Z23" s="1260" t="str">
        <f>Q23</f>
        <v>环境质量</v>
      </c>
      <c r="AA23" s="1260">
        <f t="shared" si="3"/>
        <v>1</v>
      </c>
      <c r="AB23" s="1260">
        <f t="shared" si="4"/>
        <v>1</v>
      </c>
      <c r="AC23" s="1260">
        <f t="shared" si="5"/>
        <v>1</v>
      </c>
    </row>
    <row r="24" spans="1:29" ht="15">
      <c r="A24" s="367"/>
      <c r="B24" s="586"/>
      <c r="C24" s="386"/>
      <c r="D24" s="387"/>
      <c r="E24" s="1748"/>
      <c r="F24" s="388"/>
      <c r="G24" s="1747"/>
      <c r="H24" s="387"/>
      <c r="I24" s="1748"/>
      <c r="J24" s="387"/>
      <c r="K24" s="541"/>
      <c r="L24" s="866"/>
      <c r="M24" s="857"/>
      <c r="N24" s="857"/>
      <c r="O24" s="865"/>
      <c r="P24" s="3383"/>
      <c r="Q24" s="1259"/>
      <c r="R24" s="667"/>
      <c r="S24" s="668"/>
      <c r="T24" s="667"/>
      <c r="U24" s="668"/>
      <c r="V24" s="667"/>
      <c r="W24" s="668"/>
      <c r="X24" s="1261"/>
      <c r="Y24" s="3383"/>
      <c r="Z24" s="1260"/>
      <c r="AA24" s="1260">
        <v>1</v>
      </c>
      <c r="AB24" s="1260">
        <v>1</v>
      </c>
      <c r="AC24" s="1260">
        <v>1</v>
      </c>
    </row>
    <row r="25" spans="1:29" ht="15">
      <c r="A25" s="348"/>
      <c r="B25" s="1062">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6"/>
      <c r="M25" s="857"/>
      <c r="N25" s="857"/>
      <c r="O25" s="865"/>
      <c r="P25" s="3383"/>
      <c r="Q25" s="1259">
        <f>B25</f>
        <v>111</v>
      </c>
      <c r="R25" s="667" t="s">
        <v>14</v>
      </c>
      <c r="S25" s="668">
        <f>F25</f>
        <v>100</v>
      </c>
      <c r="T25" s="667" t="s">
        <v>14</v>
      </c>
      <c r="U25" s="668">
        <f>H25</f>
        <v>100</v>
      </c>
      <c r="V25" s="667" t="s">
        <v>14</v>
      </c>
      <c r="W25" s="668">
        <f>J25</f>
        <v>100</v>
      </c>
      <c r="X25" s="1261"/>
      <c r="Y25" s="3383"/>
      <c r="Z25" s="1260">
        <f>Q25</f>
        <v>111</v>
      </c>
      <c r="AA25" s="1260">
        <f t="shared" si="3"/>
        <v>1</v>
      </c>
      <c r="AB25" s="1260">
        <f t="shared" si="4"/>
        <v>1</v>
      </c>
      <c r="AC25" s="1260">
        <f t="shared" si="5"/>
        <v>1</v>
      </c>
    </row>
    <row r="26" spans="1:29" ht="15">
      <c r="A26" s="367"/>
      <c r="B26" s="1062">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6"/>
      <c r="M26" s="857"/>
      <c r="N26" s="857"/>
      <c r="O26" s="865"/>
      <c r="P26" s="3383"/>
      <c r="Q26" s="1259">
        <f t="shared" ref="Q26:Q40" si="11">B26</f>
        <v>111</v>
      </c>
      <c r="R26" s="667" t="s">
        <v>14</v>
      </c>
      <c r="S26" s="668">
        <f>F26</f>
        <v>100</v>
      </c>
      <c r="T26" s="667" t="s">
        <v>14</v>
      </c>
      <c r="U26" s="668">
        <f>H26</f>
        <v>100</v>
      </c>
      <c r="V26" s="667" t="s">
        <v>14</v>
      </c>
      <c r="W26" s="668">
        <f>J26</f>
        <v>100</v>
      </c>
      <c r="X26" s="1261"/>
      <c r="Y26" s="3383"/>
      <c r="Z26" s="1260">
        <f>Q26</f>
        <v>111</v>
      </c>
      <c r="AA26" s="1260">
        <f t="shared" si="3"/>
        <v>1</v>
      </c>
      <c r="AB26" s="1260">
        <f t="shared" si="4"/>
        <v>1</v>
      </c>
      <c r="AC26" s="1260">
        <f t="shared" si="5"/>
        <v>1</v>
      </c>
    </row>
    <row r="27" spans="1:29" s="102" customFormat="1" ht="15">
      <c r="A27" s="370"/>
      <c r="B27" s="1062">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8"/>
      <c r="M27" s="859"/>
      <c r="N27" s="859"/>
      <c r="O27" s="860"/>
      <c r="P27" s="3383"/>
      <c r="Q27" s="530">
        <f t="shared" si="11"/>
        <v>111</v>
      </c>
      <c r="R27" s="664" t="s">
        <v>14</v>
      </c>
      <c r="S27" s="665">
        <f>F27</f>
        <v>100</v>
      </c>
      <c r="T27" s="664" t="s">
        <v>14</v>
      </c>
      <c r="U27" s="665">
        <f>H27</f>
        <v>100</v>
      </c>
      <c r="V27" s="664" t="s">
        <v>14</v>
      </c>
      <c r="W27" s="665">
        <f>J27</f>
        <v>100</v>
      </c>
      <c r="X27" s="666"/>
      <c r="Y27" s="3383"/>
      <c r="Z27" s="50">
        <f>Q27</f>
        <v>111</v>
      </c>
      <c r="AA27" s="1260">
        <f>D27/F27</f>
        <v>1</v>
      </c>
      <c r="AB27" s="1260">
        <f>D27/H27</f>
        <v>1</v>
      </c>
      <c r="AC27" s="1260">
        <f>D27/J27</f>
        <v>1</v>
      </c>
    </row>
    <row r="28" spans="1:29" ht="15.75" thickBot="1">
      <c r="A28" s="375"/>
      <c r="B28" s="1062">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6"/>
      <c r="M28" s="857"/>
      <c r="N28" s="857"/>
      <c r="O28" s="865"/>
      <c r="P28" s="3383"/>
      <c r="Q28" s="1259">
        <f t="shared" si="11"/>
        <v>111</v>
      </c>
      <c r="R28" s="667" t="s">
        <v>14</v>
      </c>
      <c r="S28" s="668">
        <f t="shared" ref="S28:S40" si="12">F28</f>
        <v>100</v>
      </c>
      <c r="T28" s="667" t="s">
        <v>14</v>
      </c>
      <c r="U28" s="668">
        <f t="shared" ref="U28:U40" si="13">H28</f>
        <v>100</v>
      </c>
      <c r="V28" s="667" t="s">
        <v>14</v>
      </c>
      <c r="W28" s="668">
        <f t="shared" ref="W28:W40" si="14">J28</f>
        <v>100</v>
      </c>
      <c r="X28" s="1261"/>
      <c r="Y28" s="3383"/>
      <c r="Z28" s="1260">
        <f t="shared" ref="Z28:Z40" si="15">Q28</f>
        <v>111</v>
      </c>
      <c r="AA28" s="1260">
        <f t="shared" si="3"/>
        <v>1</v>
      </c>
      <c r="AB28" s="1260">
        <f t="shared" si="4"/>
        <v>1</v>
      </c>
      <c r="AC28" s="1260">
        <f t="shared" si="5"/>
        <v>1</v>
      </c>
    </row>
    <row r="29" spans="1:29" ht="28.5">
      <c r="A29" s="404" t="s">
        <v>1694</v>
      </c>
      <c r="B29" s="60" t="s">
        <v>1817</v>
      </c>
      <c r="C29" s="1760"/>
      <c r="D29" s="405">
        <v>100</v>
      </c>
      <c r="E29" s="1760"/>
      <c r="F29" s="400">
        <f>SUMIF(88:88,E29,89:89)-SUMIF(88:88,C29,89:89)+100</f>
        <v>100</v>
      </c>
      <c r="G29" s="1760"/>
      <c r="H29" s="374">
        <f>SUMIF(88:88,G29,89:89)-SUMIF(88:88,C29,89:89)+100</f>
        <v>100</v>
      </c>
      <c r="I29" s="1760"/>
      <c r="J29" s="405">
        <f>SUMIF(88:88,I29,89:89)-SUMIF(88:88,C29,89:89)+100</f>
        <v>100</v>
      </c>
      <c r="K29" s="538"/>
      <c r="L29" s="866"/>
      <c r="M29" s="857"/>
      <c r="N29" s="857"/>
      <c r="O29" s="865"/>
      <c r="P29" s="3437" t="s">
        <v>1696</v>
      </c>
      <c r="Q29" s="1259" t="str">
        <f t="shared" si="11"/>
        <v>建筑类型</v>
      </c>
      <c r="R29" s="667" t="s">
        <v>14</v>
      </c>
      <c r="S29" s="668">
        <f t="shared" si="12"/>
        <v>100</v>
      </c>
      <c r="T29" s="667" t="s">
        <v>14</v>
      </c>
      <c r="U29" s="668">
        <f t="shared" si="13"/>
        <v>100</v>
      </c>
      <c r="V29" s="667" t="s">
        <v>14</v>
      </c>
      <c r="W29" s="668">
        <f t="shared" si="14"/>
        <v>100</v>
      </c>
      <c r="X29" s="1261"/>
      <c r="Y29" s="3387" t="s">
        <v>1696</v>
      </c>
      <c r="Z29" s="1260" t="str">
        <f t="shared" si="15"/>
        <v>建筑类型</v>
      </c>
      <c r="AA29" s="1260">
        <f t="shared" si="3"/>
        <v>1</v>
      </c>
      <c r="AB29" s="1260">
        <f t="shared" si="4"/>
        <v>1</v>
      </c>
      <c r="AC29" s="1260">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4"/>
      <c r="M30" s="867"/>
      <c r="N30" s="867"/>
      <c r="O30" s="868"/>
      <c r="P30" s="3387"/>
      <c r="Q30" s="531" t="str">
        <f t="shared" si="11"/>
        <v>项目建筑规模</v>
      </c>
      <c r="R30" s="669" t="s">
        <v>14</v>
      </c>
      <c r="S30" s="670" t="e">
        <f t="shared" si="12"/>
        <v>#N/A</v>
      </c>
      <c r="T30" s="669" t="s">
        <v>14</v>
      </c>
      <c r="U30" s="670" t="e">
        <f t="shared" si="13"/>
        <v>#N/A</v>
      </c>
      <c r="V30" s="669" t="s">
        <v>14</v>
      </c>
      <c r="W30" s="670" t="e">
        <f t="shared" si="14"/>
        <v>#N/A</v>
      </c>
      <c r="X30" s="671"/>
      <c r="Y30" s="3387"/>
      <c r="Z30" s="672" t="str">
        <f t="shared" si="15"/>
        <v>项目建筑规模</v>
      </c>
      <c r="AA30" s="1260" t="e">
        <f t="shared" si="3"/>
        <v>#N/A</v>
      </c>
      <c r="AB30" s="1260" t="e">
        <f t="shared" si="4"/>
        <v>#N/A</v>
      </c>
      <c r="AC30" s="1260"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6"/>
      <c r="M31" s="857"/>
      <c r="N31" s="857"/>
      <c r="O31" s="865"/>
      <c r="P31" s="3387"/>
      <c r="Q31" s="1259" t="str">
        <f t="shared" si="11"/>
        <v>建筑结构</v>
      </c>
      <c r="R31" s="667" t="s">
        <v>14</v>
      </c>
      <c r="S31" s="668">
        <f t="shared" si="12"/>
        <v>100</v>
      </c>
      <c r="T31" s="667" t="s">
        <v>14</v>
      </c>
      <c r="U31" s="668">
        <f t="shared" si="13"/>
        <v>100</v>
      </c>
      <c r="V31" s="667" t="s">
        <v>14</v>
      </c>
      <c r="W31" s="668">
        <f t="shared" si="14"/>
        <v>100</v>
      </c>
      <c r="X31" s="1261"/>
      <c r="Y31" s="3387"/>
      <c r="Z31" s="1260" t="str">
        <f t="shared" si="15"/>
        <v>建筑结构</v>
      </c>
      <c r="AA31" s="1260">
        <f t="shared" si="3"/>
        <v>1</v>
      </c>
      <c r="AB31" s="1260">
        <f t="shared" si="4"/>
        <v>1</v>
      </c>
      <c r="AC31" s="1260">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6"/>
      <c r="M32" s="857"/>
      <c r="N32" s="857"/>
      <c r="O32" s="865"/>
      <c r="P32" s="3387"/>
      <c r="Q32" s="1259" t="str">
        <f t="shared" si="11"/>
        <v>公共部分装修</v>
      </c>
      <c r="R32" s="667" t="s">
        <v>14</v>
      </c>
      <c r="S32" s="668">
        <f t="shared" si="12"/>
        <v>100</v>
      </c>
      <c r="T32" s="667" t="s">
        <v>14</v>
      </c>
      <c r="U32" s="668">
        <f t="shared" si="13"/>
        <v>100</v>
      </c>
      <c r="V32" s="667" t="s">
        <v>14</v>
      </c>
      <c r="W32" s="668">
        <f t="shared" si="14"/>
        <v>100</v>
      </c>
      <c r="X32" s="1261"/>
      <c r="Y32" s="3387"/>
      <c r="Z32" s="1260" t="str">
        <f t="shared" si="15"/>
        <v>公共部分装修</v>
      </c>
      <c r="AA32" s="1260">
        <f t="shared" si="3"/>
        <v>1</v>
      </c>
      <c r="AB32" s="1260">
        <f t="shared" si="4"/>
        <v>1</v>
      </c>
      <c r="AC32" s="1260">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6"/>
      <c r="M33" s="857"/>
      <c r="N33" s="857"/>
      <c r="O33" s="865"/>
      <c r="P33" s="3387"/>
      <c r="Q33" s="1259" t="str">
        <f t="shared" si="11"/>
        <v>成新度</v>
      </c>
      <c r="R33" s="667" t="s">
        <v>14</v>
      </c>
      <c r="S33" s="668" t="e">
        <f t="shared" si="12"/>
        <v>#N/A</v>
      </c>
      <c r="T33" s="667" t="s">
        <v>14</v>
      </c>
      <c r="U33" s="668" t="e">
        <f t="shared" si="13"/>
        <v>#N/A</v>
      </c>
      <c r="V33" s="667" t="s">
        <v>14</v>
      </c>
      <c r="W33" s="668" t="e">
        <f t="shared" si="14"/>
        <v>#N/A</v>
      </c>
      <c r="X33" s="1261"/>
      <c r="Y33" s="3387"/>
      <c r="Z33" s="1260" t="str">
        <f t="shared" si="15"/>
        <v>成新度</v>
      </c>
      <c r="AA33" s="1260" t="e">
        <f t="shared" si="3"/>
        <v>#N/A</v>
      </c>
      <c r="AB33" s="1260" t="e">
        <f t="shared" si="4"/>
        <v>#N/A</v>
      </c>
      <c r="AC33" s="1260"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8"/>
      <c r="M34" s="859"/>
      <c r="N34" s="859"/>
      <c r="O34" s="860"/>
      <c r="P34" s="3387"/>
      <c r="Q34" s="530" t="str">
        <f t="shared" si="11"/>
        <v>物业管理</v>
      </c>
      <c r="R34" s="664" t="s">
        <v>14</v>
      </c>
      <c r="S34" s="665">
        <f t="shared" si="12"/>
        <v>100</v>
      </c>
      <c r="T34" s="664" t="s">
        <v>14</v>
      </c>
      <c r="U34" s="665">
        <f t="shared" si="13"/>
        <v>100</v>
      </c>
      <c r="V34" s="664" t="s">
        <v>14</v>
      </c>
      <c r="W34" s="665">
        <f t="shared" si="14"/>
        <v>100</v>
      </c>
      <c r="X34" s="666"/>
      <c r="Y34" s="338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6"/>
      <c r="M35" s="857"/>
      <c r="N35" s="857"/>
      <c r="O35" s="865"/>
      <c r="P35" s="3387" t="s">
        <v>1696</v>
      </c>
      <c r="Q35" s="1259" t="str">
        <f t="shared" si="11"/>
        <v>市政基础设施</v>
      </c>
      <c r="R35" s="667" t="s">
        <v>14</v>
      </c>
      <c r="S35" s="668">
        <f t="shared" si="12"/>
        <v>100</v>
      </c>
      <c r="T35" s="667" t="s">
        <v>14</v>
      </c>
      <c r="U35" s="668">
        <f t="shared" si="13"/>
        <v>100</v>
      </c>
      <c r="V35" s="667" t="s">
        <v>14</v>
      </c>
      <c r="W35" s="668">
        <f t="shared" si="14"/>
        <v>100</v>
      </c>
      <c r="X35" s="1261"/>
      <c r="Y35" s="3387" t="s">
        <v>1696</v>
      </c>
      <c r="Z35" s="1260" t="str">
        <f t="shared" si="15"/>
        <v>市政基础设施</v>
      </c>
      <c r="AA35" s="1260">
        <f t="shared" si="3"/>
        <v>1</v>
      </c>
      <c r="AB35" s="1260">
        <f t="shared" si="4"/>
        <v>1</v>
      </c>
      <c r="AC35" s="1260">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6"/>
      <c r="M36" s="857"/>
      <c r="N36" s="857"/>
      <c r="O36" s="865"/>
      <c r="P36" s="3387"/>
      <c r="Q36" s="1259" t="str">
        <f t="shared" si="11"/>
        <v>内部装修</v>
      </c>
      <c r="R36" s="667" t="s">
        <v>14</v>
      </c>
      <c r="S36" s="668">
        <f t="shared" si="12"/>
        <v>100</v>
      </c>
      <c r="T36" s="667" t="s">
        <v>14</v>
      </c>
      <c r="U36" s="668">
        <f t="shared" si="13"/>
        <v>100</v>
      </c>
      <c r="V36" s="667" t="s">
        <v>14</v>
      </c>
      <c r="W36" s="668">
        <f t="shared" si="14"/>
        <v>100</v>
      </c>
      <c r="X36" s="1261"/>
      <c r="Y36" s="3387"/>
      <c r="Z36" s="1260" t="str">
        <f t="shared" si="15"/>
        <v>内部装修</v>
      </c>
      <c r="AA36" s="1260">
        <f t="shared" si="3"/>
        <v>1</v>
      </c>
      <c r="AB36" s="1260">
        <f t="shared" si="4"/>
        <v>1</v>
      </c>
      <c r="AC36" s="1260">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6"/>
      <c r="M37" s="857"/>
      <c r="N37" s="857"/>
      <c r="O37" s="865"/>
      <c r="P37" s="3387"/>
      <c r="Q37" s="1259" t="str">
        <f t="shared" si="11"/>
        <v>内部装修状况</v>
      </c>
      <c r="R37" s="667" t="s">
        <v>14</v>
      </c>
      <c r="S37" s="668">
        <f t="shared" si="12"/>
        <v>100</v>
      </c>
      <c r="T37" s="667" t="s">
        <v>14</v>
      </c>
      <c r="U37" s="668">
        <f t="shared" si="13"/>
        <v>100</v>
      </c>
      <c r="V37" s="667" t="s">
        <v>14</v>
      </c>
      <c r="W37" s="668">
        <f t="shared" si="14"/>
        <v>100</v>
      </c>
      <c r="X37" s="1261"/>
      <c r="Y37" s="3387"/>
      <c r="Z37" s="1260" t="str">
        <f t="shared" si="15"/>
        <v>内部装修状况</v>
      </c>
      <c r="AA37" s="1260">
        <f t="shared" si="3"/>
        <v>1</v>
      </c>
      <c r="AB37" s="1260">
        <f t="shared" si="4"/>
        <v>1</v>
      </c>
      <c r="AC37" s="1260">
        <f t="shared" si="5"/>
        <v>1</v>
      </c>
    </row>
    <row r="38" spans="1:29" s="408" customFormat="1" ht="15">
      <c r="A38" s="406"/>
      <c r="B38" s="1062">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4"/>
      <c r="M38" s="867"/>
      <c r="N38" s="867"/>
      <c r="O38" s="868"/>
      <c r="P38" s="3387"/>
      <c r="Q38" s="531">
        <f t="shared" si="11"/>
        <v>111</v>
      </c>
      <c r="R38" s="669" t="s">
        <v>14</v>
      </c>
      <c r="S38" s="670">
        <f t="shared" si="12"/>
        <v>100</v>
      </c>
      <c r="T38" s="669" t="s">
        <v>14</v>
      </c>
      <c r="U38" s="670">
        <f t="shared" si="13"/>
        <v>100</v>
      </c>
      <c r="V38" s="669" t="s">
        <v>14</v>
      </c>
      <c r="W38" s="670">
        <f t="shared" si="14"/>
        <v>100</v>
      </c>
      <c r="X38" s="671"/>
      <c r="Y38" s="3387"/>
      <c r="Z38" s="672">
        <f t="shared" si="15"/>
        <v>111</v>
      </c>
      <c r="AA38" s="1260">
        <f t="shared" si="3"/>
        <v>1</v>
      </c>
      <c r="AB38" s="1260">
        <f t="shared" si="4"/>
        <v>1</v>
      </c>
      <c r="AC38" s="1260">
        <f t="shared" si="5"/>
        <v>1</v>
      </c>
    </row>
    <row r="39" spans="1:29" ht="15">
      <c r="A39" s="409"/>
      <c r="B39" s="1062">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6"/>
      <c r="M39" s="857"/>
      <c r="N39" s="857"/>
      <c r="O39" s="865"/>
      <c r="P39" s="3387"/>
      <c r="Q39" s="1259">
        <f t="shared" si="11"/>
        <v>111</v>
      </c>
      <c r="R39" s="667" t="s">
        <v>14</v>
      </c>
      <c r="S39" s="668">
        <f t="shared" si="12"/>
        <v>100</v>
      </c>
      <c r="T39" s="667" t="s">
        <v>14</v>
      </c>
      <c r="U39" s="668">
        <f t="shared" si="13"/>
        <v>100</v>
      </c>
      <c r="V39" s="667" t="s">
        <v>14</v>
      </c>
      <c r="W39" s="668">
        <f t="shared" si="14"/>
        <v>100</v>
      </c>
      <c r="X39" s="1261"/>
      <c r="Y39" s="3387"/>
      <c r="Z39" s="1260">
        <f t="shared" si="15"/>
        <v>111</v>
      </c>
      <c r="AA39" s="1260">
        <f t="shared" si="3"/>
        <v>1</v>
      </c>
      <c r="AB39" s="1260">
        <f t="shared" si="4"/>
        <v>1</v>
      </c>
      <c r="AC39" s="1260">
        <f t="shared" si="5"/>
        <v>1</v>
      </c>
    </row>
    <row r="40" spans="1:29" ht="15.75"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6"/>
      <c r="M40" s="857"/>
      <c r="N40" s="857"/>
      <c r="O40" s="865"/>
      <c r="P40" s="3388"/>
      <c r="Q40" s="1259">
        <f t="shared" si="11"/>
        <v>111</v>
      </c>
      <c r="R40" s="667" t="s">
        <v>14</v>
      </c>
      <c r="S40" s="668">
        <f t="shared" si="12"/>
        <v>100</v>
      </c>
      <c r="T40" s="667" t="s">
        <v>14</v>
      </c>
      <c r="U40" s="668">
        <f t="shared" si="13"/>
        <v>100</v>
      </c>
      <c r="V40" s="667" t="s">
        <v>14</v>
      </c>
      <c r="W40" s="668">
        <f t="shared" si="14"/>
        <v>100</v>
      </c>
      <c r="X40" s="1261"/>
      <c r="Y40" s="3388"/>
      <c r="Z40" s="1260">
        <f t="shared" si="15"/>
        <v>111</v>
      </c>
      <c r="AA40" s="1260">
        <f t="shared" si="3"/>
        <v>1</v>
      </c>
      <c r="AB40" s="1260">
        <f t="shared" si="4"/>
        <v>1</v>
      </c>
      <c r="AC40" s="1260">
        <f t="shared" si="5"/>
        <v>1</v>
      </c>
    </row>
    <row r="41" spans="1:29" ht="15">
      <c r="A41" s="416" t="s">
        <v>1708</v>
      </c>
      <c r="B41" s="417"/>
      <c r="C41" s="1077" t="s">
        <v>0</v>
      </c>
      <c r="D41" s="418"/>
      <c r="E41" s="419"/>
      <c r="F41" s="420"/>
      <c r="G41" s="421"/>
      <c r="H41" s="422"/>
      <c r="I41" s="419"/>
      <c r="J41" s="422"/>
      <c r="K41" s="674"/>
      <c r="L41" s="869"/>
      <c r="M41" s="857"/>
      <c r="N41" s="857"/>
      <c r="O41" s="857"/>
      <c r="P41" s="3380" t="str">
        <f>A41</f>
        <v>成交单价（元/平方米）</v>
      </c>
      <c r="Q41" s="3380"/>
      <c r="R41" s="3381">
        <f>E41</f>
        <v>0</v>
      </c>
      <c r="S41" s="3381"/>
      <c r="T41" s="3381">
        <f>G41</f>
        <v>0</v>
      </c>
      <c r="U41" s="3381"/>
      <c r="V41" s="3381">
        <f>I41</f>
        <v>0</v>
      </c>
      <c r="W41" s="3381"/>
      <c r="X41" s="385"/>
      <c r="Y41" s="673"/>
      <c r="Z41" s="385"/>
      <c r="AA41" s="385"/>
      <c r="AB41" s="385"/>
      <c r="AC41" s="385"/>
    </row>
    <row r="42" spans="1:29" ht="15.75" thickBot="1">
      <c r="A42" s="423" t="s">
        <v>1793</v>
      </c>
      <c r="B42" s="424"/>
      <c r="C42" s="1078" t="e">
        <f>R43</f>
        <v>#DIV/0!</v>
      </c>
      <c r="D42" s="2135" t="s">
        <v>2138</v>
      </c>
      <c r="E42" s="1079" t="e">
        <f>R42</f>
        <v>#DIV/0!</v>
      </c>
      <c r="F42" s="2136"/>
      <c r="G42" s="1078" t="e">
        <f>T42</f>
        <v>#DIV/0!</v>
      </c>
      <c r="H42" s="2136"/>
      <c r="I42" s="1079" t="e">
        <f>V42</f>
        <v>#DIV/0!</v>
      </c>
      <c r="J42" s="2136"/>
      <c r="K42" s="2138">
        <f>F42+H42+J42</f>
        <v>0</v>
      </c>
      <c r="L42" s="869"/>
      <c r="M42" s="857"/>
      <c r="N42" s="857"/>
      <c r="O42" s="857"/>
      <c r="P42" s="3380" t="str">
        <f>A42</f>
        <v>比较价值（元/平方米）</v>
      </c>
      <c r="Q42" s="338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69"/>
      <c r="M43" s="857"/>
      <c r="N43" s="857"/>
      <c r="O43" s="857"/>
      <c r="P43" s="3377" t="str">
        <f>A43</f>
        <v>估价对象XX用房的比较价值（楼面单价，元/平方米）</v>
      </c>
      <c r="Q43" s="3378"/>
      <c r="R43" s="3379" t="e">
        <f>IF(F1="售价",ROUND(IF(D42="简单平均",AVERAGE(R42:V42),R42*F42+T42*H42+V42*J42),0),ROUND(IF(D42="简单平均",AVERAGE(R42:V42),R42*F42+T42*H42+V42*J42),1))</f>
        <v>#DIV/0!</v>
      </c>
      <c r="S43" s="3379"/>
      <c r="T43" s="3379"/>
      <c r="U43" s="3379"/>
      <c r="V43" s="3379"/>
      <c r="W43" s="3379"/>
      <c r="X43" s="385"/>
      <c r="Y43" s="385"/>
      <c r="Z43" s="385"/>
      <c r="AA43" s="385"/>
      <c r="AB43" s="385"/>
      <c r="AC43" s="385"/>
    </row>
    <row r="44" spans="1:29">
      <c r="A44" s="2480"/>
      <c r="B44" s="2480"/>
      <c r="C44" s="2480"/>
      <c r="D44" s="2480"/>
      <c r="E44" s="2480"/>
      <c r="F44" s="2480"/>
      <c r="G44" s="2491"/>
      <c r="H44" s="2480"/>
      <c r="I44" s="2480"/>
      <c r="J44" s="2480"/>
      <c r="K44" s="2492"/>
      <c r="L44" s="832"/>
      <c r="M44" s="857"/>
      <c r="N44" s="857"/>
      <c r="O44" s="857"/>
    </row>
    <row r="45" spans="1:29">
      <c r="A45" s="2480"/>
      <c r="B45" s="2480"/>
      <c r="C45" s="2480"/>
      <c r="D45" s="2480"/>
      <c r="E45" s="2480"/>
      <c r="F45" s="2480"/>
      <c r="G45" s="2480"/>
      <c r="H45" s="2480"/>
      <c r="I45" s="2480"/>
      <c r="J45" s="2480"/>
      <c r="K45" s="2492"/>
      <c r="L45" s="832"/>
      <c r="M45" s="857"/>
      <c r="N45" s="857"/>
      <c r="O45" s="857"/>
    </row>
    <row r="46" spans="1:29" ht="13.5" customHeight="1">
      <c r="A46" s="2480"/>
      <c r="B46" s="2480"/>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832"/>
      <c r="M46" s="857"/>
      <c r="N46" s="857"/>
      <c r="O46" s="857"/>
    </row>
    <row r="47" spans="1:29" ht="13.5" customHeight="1">
      <c r="A47" s="2480"/>
      <c r="B47" s="2480"/>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832"/>
      <c r="M47" s="857"/>
      <c r="N47" s="857"/>
      <c r="O47" s="857"/>
    </row>
    <row r="48" spans="1:29" s="437" customFormat="1" ht="13.5" customHeight="1">
      <c r="A48" s="2490"/>
      <c r="B48" s="2490"/>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872"/>
      <c r="M48" s="870"/>
      <c r="N48" s="870"/>
      <c r="O48" s="870"/>
    </row>
    <row r="49" spans="1:17" s="437" customFormat="1">
      <c r="A49" s="2490"/>
      <c r="B49" s="2493"/>
      <c r="C49" s="2494"/>
      <c r="D49" s="2490"/>
      <c r="E49" s="2490"/>
      <c r="F49" s="2490"/>
      <c r="G49" s="2490"/>
      <c r="H49" s="2490"/>
      <c r="I49" s="2490"/>
      <c r="J49" s="2490"/>
      <c r="K49" s="2495"/>
      <c r="L49" s="872"/>
      <c r="M49" s="870"/>
      <c r="N49" s="870"/>
      <c r="O49" s="870"/>
    </row>
    <row r="50" spans="1:17">
      <c r="A50" s="2480"/>
      <c r="B50" s="2493"/>
      <c r="C50" s="2494"/>
      <c r="D50" s="2480"/>
      <c r="E50" s="2480"/>
      <c r="F50" s="2480"/>
      <c r="G50" s="2480"/>
      <c r="H50" s="2480"/>
      <c r="I50" s="2480"/>
      <c r="J50" s="2480"/>
      <c r="K50" s="2492"/>
      <c r="L50" s="832"/>
      <c r="M50" s="857"/>
      <c r="N50" s="857"/>
      <c r="O50" s="857"/>
    </row>
    <row r="51" spans="1:17" ht="21.75" thickBot="1">
      <c r="A51" s="658" t="s">
        <v>1798</v>
      </c>
      <c r="B51" s="385"/>
      <c r="C51" s="659"/>
      <c r="D51" s="659"/>
      <c r="E51" s="659"/>
      <c r="F51" s="660"/>
      <c r="G51" s="660"/>
      <c r="H51" s="659"/>
      <c r="I51" s="659"/>
      <c r="J51" s="659"/>
      <c r="K51" s="883"/>
      <c r="L51" s="884"/>
      <c r="M51" s="882"/>
      <c r="N51" s="882"/>
      <c r="O51" s="882"/>
      <c r="P51" s="438"/>
      <c r="Q51" s="439"/>
    </row>
    <row r="52" spans="1:17" s="442" customFormat="1" ht="15">
      <c r="A52" s="440" t="s">
        <v>1679</v>
      </c>
      <c r="B52" s="441"/>
      <c r="C52" s="1099" t="str">
        <f>YEAR(C7)&amp;"-"&amp;MONTH(C7)</f>
        <v>2025-10</v>
      </c>
      <c r="D52" s="1100">
        <f>EDATE(C52,-1)</f>
        <v>45901</v>
      </c>
      <c r="E52" s="1100">
        <f t="shared" ref="E52:O52" si="16">EDATE(D52,-1)</f>
        <v>45870</v>
      </c>
      <c r="F52" s="1100">
        <f t="shared" si="16"/>
        <v>45839</v>
      </c>
      <c r="G52" s="1100">
        <f t="shared" si="16"/>
        <v>45809</v>
      </c>
      <c r="H52" s="1100">
        <f t="shared" si="16"/>
        <v>45778</v>
      </c>
      <c r="I52" s="1100">
        <f t="shared" si="16"/>
        <v>45748</v>
      </c>
      <c r="J52" s="1100">
        <f t="shared" si="16"/>
        <v>45717</v>
      </c>
      <c r="K52" s="1100">
        <f t="shared" si="16"/>
        <v>45689</v>
      </c>
      <c r="L52" s="1100">
        <f t="shared" si="16"/>
        <v>45658</v>
      </c>
      <c r="M52" s="1100">
        <f t="shared" si="16"/>
        <v>45627</v>
      </c>
      <c r="N52" s="1100">
        <f t="shared" si="16"/>
        <v>45597</v>
      </c>
      <c r="O52" s="1100">
        <f t="shared" si="16"/>
        <v>45566</v>
      </c>
    </row>
    <row r="53" spans="1:17" s="102" customFormat="1" ht="15">
      <c r="A53" s="443"/>
      <c r="B53" s="444"/>
      <c r="C53" s="1098">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1"/>
      <c r="O54" s="2532"/>
      <c r="P54" s="439"/>
      <c r="Q54" s="439"/>
    </row>
    <row r="55" spans="1:17" s="102" customFormat="1" ht="15">
      <c r="A55" s="455" t="s">
        <v>1681</v>
      </c>
      <c r="B55" s="444"/>
      <c r="C55" s="456" t="s">
        <v>1776</v>
      </c>
      <c r="D55" s="31"/>
      <c r="E55" s="31"/>
      <c r="F55" s="31"/>
      <c r="G55" s="31"/>
      <c r="H55" s="31"/>
      <c r="I55" s="31"/>
      <c r="J55" s="31"/>
      <c r="K55" s="31"/>
      <c r="L55" s="457"/>
      <c r="M55" s="458"/>
      <c r="N55" s="874"/>
      <c r="O55" s="874"/>
      <c r="P55" s="459"/>
      <c r="Q55" s="439"/>
    </row>
    <row r="56" spans="1:17" s="102" customFormat="1" ht="15.75" thickBot="1">
      <c r="A56" s="455"/>
      <c r="B56" s="444"/>
      <c r="C56" s="563">
        <v>100</v>
      </c>
      <c r="D56" s="446"/>
      <c r="E56" s="446"/>
      <c r="F56" s="446"/>
      <c r="G56" s="446"/>
      <c r="H56" s="446"/>
      <c r="I56" s="446"/>
      <c r="J56" s="446"/>
      <c r="K56" s="446"/>
      <c r="L56" s="446"/>
      <c r="M56" s="448"/>
      <c r="N56" s="874"/>
      <c r="O56" s="874"/>
      <c r="P56" s="439"/>
      <c r="Q56" s="439"/>
    </row>
    <row r="57" spans="1:17">
      <c r="A57" s="379" t="s">
        <v>1719</v>
      </c>
      <c r="B57" s="460" t="s">
        <v>1685</v>
      </c>
      <c r="C57" s="461">
        <f>C9</f>
        <v>0</v>
      </c>
      <c r="D57" s="462"/>
      <c r="E57" s="462"/>
      <c r="F57" s="462"/>
      <c r="G57" s="462"/>
      <c r="H57" s="462"/>
      <c r="I57" s="462"/>
      <c r="J57" s="462"/>
      <c r="K57" s="463"/>
      <c r="L57" s="464"/>
      <c r="M57" s="465"/>
      <c r="N57" s="875"/>
      <c r="O57" s="875"/>
      <c r="P57" s="40"/>
      <c r="Q57" s="439"/>
    </row>
    <row r="58" spans="1:17" ht="15.75" thickBot="1">
      <c r="A58" s="367"/>
      <c r="B58" s="466"/>
      <c r="C58" s="467">
        <v>100</v>
      </c>
      <c r="D58" s="467"/>
      <c r="E58" s="467"/>
      <c r="F58" s="467"/>
      <c r="G58" s="467"/>
      <c r="H58" s="467"/>
      <c r="I58" s="467"/>
      <c r="J58" s="467"/>
      <c r="K58" s="467"/>
      <c r="L58" s="467"/>
      <c r="M58" s="468"/>
      <c r="N58" s="876"/>
      <c r="O58" s="876"/>
      <c r="P58" s="40"/>
      <c r="Q58" s="439"/>
    </row>
    <row r="59" spans="1:17" ht="27.75" thickTop="1">
      <c r="A59" s="367"/>
      <c r="B59" s="469" t="s">
        <v>1688</v>
      </c>
      <c r="C59" s="513"/>
      <c r="D59" s="513"/>
      <c r="E59" s="513"/>
      <c r="F59" s="513"/>
      <c r="G59" s="513"/>
      <c r="H59" s="513"/>
      <c r="I59" s="513"/>
      <c r="J59" s="513"/>
      <c r="K59" s="514"/>
      <c r="L59" s="515"/>
      <c r="M59" s="516"/>
      <c r="N59" s="875"/>
      <c r="O59" s="875"/>
      <c r="P59" s="40"/>
      <c r="Q59" s="439"/>
    </row>
    <row r="60" spans="1:17" ht="15.75" thickBot="1">
      <c r="A60" s="367"/>
      <c r="B60" s="474"/>
      <c r="C60" s="467"/>
      <c r="D60" s="467"/>
      <c r="E60" s="467"/>
      <c r="F60" s="467"/>
      <c r="G60" s="467"/>
      <c r="H60" s="467"/>
      <c r="I60" s="467"/>
      <c r="J60" s="467"/>
      <c r="K60" s="467"/>
      <c r="L60" s="467"/>
      <c r="M60" s="468"/>
      <c r="N60" s="876"/>
      <c r="O60" s="876"/>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6"/>
      <c r="O61" s="876"/>
      <c r="P61" s="40"/>
      <c r="Q61" s="439"/>
    </row>
    <row r="62" spans="1:17" ht="15">
      <c r="A62" s="367"/>
      <c r="B62" s="479"/>
      <c r="C62" s="480">
        <v>0</v>
      </c>
      <c r="D62" s="480">
        <v>2</v>
      </c>
      <c r="E62" s="480"/>
      <c r="F62" s="480"/>
      <c r="G62" s="480"/>
      <c r="H62" s="480"/>
      <c r="I62" s="480"/>
      <c r="J62" s="480"/>
      <c r="K62" s="481"/>
      <c r="L62" s="482"/>
      <c r="M62" s="483"/>
      <c r="N62" s="875"/>
      <c r="O62" s="875"/>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6"/>
      <c r="O63" s="876"/>
      <c r="P63" s="40"/>
      <c r="Q63" s="439"/>
    </row>
    <row r="64" spans="1:17" s="408" customFormat="1" ht="15.75" thickTop="1">
      <c r="A64" s="484"/>
      <c r="B64" s="469">
        <f>B12</f>
        <v>111</v>
      </c>
      <c r="C64" s="485"/>
      <c r="D64" s="485"/>
      <c r="E64" s="485"/>
      <c r="F64" s="485"/>
      <c r="G64" s="485"/>
      <c r="H64" s="486"/>
      <c r="I64" s="486"/>
      <c r="J64" s="486"/>
      <c r="K64" s="486"/>
      <c r="L64" s="487"/>
      <c r="M64" s="488"/>
      <c r="N64" s="877"/>
      <c r="O64" s="877"/>
      <c r="P64" s="489"/>
      <c r="Q64" s="490"/>
    </row>
    <row r="65" spans="1:17" s="408" customFormat="1" ht="15.75" thickBot="1">
      <c r="A65" s="484"/>
      <c r="B65" s="474"/>
      <c r="C65" s="491"/>
      <c r="D65" s="467"/>
      <c r="E65" s="467"/>
      <c r="F65" s="467"/>
      <c r="G65" s="467"/>
      <c r="H65" s="467"/>
      <c r="I65" s="467"/>
      <c r="J65" s="467"/>
      <c r="K65" s="467"/>
      <c r="L65" s="467"/>
      <c r="M65" s="468"/>
      <c r="N65" s="876"/>
      <c r="O65" s="876"/>
      <c r="P65" s="489"/>
      <c r="Q65" s="490"/>
    </row>
    <row r="66" spans="1:17" s="408" customFormat="1" ht="15.75" thickTop="1">
      <c r="A66" s="484"/>
      <c r="B66" s="469">
        <f>B13</f>
        <v>111</v>
      </c>
      <c r="C66" s="485"/>
      <c r="D66" s="485"/>
      <c r="E66" s="485"/>
      <c r="F66" s="485"/>
      <c r="G66" s="485"/>
      <c r="H66" s="486"/>
      <c r="I66" s="486"/>
      <c r="J66" s="486"/>
      <c r="K66" s="486"/>
      <c r="L66" s="487"/>
      <c r="M66" s="488"/>
      <c r="N66" s="877"/>
      <c r="O66" s="877"/>
      <c r="Q66" s="492"/>
    </row>
    <row r="67" spans="1:17" s="408" customFormat="1" ht="15.75" thickBot="1">
      <c r="A67" s="484"/>
      <c r="B67" s="474"/>
      <c r="C67" s="491"/>
      <c r="D67" s="467"/>
      <c r="E67" s="467"/>
      <c r="F67" s="467"/>
      <c r="G67" s="491"/>
      <c r="H67" s="493"/>
      <c r="I67" s="493"/>
      <c r="J67" s="493"/>
      <c r="K67" s="493"/>
      <c r="L67" s="493"/>
      <c r="M67" s="494"/>
      <c r="N67" s="877"/>
      <c r="O67" s="877"/>
      <c r="P67" s="489"/>
      <c r="Q67" s="490"/>
    </row>
    <row r="68" spans="1:17" s="408" customFormat="1" ht="15.75" thickTop="1">
      <c r="A68" s="484"/>
      <c r="B68" s="477">
        <f>B14</f>
        <v>111</v>
      </c>
      <c r="C68" s="31"/>
      <c r="D68" s="31"/>
      <c r="E68" s="31"/>
      <c r="F68" s="31"/>
      <c r="G68" s="31"/>
      <c r="H68" s="495"/>
      <c r="I68" s="495"/>
      <c r="J68" s="495"/>
      <c r="K68" s="495"/>
      <c r="L68" s="496"/>
      <c r="M68" s="497"/>
      <c r="N68" s="877"/>
      <c r="O68" s="877"/>
      <c r="P68" s="498"/>
      <c r="Q68" s="490"/>
    </row>
    <row r="69" spans="1:17" s="408" customFormat="1" ht="15.75" thickBot="1">
      <c r="A69" s="499"/>
      <c r="B69" s="500"/>
      <c r="C69" s="501"/>
      <c r="D69" s="501"/>
      <c r="E69" s="501"/>
      <c r="F69" s="501"/>
      <c r="G69" s="501"/>
      <c r="H69" s="502"/>
      <c r="I69" s="502"/>
      <c r="J69" s="502"/>
      <c r="K69" s="502"/>
      <c r="L69" s="502"/>
      <c r="M69" s="503"/>
      <c r="N69" s="877"/>
      <c r="O69" s="877"/>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5"/>
      <c r="O70" s="875"/>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6"/>
      <c r="O71" s="876"/>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5"/>
      <c r="O72" s="875"/>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6"/>
      <c r="O73" s="876"/>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5"/>
      <c r="O74" s="875"/>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6"/>
      <c r="O75" s="876"/>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59"/>
      <c r="N76" s="876"/>
      <c r="O76" s="876"/>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6"/>
      <c r="O77" s="876"/>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5"/>
      <c r="O78" s="875"/>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6"/>
      <c r="O79" s="876"/>
      <c r="P79" s="40"/>
      <c r="Q79" s="439"/>
    </row>
    <row r="80" spans="1:17" s="102" customFormat="1" ht="15.75" thickTop="1">
      <c r="A80" s="370"/>
      <c r="B80" s="469">
        <f>B25</f>
        <v>111</v>
      </c>
      <c r="C80" s="485"/>
      <c r="D80" s="485"/>
      <c r="E80" s="485"/>
      <c r="F80" s="485"/>
      <c r="G80" s="485"/>
      <c r="H80" s="485"/>
      <c r="I80" s="485"/>
      <c r="J80" s="485"/>
      <c r="K80" s="485"/>
      <c r="L80" s="510"/>
      <c r="M80" s="511"/>
      <c r="N80" s="874"/>
      <c r="O80" s="874"/>
      <c r="P80" s="40"/>
      <c r="Q80" s="439"/>
    </row>
    <row r="81" spans="1:17" s="102" customFormat="1" ht="15.75" thickBot="1">
      <c r="A81" s="370"/>
      <c r="B81" s="474"/>
      <c r="C81" s="491"/>
      <c r="D81" s="467"/>
      <c r="E81" s="467"/>
      <c r="F81" s="467"/>
      <c r="G81" s="467"/>
      <c r="H81" s="467"/>
      <c r="I81" s="467"/>
      <c r="J81" s="467"/>
      <c r="K81" s="467"/>
      <c r="L81" s="467"/>
      <c r="M81" s="468"/>
      <c r="N81" s="876"/>
      <c r="O81" s="876"/>
      <c r="P81" s="40"/>
      <c r="Q81" s="439"/>
    </row>
    <row r="82" spans="1:17" s="102" customFormat="1" ht="15.75" thickTop="1">
      <c r="A82" s="370"/>
      <c r="B82" s="469">
        <f>B26</f>
        <v>111</v>
      </c>
      <c r="C82" s="485"/>
      <c r="D82" s="485"/>
      <c r="E82" s="485"/>
      <c r="F82" s="485"/>
      <c r="G82" s="485"/>
      <c r="H82" s="485"/>
      <c r="I82" s="485"/>
      <c r="J82" s="485"/>
      <c r="K82" s="485"/>
      <c r="L82" s="510"/>
      <c r="M82" s="511"/>
      <c r="N82" s="874"/>
      <c r="O82" s="874"/>
      <c r="P82" s="40"/>
      <c r="Q82" s="439"/>
    </row>
    <row r="83" spans="1:17" s="102" customFormat="1" ht="15.75" thickBot="1">
      <c r="A83" s="370"/>
      <c r="B83" s="474"/>
      <c r="C83" s="491"/>
      <c r="D83" s="467"/>
      <c r="E83" s="467"/>
      <c r="F83" s="467"/>
      <c r="G83" s="467"/>
      <c r="H83" s="467"/>
      <c r="I83" s="467"/>
      <c r="J83" s="467"/>
      <c r="K83" s="467"/>
      <c r="L83" s="467"/>
      <c r="M83" s="468"/>
      <c r="N83" s="876"/>
      <c r="O83" s="876"/>
      <c r="P83" s="40"/>
      <c r="Q83" s="439"/>
    </row>
    <row r="84" spans="1:17" s="408" customFormat="1" ht="15.75" thickTop="1">
      <c r="A84" s="484"/>
      <c r="B84" s="469">
        <f>B27</f>
        <v>111</v>
      </c>
      <c r="C84" s="485"/>
      <c r="D84" s="485"/>
      <c r="E84" s="485"/>
      <c r="F84" s="485"/>
      <c r="G84" s="485"/>
      <c r="H84" s="485"/>
      <c r="I84" s="485"/>
      <c r="J84" s="485"/>
      <c r="K84" s="485"/>
      <c r="L84" s="510"/>
      <c r="M84" s="511"/>
      <c r="N84" s="877"/>
      <c r="O84" s="877"/>
      <c r="P84" s="489"/>
      <c r="Q84" s="490"/>
    </row>
    <row r="85" spans="1:17" s="408" customFormat="1" ht="15.75" thickBot="1">
      <c r="A85" s="484"/>
      <c r="B85" s="474"/>
      <c r="C85" s="491"/>
      <c r="D85" s="467"/>
      <c r="E85" s="467"/>
      <c r="F85" s="467"/>
      <c r="G85" s="467"/>
      <c r="H85" s="467"/>
      <c r="I85" s="467"/>
      <c r="J85" s="467"/>
      <c r="K85" s="467"/>
      <c r="L85" s="467"/>
      <c r="M85" s="468"/>
      <c r="N85" s="877"/>
      <c r="O85" s="877"/>
      <c r="P85" s="489"/>
      <c r="Q85" s="490"/>
    </row>
    <row r="86" spans="1:17" ht="15.75" thickTop="1">
      <c r="A86" s="367"/>
      <c r="B86" s="477">
        <f>B28</f>
        <v>111</v>
      </c>
      <c r="C86" s="31"/>
      <c r="D86" s="31"/>
      <c r="E86" s="31"/>
      <c r="F86" s="31"/>
      <c r="G86" s="517"/>
      <c r="H86" s="517"/>
      <c r="I86" s="517"/>
      <c r="J86" s="517"/>
      <c r="K86" s="518"/>
      <c r="L86" s="519"/>
      <c r="M86" s="520"/>
      <c r="N86" s="875"/>
      <c r="O86" s="875"/>
      <c r="P86" s="40"/>
      <c r="Q86" s="439"/>
    </row>
    <row r="87" spans="1:17" ht="15.75" thickBot="1">
      <c r="A87" s="375"/>
      <c r="B87" s="500"/>
      <c r="C87" s="501"/>
      <c r="D87" s="501"/>
      <c r="E87" s="501"/>
      <c r="F87" s="501"/>
      <c r="G87" s="521"/>
      <c r="H87" s="521"/>
      <c r="I87" s="521"/>
      <c r="J87" s="521"/>
      <c r="K87" s="521"/>
      <c r="L87" s="521"/>
      <c r="M87" s="522"/>
      <c r="N87" s="876"/>
      <c r="O87" s="876"/>
      <c r="P87" s="40"/>
      <c r="Q87" s="439"/>
    </row>
    <row r="88" spans="1:17">
      <c r="A88" s="379" t="s">
        <v>1694</v>
      </c>
      <c r="B88" s="460" t="s">
        <v>1736</v>
      </c>
      <c r="C88" s="462"/>
      <c r="D88" s="462"/>
      <c r="E88" s="462"/>
      <c r="F88" s="462"/>
      <c r="G88" s="462"/>
      <c r="H88" s="462"/>
      <c r="I88" s="462"/>
      <c r="J88" s="462"/>
      <c r="K88" s="463"/>
      <c r="L88" s="464"/>
      <c r="M88" s="465"/>
      <c r="N88" s="875"/>
      <c r="O88" s="875"/>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6"/>
      <c r="O89" s="876"/>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4"/>
      <c r="O90" s="874"/>
      <c r="P90" s="40"/>
      <c r="Q90" s="439"/>
    </row>
    <row r="91" spans="1:17" s="408" customFormat="1">
      <c r="A91" s="406"/>
      <c r="B91" s="523"/>
      <c r="C91" s="6"/>
      <c r="D91" s="6"/>
      <c r="E91" s="6"/>
      <c r="F91" s="6"/>
      <c r="G91" s="6"/>
      <c r="H91" s="6"/>
      <c r="I91" s="6"/>
      <c r="J91" s="524"/>
      <c r="K91" s="524"/>
      <c r="L91" s="525"/>
      <c r="M91" s="526"/>
      <c r="N91" s="877"/>
      <c r="O91" s="877"/>
      <c r="P91" s="489"/>
      <c r="Q91" s="490"/>
    </row>
    <row r="92" spans="1:17" s="408" customFormat="1" ht="15.75" thickBot="1">
      <c r="A92" s="484"/>
      <c r="B92" s="474"/>
      <c r="C92" s="491"/>
      <c r="D92" s="467"/>
      <c r="E92" s="467"/>
      <c r="F92" s="467"/>
      <c r="G92" s="467"/>
      <c r="H92" s="467"/>
      <c r="I92" s="467"/>
      <c r="J92" s="467"/>
      <c r="K92" s="467"/>
      <c r="L92" s="467"/>
      <c r="M92" s="468"/>
      <c r="N92" s="876"/>
      <c r="O92" s="876"/>
      <c r="P92" s="489"/>
      <c r="Q92" s="490"/>
    </row>
    <row r="93" spans="1:17" ht="15" thickTop="1">
      <c r="A93" s="409"/>
      <c r="B93" s="469" t="s">
        <v>1738</v>
      </c>
      <c r="C93" s="485"/>
      <c r="D93" s="485"/>
      <c r="E93" s="513"/>
      <c r="F93" s="513"/>
      <c r="G93" s="513"/>
      <c r="H93" s="513"/>
      <c r="I93" s="513"/>
      <c r="J93" s="513"/>
      <c r="K93" s="514"/>
      <c r="L93" s="515"/>
      <c r="M93" s="516"/>
      <c r="N93" s="875"/>
      <c r="O93" s="875"/>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6"/>
      <c r="O94" s="876"/>
      <c r="P94" s="40"/>
      <c r="Q94" s="439"/>
    </row>
    <row r="95" spans="1:17" ht="15" thickTop="1">
      <c r="A95" s="409"/>
      <c r="B95" s="469" t="s">
        <v>1740</v>
      </c>
      <c r="C95" s="485"/>
      <c r="D95" s="485"/>
      <c r="E95" s="485"/>
      <c r="F95" s="513"/>
      <c r="G95" s="513"/>
      <c r="H95" s="513"/>
      <c r="I95" s="513"/>
      <c r="J95" s="513"/>
      <c r="K95" s="514"/>
      <c r="L95" s="515"/>
      <c r="M95" s="516"/>
      <c r="N95" s="875"/>
      <c r="O95" s="875"/>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6"/>
      <c r="O96" s="876"/>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5"/>
      <c r="O97" s="875"/>
      <c r="P97" s="40"/>
      <c r="Q97" s="439"/>
    </row>
    <row r="98" spans="1:17">
      <c r="A98" s="409"/>
      <c r="B98" s="477"/>
      <c r="C98" s="530">
        <v>0.5</v>
      </c>
      <c r="D98" s="530">
        <v>0.6</v>
      </c>
      <c r="E98" s="530">
        <v>0.7</v>
      </c>
      <c r="F98" s="530">
        <v>0.8</v>
      </c>
      <c r="G98" s="530">
        <v>0.9</v>
      </c>
      <c r="H98" s="530">
        <v>1.0001</v>
      </c>
      <c r="I98" s="548"/>
      <c r="J98" s="548"/>
      <c r="K98" s="549"/>
      <c r="L98" s="550"/>
      <c r="M98" s="551"/>
      <c r="N98" s="875"/>
      <c r="O98" s="875"/>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6"/>
      <c r="O99" s="876"/>
      <c r="P99" s="40"/>
      <c r="Q99" s="439"/>
    </row>
    <row r="100" spans="1:17" s="408" customFormat="1" ht="15" thickTop="1">
      <c r="A100" s="406"/>
      <c r="B100" s="469" t="s">
        <v>1741</v>
      </c>
      <c r="C100" s="485"/>
      <c r="D100" s="485"/>
      <c r="E100" s="485"/>
      <c r="F100" s="485"/>
      <c r="G100" s="485"/>
      <c r="H100" s="513"/>
      <c r="I100" s="513"/>
      <c r="J100" s="513"/>
      <c r="K100" s="514"/>
      <c r="L100" s="515"/>
      <c r="M100" s="516"/>
      <c r="N100" s="877"/>
      <c r="O100" s="877"/>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7"/>
      <c r="O101" s="877"/>
      <c r="P101" s="489"/>
      <c r="Q101" s="490"/>
    </row>
    <row r="102" spans="1:17" ht="15" thickTop="1">
      <c r="A102" s="409"/>
      <c r="B102" s="469" t="s">
        <v>1742</v>
      </c>
      <c r="C102" s="485"/>
      <c r="D102" s="485"/>
      <c r="E102" s="485"/>
      <c r="F102" s="485"/>
      <c r="G102" s="485"/>
      <c r="H102" s="513"/>
      <c r="I102" s="513"/>
      <c r="J102" s="513"/>
      <c r="K102" s="514"/>
      <c r="L102" s="515"/>
      <c r="M102" s="516"/>
      <c r="N102" s="875"/>
      <c r="O102" s="875"/>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6"/>
      <c r="O103" s="876"/>
      <c r="P103" s="40"/>
      <c r="Q103" s="439"/>
    </row>
    <row r="104" spans="1:17" ht="15" thickTop="1">
      <c r="A104" s="409"/>
      <c r="B104" s="469" t="s">
        <v>1744</v>
      </c>
      <c r="C104" s="485"/>
      <c r="D104" s="485"/>
      <c r="E104" s="485"/>
      <c r="F104" s="485"/>
      <c r="G104" s="485"/>
      <c r="H104" s="513"/>
      <c r="I104" s="513"/>
      <c r="J104" s="513"/>
      <c r="K104" s="514"/>
      <c r="L104" s="515"/>
      <c r="M104" s="516"/>
      <c r="N104" s="875"/>
      <c r="O104" s="875"/>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6"/>
      <c r="O105" s="876"/>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6"/>
      <c r="O106" s="876"/>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6"/>
      <c r="O107" s="876"/>
      <c r="P107" s="40"/>
      <c r="Q107" s="439"/>
    </row>
    <row r="108" spans="1:17" s="408" customFormat="1" ht="15" thickTop="1">
      <c r="A108" s="406"/>
      <c r="B108" s="469">
        <f>B38</f>
        <v>111</v>
      </c>
      <c r="C108" s="485"/>
      <c r="D108" s="485"/>
      <c r="E108" s="485"/>
      <c r="F108" s="485"/>
      <c r="G108" s="485"/>
      <c r="H108" s="486"/>
      <c r="I108" s="486"/>
      <c r="J108" s="486"/>
      <c r="K108" s="486"/>
      <c r="L108" s="487"/>
      <c r="M108" s="488"/>
      <c r="N108" s="877"/>
      <c r="O108" s="877"/>
      <c r="P108" s="489"/>
      <c r="Q108" s="490"/>
    </row>
    <row r="109" spans="1:17" s="408" customFormat="1" ht="15.75" thickBot="1">
      <c r="A109" s="484"/>
      <c r="B109" s="466"/>
      <c r="C109" s="491"/>
      <c r="D109" s="467"/>
      <c r="E109" s="467"/>
      <c r="F109" s="467"/>
      <c r="G109" s="491"/>
      <c r="H109" s="493"/>
      <c r="I109" s="493"/>
      <c r="J109" s="493"/>
      <c r="K109" s="493"/>
      <c r="L109" s="493"/>
      <c r="M109" s="494"/>
      <c r="N109" s="877"/>
      <c r="O109" s="877"/>
      <c r="P109" s="489"/>
      <c r="Q109" s="490"/>
    </row>
    <row r="110" spans="1:17" ht="15" thickTop="1">
      <c r="A110" s="409"/>
      <c r="B110" s="469">
        <f>B39</f>
        <v>111</v>
      </c>
      <c r="C110" s="485"/>
      <c r="D110" s="485"/>
      <c r="E110" s="485"/>
      <c r="F110" s="485"/>
      <c r="G110" s="485"/>
      <c r="H110" s="486"/>
      <c r="I110" s="486"/>
      <c r="J110" s="486"/>
      <c r="K110" s="486"/>
      <c r="L110" s="487"/>
      <c r="M110" s="488"/>
      <c r="N110" s="875"/>
      <c r="O110" s="875"/>
      <c r="P110" s="40"/>
      <c r="Q110" s="439"/>
    </row>
    <row r="111" spans="1:17" ht="15.75" thickBot="1">
      <c r="A111" s="367"/>
      <c r="B111" s="474"/>
      <c r="C111" s="491"/>
      <c r="D111" s="467"/>
      <c r="E111" s="467"/>
      <c r="F111" s="467"/>
      <c r="G111" s="491"/>
      <c r="H111" s="493"/>
      <c r="I111" s="493"/>
      <c r="J111" s="493"/>
      <c r="K111" s="493"/>
      <c r="L111" s="493"/>
      <c r="M111" s="494"/>
      <c r="N111" s="876"/>
      <c r="O111" s="876"/>
      <c r="P111" s="40"/>
      <c r="Q111" s="439"/>
    </row>
    <row r="112" spans="1:17" ht="15" thickTop="1">
      <c r="A112" s="409"/>
      <c r="B112" s="477">
        <f>B40</f>
        <v>111</v>
      </c>
      <c r="C112" s="31"/>
      <c r="D112" s="31"/>
      <c r="E112" s="31"/>
      <c r="F112" s="31"/>
      <c r="G112" s="517"/>
      <c r="H112" s="517"/>
      <c r="I112" s="517"/>
      <c r="J112" s="517"/>
      <c r="K112" s="31"/>
      <c r="L112" s="457"/>
      <c r="M112" s="520"/>
      <c r="N112" s="875"/>
      <c r="O112" s="875"/>
      <c r="P112" s="40"/>
      <c r="Q112" s="439"/>
    </row>
    <row r="113" spans="1:17" ht="15.75" thickBot="1">
      <c r="A113" s="375"/>
      <c r="B113" s="500"/>
      <c r="C113" s="501"/>
      <c r="D113" s="501"/>
      <c r="E113" s="501"/>
      <c r="F113" s="501"/>
      <c r="G113" s="521"/>
      <c r="H113" s="521"/>
      <c r="I113" s="521"/>
      <c r="J113" s="521"/>
      <c r="K113" s="521"/>
      <c r="L113" s="521"/>
      <c r="M113" s="522"/>
      <c r="N113" s="876"/>
      <c r="O113" s="876"/>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4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1831</v>
      </c>
      <c r="B1" s="1136" t="s">
        <v>3328</v>
      </c>
      <c r="C1" s="1137" t="s">
        <v>1662</v>
      </c>
      <c r="D1" s="1138"/>
      <c r="E1" s="3122"/>
      <c r="F1" s="1731"/>
      <c r="G1" s="1140" t="s">
        <v>1767</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IF(B37="元/平方米",ROUND(C39*D3/10000,0),ROUND(F3*C39/10000,0)),IF(B37="元/平方米",ROUND(C39*D3/10000,0),ROUND(F3*C39/10000,0))-D2),IF(E1="单套模式",IF(C2="——",IF(B37="元/平方米",ROUND(C39*D3/10000,0),ROUND(F3*C39/10000,0)),IF(B37="元/平方米",ROUND(C39*D3/10000,0),ROUND(F3*C39/10000,0))-D2)))</f>
        <v>0</v>
      </c>
      <c r="C2" s="1733"/>
      <c r="D2" s="850" t="e">
        <f ca="1">IF(E1="项目模式",SUMIF(INDIRECT("'"&amp;F2&amp;"'"&amp;"!A:A"),"承租人权益价值",INDIRECT("'"&amp;F2&amp;"'"&amp;"!c:c")),SUMIF(INDIRECT("'"&amp;F2&amp;"'"&amp;"!A:A"),"承租人权益价值（单套）",INDIRECT("'"&amp;F2&amp;"'"&amp;"!c:c")))</f>
        <v>#REF!</v>
      </c>
      <c r="E2" s="1734" t="s">
        <v>1463</v>
      </c>
      <c r="F2" s="1735"/>
      <c r="G2" s="851"/>
      <c r="H2" s="851"/>
      <c r="I2" s="851"/>
      <c r="J2" s="851"/>
      <c r="K2" s="853"/>
      <c r="L2" s="2496"/>
      <c r="M2" s="2497"/>
      <c r="N2" s="2497"/>
      <c r="O2" s="2497"/>
      <c r="P2" s="1082"/>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1"/>
      <c r="H3" s="851"/>
      <c r="I3" s="851"/>
      <c r="J3" s="851"/>
      <c r="K3" s="853"/>
      <c r="L3" s="2496"/>
      <c r="M3" s="2497" t="e">
        <f ca="1">IF(C2="——",IF(B37="元/平方米",ROUND(C39*D3/10000,0),ROUND(F3*C39/10000,0)),IF(B37="元/平方米",ROUND(C39*D3/10000,0),ROUND(F3*C39/10000,0))-D2)</f>
        <v>#DIV/0!</v>
      </c>
      <c r="N3" s="2497"/>
      <c r="O3" s="2497"/>
      <c r="P3" s="1082"/>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79"/>
      <c r="M4" s="2480"/>
      <c r="N4" s="2480"/>
      <c r="O4" s="2480"/>
      <c r="P4" s="3399" t="s">
        <v>1775</v>
      </c>
      <c r="Q4" s="3400"/>
      <c r="R4" s="3405" t="s">
        <v>1771</v>
      </c>
      <c r="S4" s="3406"/>
      <c r="T4" s="3405" t="s">
        <v>1772</v>
      </c>
      <c r="U4" s="3406"/>
      <c r="V4" s="3381" t="s">
        <v>1773</v>
      </c>
      <c r="W4" s="3381"/>
      <c r="X4" s="1261"/>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2479"/>
      <c r="M5" s="2480"/>
      <c r="N5" s="2480"/>
      <c r="O5" s="2480"/>
      <c r="P5" s="3401"/>
      <c r="Q5" s="3402"/>
      <c r="R5" s="3407"/>
      <c r="S5" s="3408"/>
      <c r="T5" s="3407"/>
      <c r="U5" s="3408"/>
      <c r="V5" s="3381"/>
      <c r="W5" s="3381"/>
      <c r="X5" s="1261"/>
      <c r="Y5" s="3407"/>
      <c r="Z5" s="3408"/>
      <c r="AA5" s="3393"/>
      <c r="AB5" s="3393"/>
      <c r="AC5" s="3393"/>
    </row>
    <row r="6" spans="1:29" ht="15.75" thickBot="1">
      <c r="A6" s="350"/>
      <c r="B6" s="351"/>
      <c r="C6" s="3411" t="s">
        <v>1677</v>
      </c>
      <c r="D6" s="3412"/>
      <c r="E6" s="3418" t="s">
        <v>1677</v>
      </c>
      <c r="F6" s="3419"/>
      <c r="G6" s="3411" t="s">
        <v>1677</v>
      </c>
      <c r="H6" s="3412"/>
      <c r="I6" s="3411" t="s">
        <v>1677</v>
      </c>
      <c r="J6" s="3412"/>
      <c r="K6" s="537" t="s">
        <v>1678</v>
      </c>
      <c r="L6" s="2479"/>
      <c r="M6" s="2480"/>
      <c r="N6" s="2480"/>
      <c r="O6" s="2480"/>
      <c r="P6" s="3403"/>
      <c r="Q6" s="3404"/>
      <c r="R6" s="3407"/>
      <c r="S6" s="3408"/>
      <c r="T6" s="3409"/>
      <c r="U6" s="3410"/>
      <c r="V6" s="3381"/>
      <c r="W6" s="3381"/>
      <c r="X6" s="1261"/>
      <c r="Y6" s="3409"/>
      <c r="Z6" s="3410"/>
      <c r="AA6" s="3394"/>
      <c r="AB6" s="3394"/>
      <c r="AC6" s="3394"/>
    </row>
    <row r="7" spans="1:29" s="102" customFormat="1" ht="15.75" thickBot="1">
      <c r="A7" s="352" t="s">
        <v>1679</v>
      </c>
      <c r="B7" s="353"/>
      <c r="C7" s="354">
        <f>'数据-取费表'!B2</f>
        <v>45940</v>
      </c>
      <c r="D7" s="355">
        <v>100</v>
      </c>
      <c r="E7" s="356"/>
      <c r="F7" s="357">
        <f>SUMIF(48:48,YEAR(E7)&amp;"-"&amp;MONTH(E7),49:49)</f>
        <v>0</v>
      </c>
      <c r="G7" s="356"/>
      <c r="H7" s="355">
        <f>SUMIF(48:48,YEAR(G7)&amp;"-"&amp;MONTH(G7),49:49)</f>
        <v>0</v>
      </c>
      <c r="I7" s="356"/>
      <c r="J7" s="355">
        <f>SUMIF(48:48,YEAR(I7)&amp;"-"&amp;MONTH(I7),49:49)</f>
        <v>0</v>
      </c>
      <c r="K7" s="38"/>
      <c r="L7" s="2481"/>
      <c r="M7" s="2432"/>
      <c r="N7" s="2432"/>
      <c r="O7" s="2432"/>
      <c r="P7" s="3415" t="s">
        <v>1680</v>
      </c>
      <c r="Q7" s="3417"/>
      <c r="R7" s="664" t="s">
        <v>14</v>
      </c>
      <c r="S7" s="665">
        <f t="shared" ref="S7:S14" si="0">F7</f>
        <v>0</v>
      </c>
      <c r="T7" s="664" t="s">
        <v>14</v>
      </c>
      <c r="U7" s="665">
        <f t="shared" ref="U7:U14" si="1">H7</f>
        <v>0</v>
      </c>
      <c r="V7" s="664" t="s">
        <v>14</v>
      </c>
      <c r="W7" s="665">
        <f t="shared" ref="W7:W14" si="2">J7</f>
        <v>0</v>
      </c>
      <c r="X7" s="666"/>
      <c r="Y7" s="3415" t="s">
        <v>1680</v>
      </c>
      <c r="Z7" s="341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1"/>
      <c r="M8" s="2432"/>
      <c r="N8" s="2432"/>
      <c r="O8" s="2432"/>
      <c r="P8" s="3415" t="s">
        <v>1683</v>
      </c>
      <c r="Q8" s="3416"/>
      <c r="R8" s="664" t="s">
        <v>14</v>
      </c>
      <c r="S8" s="665">
        <f t="shared" si="0"/>
        <v>100</v>
      </c>
      <c r="T8" s="664" t="s">
        <v>14</v>
      </c>
      <c r="U8" s="665">
        <f t="shared" si="1"/>
        <v>100</v>
      </c>
      <c r="V8" s="664" t="s">
        <v>14</v>
      </c>
      <c r="W8" s="665">
        <f t="shared" si="2"/>
        <v>100</v>
      </c>
      <c r="X8" s="666"/>
      <c r="Y8" s="3415" t="s">
        <v>1683</v>
      </c>
      <c r="Z8" s="341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1"/>
      <c r="M9" s="2432"/>
      <c r="N9" s="2432"/>
      <c r="O9" s="2432"/>
      <c r="P9" s="3380"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7">
      <c r="A10" s="565"/>
      <c r="B10" s="566" t="s">
        <v>1688</v>
      </c>
      <c r="C10" s="3123"/>
      <c r="D10" s="119">
        <v>100</v>
      </c>
      <c r="E10" s="3123"/>
      <c r="F10" s="119">
        <f>SUMIF(55:55,E10,56:56)-SUMIF(55:55,C10,56:56)+100</f>
        <v>100</v>
      </c>
      <c r="G10" s="3124"/>
      <c r="H10" s="119">
        <f>SUMIF(55:55,G10,56:56)-SUMIF(55:55,C10,56:56)+100</f>
        <v>100</v>
      </c>
      <c r="I10" s="3123"/>
      <c r="J10" s="119">
        <f>SUMIF(55:55,I10,56:56)-SUMIF(55:55,C10,56:56)+100</f>
        <v>100</v>
      </c>
      <c r="K10" s="38"/>
      <c r="L10" s="2482"/>
      <c r="M10" s="2483"/>
      <c r="N10" s="2483"/>
      <c r="O10" s="2483"/>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4"/>
      <c r="M11" s="2480"/>
      <c r="N11" s="2480"/>
      <c r="O11" s="2480"/>
      <c r="P11" s="3380"/>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1"/>
      <c r="M12" s="2432"/>
      <c r="N12" s="2432"/>
      <c r="O12" s="2432"/>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5"/>
      <c r="M13" s="2480"/>
      <c r="N13" s="2480"/>
      <c r="O13" s="2480"/>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14">
      <c r="A14" s="345" t="s">
        <v>1690</v>
      </c>
      <c r="B14" s="554" t="s">
        <v>1833</v>
      </c>
      <c r="C14" s="1813" t="str">
        <f>IF(B1="工业",估价对象房地状况!G4,估价对象房地状况!C6)</f>
        <v>估价对象周边有196路、B38路、Y25路等多条公交线路，综合评价交通便捷度一般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85"/>
      <c r="M14" s="2480"/>
      <c r="N14" s="2480"/>
      <c r="O14" s="2480"/>
      <c r="P14" s="3382" t="s">
        <v>1691</v>
      </c>
      <c r="Q14" s="1259" t="str">
        <f t="shared" si="6"/>
        <v>交通便捷度</v>
      </c>
      <c r="R14" s="667" t="s">
        <v>14</v>
      </c>
      <c r="S14" s="668">
        <f t="shared" si="0"/>
        <v>100</v>
      </c>
      <c r="T14" s="667" t="s">
        <v>14</v>
      </c>
      <c r="U14" s="668">
        <f t="shared" si="1"/>
        <v>100</v>
      </c>
      <c r="V14" s="667" t="s">
        <v>14</v>
      </c>
      <c r="W14" s="668">
        <f t="shared" si="2"/>
        <v>100</v>
      </c>
      <c r="X14" s="1261"/>
      <c r="Y14" s="3382" t="s">
        <v>1691</v>
      </c>
      <c r="Z14" s="1260" t="str">
        <f t="shared" si="7"/>
        <v>交通便捷度</v>
      </c>
      <c r="AA14" s="1260">
        <f t="shared" si="3"/>
        <v>1</v>
      </c>
      <c r="AB14" s="1260">
        <f t="shared" si="4"/>
        <v>1</v>
      </c>
      <c r="AC14" s="1260">
        <f t="shared" si="5"/>
        <v>1</v>
      </c>
    </row>
    <row r="15" spans="1:29" ht="15">
      <c r="A15" s="348"/>
      <c r="B15" s="571"/>
      <c r="C15" s="386"/>
      <c r="D15" s="387"/>
      <c r="E15" s="386"/>
      <c r="F15" s="388"/>
      <c r="G15" s="386"/>
      <c r="H15" s="389"/>
      <c r="I15" s="386"/>
      <c r="J15" s="387"/>
      <c r="K15" s="541"/>
      <c r="L15" s="2485"/>
      <c r="M15" s="2480"/>
      <c r="N15" s="2480"/>
      <c r="O15" s="2480"/>
      <c r="P15" s="3383"/>
      <c r="Q15" s="1259"/>
      <c r="R15" s="667"/>
      <c r="S15" s="668"/>
      <c r="T15" s="667"/>
      <c r="U15" s="668"/>
      <c r="V15" s="667"/>
      <c r="W15" s="668"/>
      <c r="X15" s="1261"/>
      <c r="Y15" s="3383"/>
      <c r="Z15" s="1260"/>
      <c r="AA15" s="1260">
        <v>1</v>
      </c>
      <c r="AB15" s="1260">
        <v>1</v>
      </c>
      <c r="AC15" s="1260">
        <v>1</v>
      </c>
    </row>
    <row r="16" spans="1:29" ht="370.5">
      <c r="A16" s="348"/>
      <c r="B16" s="556" t="s">
        <v>1812</v>
      </c>
      <c r="C16" s="1750" t="str">
        <f>IF(B1="工业",估价对象房地状况!G5,估价对象房地状况!C7)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16" s="394">
        <v>100</v>
      </c>
      <c r="E16" s="396"/>
      <c r="F16" s="397">
        <f>SUMIF(65:65,E17,66:66)-SUMIF(65:65,C17,66:66)+100</f>
        <v>100</v>
      </c>
      <c r="G16" s="398"/>
      <c r="H16" s="394">
        <f>SUMIF(65:65,G17,66:66)-SUMIF(65:65,C17,66:66)+100</f>
        <v>100</v>
      </c>
      <c r="I16" s="396"/>
      <c r="J16" s="394">
        <f>SUMIF(65:65,I17,66:66)-SUMIF(65:65,C17,66:66)+100</f>
        <v>100</v>
      </c>
      <c r="K16" s="540"/>
      <c r="L16" s="2485"/>
      <c r="M16" s="2480"/>
      <c r="N16" s="2480"/>
      <c r="O16" s="2480"/>
      <c r="P16" s="3383"/>
      <c r="Q16" s="1259" t="str">
        <f>B16</f>
        <v>公共配套设施</v>
      </c>
      <c r="R16" s="667" t="s">
        <v>14</v>
      </c>
      <c r="S16" s="668">
        <f>F16</f>
        <v>100</v>
      </c>
      <c r="T16" s="667" t="s">
        <v>14</v>
      </c>
      <c r="U16" s="668">
        <f>H16</f>
        <v>100</v>
      </c>
      <c r="V16" s="667" t="s">
        <v>14</v>
      </c>
      <c r="W16" s="668">
        <f>J16</f>
        <v>100</v>
      </c>
      <c r="X16" s="1261"/>
      <c r="Y16" s="3383"/>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5"/>
      <c r="M17" s="2480"/>
      <c r="N17" s="2480"/>
      <c r="O17" s="2480"/>
      <c r="P17" s="3383"/>
      <c r="Q17" s="1259"/>
      <c r="R17" s="667"/>
      <c r="S17" s="668"/>
      <c r="T17" s="667"/>
      <c r="U17" s="668"/>
      <c r="V17" s="667"/>
      <c r="W17" s="668"/>
      <c r="X17" s="1261"/>
      <c r="Y17" s="3383"/>
      <c r="Z17" s="1260"/>
      <c r="AA17" s="1260">
        <v>1</v>
      </c>
      <c r="AB17" s="1260">
        <v>1</v>
      </c>
      <c r="AC17" s="1260">
        <v>1</v>
      </c>
    </row>
    <row r="18" spans="1:29" ht="28.5">
      <c r="A18" s="348"/>
      <c r="B18" s="557" t="s">
        <v>1813</v>
      </c>
      <c r="C18" s="1750"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5"/>
      <c r="M18" s="2480"/>
      <c r="N18" s="2480"/>
      <c r="O18" s="2480"/>
      <c r="P18" s="3383"/>
      <c r="Q18" s="1259" t="str">
        <f>B18</f>
        <v>基础设施水平</v>
      </c>
      <c r="R18" s="667" t="s">
        <v>14</v>
      </c>
      <c r="S18" s="668">
        <f>F18</f>
        <v>100</v>
      </c>
      <c r="T18" s="667" t="s">
        <v>14</v>
      </c>
      <c r="U18" s="668">
        <f>H18</f>
        <v>100</v>
      </c>
      <c r="V18" s="667" t="s">
        <v>14</v>
      </c>
      <c r="W18" s="668">
        <f>J18</f>
        <v>100</v>
      </c>
      <c r="X18" s="1261"/>
      <c r="Y18" s="3383"/>
      <c r="Z18" s="1260" t="str">
        <f>Q18</f>
        <v>基础设施水平</v>
      </c>
      <c r="AA18" s="1260">
        <f t="shared" ref="AA18" si="8">D18/F18</f>
        <v>1</v>
      </c>
      <c r="AB18" s="1260">
        <f t="shared" ref="AB18" si="9">D18/H18</f>
        <v>1</v>
      </c>
      <c r="AC18" s="1260">
        <f t="shared" ref="AC18" si="10">D18/J18</f>
        <v>1</v>
      </c>
    </row>
    <row r="19" spans="1:29" ht="15">
      <c r="A19" s="348"/>
      <c r="B19" s="557"/>
      <c r="C19" s="1751"/>
      <c r="D19" s="389"/>
      <c r="E19" s="1751"/>
      <c r="F19" s="392"/>
      <c r="G19" s="1751"/>
      <c r="H19" s="387"/>
      <c r="I19" s="386"/>
      <c r="J19" s="387"/>
      <c r="K19" s="1060"/>
      <c r="L19" s="2485"/>
      <c r="M19" s="2480"/>
      <c r="N19" s="2480"/>
      <c r="O19" s="2480"/>
      <c r="P19" s="3383"/>
      <c r="Q19" s="1259"/>
      <c r="R19" s="667"/>
      <c r="S19" s="668"/>
      <c r="T19" s="667"/>
      <c r="U19" s="668"/>
      <c r="V19" s="667"/>
      <c r="W19" s="668"/>
      <c r="X19" s="1261"/>
      <c r="Y19" s="3383"/>
      <c r="Z19" s="1260"/>
      <c r="AA19" s="1260">
        <v>1</v>
      </c>
      <c r="AB19" s="1260">
        <v>1</v>
      </c>
      <c r="AC19" s="1260">
        <v>1</v>
      </c>
    </row>
    <row r="20" spans="1:29" ht="114">
      <c r="A20" s="348"/>
      <c r="B20" s="556" t="s">
        <v>1834</v>
      </c>
      <c r="C20" s="1750" t="str">
        <f>IF(B1="工业",估价对象房地状况!G7,估价对象房地状况!C9)</f>
        <v>估价对象周边有河南省体育场馆中心、郑州海洋馆等人文景观，东风渠水系等自然景观，综合评价环境状况较好。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5"/>
      <c r="M20" s="2480"/>
      <c r="N20" s="2480"/>
      <c r="O20" s="2480"/>
      <c r="P20" s="3383"/>
      <c r="Q20" s="1259" t="str">
        <f>B20</f>
        <v>自然及人文环境</v>
      </c>
      <c r="R20" s="667" t="s">
        <v>14</v>
      </c>
      <c r="S20" s="668">
        <f>F20</f>
        <v>100</v>
      </c>
      <c r="T20" s="667" t="s">
        <v>14</v>
      </c>
      <c r="U20" s="668">
        <f>H20</f>
        <v>100</v>
      </c>
      <c r="V20" s="667" t="s">
        <v>14</v>
      </c>
      <c r="W20" s="668">
        <f>J20</f>
        <v>100</v>
      </c>
      <c r="X20" s="1261"/>
      <c r="Y20" s="3383"/>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5"/>
      <c r="M21" s="2480"/>
      <c r="N21" s="2480"/>
      <c r="O21" s="2480"/>
      <c r="P21" s="3383"/>
      <c r="Q21" s="1259"/>
      <c r="R21" s="667"/>
      <c r="S21" s="668"/>
      <c r="T21" s="667"/>
      <c r="U21" s="668"/>
      <c r="V21" s="667"/>
      <c r="W21" s="668"/>
      <c r="X21" s="1261"/>
      <c r="Y21" s="3383"/>
      <c r="Z21" s="1260"/>
      <c r="AA21" s="1260">
        <v>1</v>
      </c>
      <c r="AB21" s="1260">
        <v>1</v>
      </c>
      <c r="AC21" s="1260">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5"/>
      <c r="M22" s="2480"/>
      <c r="N22" s="2480"/>
      <c r="O22" s="2480"/>
      <c r="P22" s="3383"/>
      <c r="Q22" s="1259" t="str">
        <f>B22</f>
        <v>楼层</v>
      </c>
      <c r="R22" s="667" t="s">
        <v>14</v>
      </c>
      <c r="S22" s="668">
        <f>F22</f>
        <v>100</v>
      </c>
      <c r="T22" s="667" t="s">
        <v>14</v>
      </c>
      <c r="U22" s="668">
        <f>H22</f>
        <v>100</v>
      </c>
      <c r="V22" s="667" t="s">
        <v>14</v>
      </c>
      <c r="W22" s="668">
        <f>J22</f>
        <v>100</v>
      </c>
      <c r="X22" s="1261"/>
      <c r="Y22" s="3383"/>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5"/>
      <c r="M23" s="2480"/>
      <c r="N23" s="2480"/>
      <c r="O23" s="2480"/>
      <c r="P23" s="3383"/>
      <c r="Q23" s="1259">
        <f>B23</f>
        <v>111</v>
      </c>
      <c r="R23" s="667" t="s">
        <v>14</v>
      </c>
      <c r="S23" s="668">
        <f>F23</f>
        <v>100</v>
      </c>
      <c r="T23" s="667" t="s">
        <v>14</v>
      </c>
      <c r="U23" s="668">
        <f>H23</f>
        <v>100</v>
      </c>
      <c r="V23" s="667" t="s">
        <v>14</v>
      </c>
      <c r="W23" s="668">
        <f>J23</f>
        <v>100</v>
      </c>
      <c r="X23" s="1261"/>
      <c r="Y23" s="3383"/>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5"/>
      <c r="M24" s="2480"/>
      <c r="N24" s="2480"/>
      <c r="O24" s="2480"/>
      <c r="P24" s="3383"/>
      <c r="Q24" s="1259">
        <f t="shared" ref="Q24:Q36" si="11">B24</f>
        <v>111</v>
      </c>
      <c r="R24" s="667" t="s">
        <v>14</v>
      </c>
      <c r="S24" s="668">
        <f>F24</f>
        <v>100</v>
      </c>
      <c r="T24" s="667" t="s">
        <v>14</v>
      </c>
      <c r="U24" s="668">
        <f>H24</f>
        <v>100</v>
      </c>
      <c r="V24" s="667" t="s">
        <v>14</v>
      </c>
      <c r="W24" s="668">
        <f>J24</f>
        <v>100</v>
      </c>
      <c r="X24" s="1261"/>
      <c r="Y24" s="3383"/>
      <c r="Z24" s="1260">
        <f>Q24</f>
        <v>111</v>
      </c>
      <c r="AA24" s="1260">
        <f t="shared" si="3"/>
        <v>1</v>
      </c>
      <c r="AB24" s="1260">
        <f t="shared" si="4"/>
        <v>1</v>
      </c>
      <c r="AC24" s="1260">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1"/>
      <c r="M25" s="2432"/>
      <c r="N25" s="2432"/>
      <c r="O25" s="2432"/>
      <c r="P25" s="3383"/>
      <c r="Q25" s="530">
        <f t="shared" si="11"/>
        <v>111</v>
      </c>
      <c r="R25" s="664" t="s">
        <v>14</v>
      </c>
      <c r="S25" s="665">
        <f>F25</f>
        <v>100</v>
      </c>
      <c r="T25" s="664" t="s">
        <v>14</v>
      </c>
      <c r="U25" s="665">
        <f>H25</f>
        <v>100</v>
      </c>
      <c r="V25" s="664" t="s">
        <v>14</v>
      </c>
      <c r="W25" s="665">
        <f>J25</f>
        <v>100</v>
      </c>
      <c r="X25" s="666"/>
      <c r="Y25" s="3383"/>
      <c r="Z25" s="50">
        <f>Q25</f>
        <v>111</v>
      </c>
      <c r="AA25" s="1260">
        <f>D25/F25</f>
        <v>1</v>
      </c>
      <c r="AB25" s="1260">
        <f>D25/H25</f>
        <v>1</v>
      </c>
      <c r="AC25" s="1260">
        <f>D25/J25</f>
        <v>1</v>
      </c>
    </row>
    <row r="26" spans="1:29" ht="28.5">
      <c r="A26" s="574" t="s">
        <v>1694</v>
      </c>
      <c r="B26" s="59" t="s">
        <v>1836</v>
      </c>
      <c r="C26" s="1814" t="str">
        <f>B1</f>
        <v>车库</v>
      </c>
      <c r="D26" s="387">
        <v>100</v>
      </c>
      <c r="E26" s="386"/>
      <c r="F26" s="388">
        <f>SUMIF(79:79,E26,80:80)-SUMIF(79:79,C26,80:80)+100</f>
        <v>0</v>
      </c>
      <c r="G26" s="386"/>
      <c r="H26" s="387">
        <f>SUMIF(79:79,G26,80:80)-SUMIF(79:79,C26,80:80)+100</f>
        <v>0</v>
      </c>
      <c r="I26" s="386"/>
      <c r="J26" s="387">
        <f>SUMIF(79:79,I26,80:80)-SUMIF(79:79,C26,80:80)+100</f>
        <v>0</v>
      </c>
      <c r="K26" s="538"/>
      <c r="L26" s="2485"/>
      <c r="M26" s="2480"/>
      <c r="N26" s="2480"/>
      <c r="O26" s="2480"/>
      <c r="P26" s="3437" t="s">
        <v>1696</v>
      </c>
      <c r="Q26" s="1259" t="str">
        <f t="shared" si="11"/>
        <v>配套类型</v>
      </c>
      <c r="R26" s="667" t="s">
        <v>14</v>
      </c>
      <c r="S26" s="668">
        <f t="shared" ref="S26:S36" si="12">F26</f>
        <v>0</v>
      </c>
      <c r="T26" s="667" t="s">
        <v>14</v>
      </c>
      <c r="U26" s="668">
        <f t="shared" ref="U26:U36" si="13">H26</f>
        <v>0</v>
      </c>
      <c r="V26" s="667" t="s">
        <v>14</v>
      </c>
      <c r="W26" s="668">
        <f t="shared" ref="W26:W36" si="14">J26</f>
        <v>0</v>
      </c>
      <c r="X26" s="1261"/>
      <c r="Y26" s="3387" t="s">
        <v>1696</v>
      </c>
      <c r="Z26" s="1260" t="str">
        <f t="shared" ref="Z26:Z36" si="15">Q26</f>
        <v>配套类型</v>
      </c>
      <c r="AA26" s="1260" t="e">
        <f t="shared" si="3"/>
        <v>#DIV/0!</v>
      </c>
      <c r="AB26" s="1260" t="e">
        <f t="shared" si="4"/>
        <v>#DIV/0!</v>
      </c>
      <c r="AC26" s="1260"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4"/>
      <c r="M27" s="2486"/>
      <c r="N27" s="2486"/>
      <c r="O27" s="2486"/>
      <c r="P27" s="3387"/>
      <c r="Q27" s="531" t="str">
        <f t="shared" si="11"/>
        <v>项目停车位配比</v>
      </c>
      <c r="R27" s="669" t="s">
        <v>14</v>
      </c>
      <c r="S27" s="670">
        <f t="shared" si="12"/>
        <v>100</v>
      </c>
      <c r="T27" s="669" t="s">
        <v>14</v>
      </c>
      <c r="U27" s="670">
        <f t="shared" si="13"/>
        <v>100</v>
      </c>
      <c r="V27" s="669" t="s">
        <v>14</v>
      </c>
      <c r="W27" s="670">
        <f t="shared" si="14"/>
        <v>100</v>
      </c>
      <c r="X27" s="671"/>
      <c r="Y27" s="3387"/>
      <c r="Z27" s="672" t="str">
        <f t="shared" si="15"/>
        <v>项目停车位配比</v>
      </c>
      <c r="AA27" s="1260">
        <f t="shared" si="3"/>
        <v>1</v>
      </c>
      <c r="AB27" s="1260">
        <f t="shared" si="4"/>
        <v>1</v>
      </c>
      <c r="AC27" s="1260">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5"/>
      <c r="M28" s="2480"/>
      <c r="N28" s="2480"/>
      <c r="O28" s="2480"/>
      <c r="P28" s="3387"/>
      <c r="Q28" s="1259" t="str">
        <f t="shared" si="11"/>
        <v>公共部分装修</v>
      </c>
      <c r="R28" s="667" t="s">
        <v>14</v>
      </c>
      <c r="S28" s="668">
        <f t="shared" si="12"/>
        <v>100</v>
      </c>
      <c r="T28" s="667" t="s">
        <v>14</v>
      </c>
      <c r="U28" s="668">
        <f t="shared" si="13"/>
        <v>100</v>
      </c>
      <c r="V28" s="667" t="s">
        <v>14</v>
      </c>
      <c r="W28" s="668">
        <f t="shared" si="14"/>
        <v>100</v>
      </c>
      <c r="X28" s="1261"/>
      <c r="Y28" s="3387"/>
      <c r="Z28" s="1260" t="str">
        <f t="shared" si="15"/>
        <v>公共部分装修</v>
      </c>
      <c r="AA28" s="1260">
        <f t="shared" si="3"/>
        <v>1</v>
      </c>
      <c r="AB28" s="1260">
        <f t="shared" si="4"/>
        <v>1</v>
      </c>
      <c r="AC28" s="1260">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5"/>
      <c r="M29" s="2480"/>
      <c r="N29" s="2480"/>
      <c r="O29" s="2480"/>
      <c r="P29" s="3387"/>
      <c r="Q29" s="1259" t="str">
        <f t="shared" si="11"/>
        <v>成新率</v>
      </c>
      <c r="R29" s="667" t="s">
        <v>14</v>
      </c>
      <c r="S29" s="668" t="e">
        <f t="shared" si="12"/>
        <v>#N/A</v>
      </c>
      <c r="T29" s="667" t="s">
        <v>14</v>
      </c>
      <c r="U29" s="668" t="e">
        <f t="shared" si="13"/>
        <v>#N/A</v>
      </c>
      <c r="V29" s="667" t="s">
        <v>14</v>
      </c>
      <c r="W29" s="668" t="e">
        <f t="shared" si="14"/>
        <v>#N/A</v>
      </c>
      <c r="X29" s="1261"/>
      <c r="Y29" s="3387"/>
      <c r="Z29" s="1260" t="str">
        <f t="shared" si="15"/>
        <v>成新率</v>
      </c>
      <c r="AA29" s="1260" t="e">
        <f t="shared" si="3"/>
        <v>#N/A</v>
      </c>
      <c r="AB29" s="1260" t="e">
        <f t="shared" si="4"/>
        <v>#N/A</v>
      </c>
      <c r="AC29" s="1260"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5"/>
      <c r="M30" s="2480"/>
      <c r="N30" s="2480"/>
      <c r="O30" s="2480"/>
      <c r="P30" s="3387"/>
      <c r="Q30" s="1259" t="str">
        <f t="shared" si="11"/>
        <v>物业等级</v>
      </c>
      <c r="R30" s="667" t="s">
        <v>14</v>
      </c>
      <c r="S30" s="668">
        <f t="shared" si="12"/>
        <v>100</v>
      </c>
      <c r="T30" s="667" t="s">
        <v>14</v>
      </c>
      <c r="U30" s="668">
        <f t="shared" si="13"/>
        <v>100</v>
      </c>
      <c r="V30" s="667" t="s">
        <v>14</v>
      </c>
      <c r="W30" s="668">
        <f t="shared" si="14"/>
        <v>100</v>
      </c>
      <c r="X30" s="1261"/>
      <c r="Y30" s="3387"/>
      <c r="Z30" s="1260" t="str">
        <f t="shared" si="15"/>
        <v>物业等级</v>
      </c>
      <c r="AA30" s="1260">
        <f t="shared" si="3"/>
        <v>1</v>
      </c>
      <c r="AB30" s="1260">
        <f t="shared" si="4"/>
        <v>1</v>
      </c>
      <c r="AC30" s="1260">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1"/>
      <c r="M31" s="2432"/>
      <c r="N31" s="2432"/>
      <c r="O31" s="2432"/>
      <c r="P31" s="3387"/>
      <c r="Q31" s="530" t="str">
        <f t="shared" si="11"/>
        <v>停车位面积</v>
      </c>
      <c r="R31" s="664" t="s">
        <v>14</v>
      </c>
      <c r="S31" s="665" t="e">
        <f t="shared" si="12"/>
        <v>#N/A</v>
      </c>
      <c r="T31" s="664" t="s">
        <v>14</v>
      </c>
      <c r="U31" s="665" t="e">
        <f t="shared" si="13"/>
        <v>#N/A</v>
      </c>
      <c r="V31" s="664" t="s">
        <v>14</v>
      </c>
      <c r="W31" s="665" t="e">
        <f t="shared" si="14"/>
        <v>#N/A</v>
      </c>
      <c r="X31" s="666"/>
      <c r="Y31" s="338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5"/>
      <c r="M32" s="2480"/>
      <c r="N32" s="2480"/>
      <c r="O32" s="2480"/>
      <c r="P32" s="3387" t="s">
        <v>1696</v>
      </c>
      <c r="Q32" s="1259" t="str">
        <f t="shared" si="11"/>
        <v>车位类型</v>
      </c>
      <c r="R32" s="667" t="s">
        <v>14</v>
      </c>
      <c r="S32" s="668">
        <f t="shared" si="12"/>
        <v>100</v>
      </c>
      <c r="T32" s="667" t="s">
        <v>14</v>
      </c>
      <c r="U32" s="668">
        <f t="shared" si="13"/>
        <v>100</v>
      </c>
      <c r="V32" s="667" t="s">
        <v>14</v>
      </c>
      <c r="W32" s="668">
        <f t="shared" si="14"/>
        <v>100</v>
      </c>
      <c r="X32" s="1261"/>
      <c r="Y32" s="3387" t="s">
        <v>1696</v>
      </c>
      <c r="Z32" s="1260" t="str">
        <f t="shared" si="15"/>
        <v>车位类型</v>
      </c>
      <c r="AA32" s="1260">
        <f t="shared" si="3"/>
        <v>1</v>
      </c>
      <c r="AB32" s="1260">
        <f t="shared" si="4"/>
        <v>1</v>
      </c>
      <c r="AC32" s="1260">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5"/>
      <c r="M33" s="2480"/>
      <c r="N33" s="2480"/>
      <c r="O33" s="2480"/>
      <c r="P33" s="3387"/>
      <c r="Q33" s="1259" t="str">
        <f t="shared" si="11"/>
        <v>是否直接入户</v>
      </c>
      <c r="R33" s="667" t="s">
        <v>14</v>
      </c>
      <c r="S33" s="668">
        <f t="shared" si="12"/>
        <v>100</v>
      </c>
      <c r="T33" s="667" t="s">
        <v>14</v>
      </c>
      <c r="U33" s="668">
        <f t="shared" si="13"/>
        <v>100</v>
      </c>
      <c r="V33" s="667" t="s">
        <v>14</v>
      </c>
      <c r="W33" s="668">
        <f t="shared" si="14"/>
        <v>100</v>
      </c>
      <c r="X33" s="1261"/>
      <c r="Y33" s="3387"/>
      <c r="Z33" s="1260" t="str">
        <f t="shared" si="15"/>
        <v>是否直接入户</v>
      </c>
      <c r="AA33" s="1260">
        <f t="shared" si="3"/>
        <v>1</v>
      </c>
      <c r="AB33" s="1260">
        <f t="shared" si="4"/>
        <v>1</v>
      </c>
      <c r="AC33" s="1260">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5"/>
      <c r="M34" s="2480"/>
      <c r="N34" s="2480"/>
      <c r="O34" s="2480"/>
      <c r="P34" s="3387"/>
      <c r="Q34" s="1259">
        <f t="shared" si="11"/>
        <v>111</v>
      </c>
      <c r="R34" s="667" t="s">
        <v>14</v>
      </c>
      <c r="S34" s="668">
        <f t="shared" si="12"/>
        <v>100</v>
      </c>
      <c r="T34" s="667" t="s">
        <v>14</v>
      </c>
      <c r="U34" s="668">
        <f t="shared" si="13"/>
        <v>100</v>
      </c>
      <c r="V34" s="667" t="s">
        <v>14</v>
      </c>
      <c r="W34" s="668">
        <f t="shared" si="14"/>
        <v>100</v>
      </c>
      <c r="X34" s="1261"/>
      <c r="Y34" s="3387"/>
      <c r="Z34" s="1260">
        <f t="shared" si="15"/>
        <v>111</v>
      </c>
      <c r="AA34" s="1260">
        <f t="shared" si="3"/>
        <v>1</v>
      </c>
      <c r="AB34" s="1260">
        <f t="shared" si="4"/>
        <v>1</v>
      </c>
      <c r="AC34" s="1260">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4"/>
      <c r="M35" s="2486"/>
      <c r="N35" s="2486"/>
      <c r="O35" s="2486"/>
      <c r="P35" s="3387"/>
      <c r="Q35" s="531">
        <f t="shared" si="11"/>
        <v>111</v>
      </c>
      <c r="R35" s="669" t="s">
        <v>14</v>
      </c>
      <c r="S35" s="670">
        <f t="shared" si="12"/>
        <v>100</v>
      </c>
      <c r="T35" s="669" t="s">
        <v>14</v>
      </c>
      <c r="U35" s="670">
        <f t="shared" si="13"/>
        <v>100</v>
      </c>
      <c r="V35" s="669" t="s">
        <v>14</v>
      </c>
      <c r="W35" s="670">
        <f t="shared" si="14"/>
        <v>100</v>
      </c>
      <c r="X35" s="671"/>
      <c r="Y35" s="3387"/>
      <c r="Z35" s="672">
        <f t="shared" si="15"/>
        <v>111</v>
      </c>
      <c r="AA35" s="1260">
        <f t="shared" si="3"/>
        <v>1</v>
      </c>
      <c r="AB35" s="1260">
        <f t="shared" si="4"/>
        <v>1</v>
      </c>
      <c r="AC35" s="1260">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5"/>
      <c r="M36" s="2480"/>
      <c r="N36" s="2480"/>
      <c r="O36" s="2480"/>
      <c r="P36" s="3387"/>
      <c r="Q36" s="1259">
        <f t="shared" si="11"/>
        <v>111</v>
      </c>
      <c r="R36" s="667" t="s">
        <v>14</v>
      </c>
      <c r="S36" s="668">
        <f t="shared" si="12"/>
        <v>100</v>
      </c>
      <c r="T36" s="667" t="s">
        <v>14</v>
      </c>
      <c r="U36" s="668">
        <f t="shared" si="13"/>
        <v>100</v>
      </c>
      <c r="V36" s="667" t="s">
        <v>14</v>
      </c>
      <c r="W36" s="668">
        <f t="shared" si="14"/>
        <v>100</v>
      </c>
      <c r="X36" s="1261"/>
      <c r="Y36" s="3387"/>
      <c r="Z36" s="1260">
        <f t="shared" si="15"/>
        <v>111</v>
      </c>
      <c r="AA36" s="1260">
        <f t="shared" si="3"/>
        <v>1</v>
      </c>
      <c r="AB36" s="1260">
        <f t="shared" si="4"/>
        <v>1</v>
      </c>
      <c r="AC36" s="1260">
        <f t="shared" si="5"/>
        <v>1</v>
      </c>
    </row>
    <row r="37" spans="1:29" ht="15">
      <c r="A37" s="416" t="s">
        <v>1844</v>
      </c>
      <c r="B37" s="1815" t="s">
        <v>3349</v>
      </c>
      <c r="C37" s="1077" t="s">
        <v>0</v>
      </c>
      <c r="D37" s="418"/>
      <c r="E37" s="419"/>
      <c r="F37" s="420"/>
      <c r="G37" s="421"/>
      <c r="H37" s="422"/>
      <c r="I37" s="419"/>
      <c r="J37" s="422"/>
      <c r="K37" s="545"/>
      <c r="L37" s="2487"/>
      <c r="M37" s="2480"/>
      <c r="N37" s="2480"/>
      <c r="O37" s="2480"/>
      <c r="P37" s="3380" t="str">
        <f>A37</f>
        <v>成交单价</v>
      </c>
      <c r="Q37" s="3380"/>
      <c r="R37" s="3381">
        <f>E37</f>
        <v>0</v>
      </c>
      <c r="S37" s="3381"/>
      <c r="T37" s="3381">
        <f>G37</f>
        <v>0</v>
      </c>
      <c r="U37" s="3381"/>
      <c r="V37" s="3381">
        <f>I37</f>
        <v>0</v>
      </c>
      <c r="W37" s="3381"/>
      <c r="X37" s="385"/>
      <c r="Y37" s="673"/>
      <c r="Z37" s="385"/>
      <c r="AA37" s="385"/>
      <c r="AB37" s="385"/>
      <c r="AC37" s="385"/>
    </row>
    <row r="38" spans="1:29" ht="15.75" thickBot="1">
      <c r="A38" s="423" t="s">
        <v>1845</v>
      </c>
      <c r="B38" s="424" t="str">
        <f>B37</f>
        <v>元/平方米</v>
      </c>
      <c r="C38" s="1078" t="e">
        <f>R39</f>
        <v>#DIV/0!</v>
      </c>
      <c r="D38" s="2135" t="s">
        <v>2138</v>
      </c>
      <c r="E38" s="1079" t="e">
        <f>R38</f>
        <v>#DIV/0!</v>
      </c>
      <c r="F38" s="2136"/>
      <c r="G38" s="1078" t="e">
        <f>T38</f>
        <v>#DIV/0!</v>
      </c>
      <c r="H38" s="2136"/>
      <c r="I38" s="1079" t="e">
        <f>V38</f>
        <v>#DIV/0!</v>
      </c>
      <c r="J38" s="2136"/>
      <c r="K38" s="2138">
        <f>F38+H38+J38</f>
        <v>0</v>
      </c>
      <c r="L38" s="2487"/>
      <c r="M38" s="2480"/>
      <c r="N38" s="2480"/>
      <c r="O38" s="2480"/>
      <c r="P38" s="3380" t="str">
        <f>A38</f>
        <v>比较价值（元/平方米）</v>
      </c>
      <c r="Q38" s="3380"/>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87"/>
      <c r="M39" s="2480"/>
      <c r="N39" s="2480"/>
      <c r="O39" s="2480"/>
      <c r="P39" s="3377" t="str">
        <f>A39</f>
        <v>估价对象XX用房的比较价值（楼面单价，元/平方米）</v>
      </c>
      <c r="Q39" s="3378"/>
      <c r="R39" s="3438" t="e">
        <f>IF(F1="售价",ROUND(IF(D38="简单平均",AVERAGE(R38:W38),R38*F38+T38*H38+V38*J38),0),ROUND(IF(D38="简单平均",AVERAGE(R38:V38),R38*F38+T38*H38+V38*J38),1))</f>
        <v>#DIV/0!</v>
      </c>
      <c r="S39" s="3438"/>
      <c r="T39" s="3438"/>
      <c r="U39" s="3438"/>
      <c r="V39" s="3438"/>
      <c r="W39" s="3438"/>
      <c r="X39" s="385"/>
      <c r="Y39" s="385"/>
      <c r="Z39" s="385"/>
      <c r="AA39" s="385"/>
      <c r="AB39" s="385"/>
      <c r="AC39" s="385"/>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7" customFormat="1" ht="13.5" customHeight="1">
      <c r="A44" s="2490"/>
      <c r="B44" s="2490"/>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7"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3" t="s">
        <v>1850</v>
      </c>
      <c r="B47" s="857"/>
      <c r="C47" s="882"/>
      <c r="D47" s="882"/>
      <c r="E47" s="882"/>
      <c r="F47" s="1084"/>
      <c r="G47" s="1084"/>
      <c r="H47" s="882"/>
      <c r="I47" s="882"/>
      <c r="J47" s="882"/>
      <c r="K47" s="883"/>
      <c r="L47" s="884"/>
      <c r="M47" s="882"/>
      <c r="N47" s="2530"/>
      <c r="O47" s="2530"/>
      <c r="P47" s="2519"/>
      <c r="Q47" s="2501"/>
      <c r="R47" s="2480"/>
      <c r="S47" s="2480"/>
      <c r="T47" s="2480"/>
      <c r="U47" s="2480"/>
      <c r="V47" s="2480"/>
      <c r="W47" s="2480"/>
      <c r="X47" s="2480"/>
      <c r="Y47" s="2480"/>
      <c r="Z47" s="2480"/>
      <c r="AA47" s="2480"/>
      <c r="AB47" s="2480"/>
      <c r="AC47" s="2480"/>
    </row>
    <row r="48" spans="1:29" s="442" customFormat="1" ht="15">
      <c r="A48" s="440" t="s">
        <v>1851</v>
      </c>
      <c r="B48" s="441"/>
      <c r="C48" s="1099" t="str">
        <f>YEAR(C7)&amp;"-"&amp;MONTH(C7)</f>
        <v>2025-10</v>
      </c>
      <c r="D48" s="1100">
        <f>EDATE(C48,-1)</f>
        <v>45901</v>
      </c>
      <c r="E48" s="1100">
        <f t="shared" ref="E48:O48" si="16">EDATE(D48,-1)</f>
        <v>45870</v>
      </c>
      <c r="F48" s="1100">
        <f t="shared" si="16"/>
        <v>45839</v>
      </c>
      <c r="G48" s="1100">
        <f t="shared" si="16"/>
        <v>45809</v>
      </c>
      <c r="H48" s="1100">
        <f t="shared" si="16"/>
        <v>45778</v>
      </c>
      <c r="I48" s="1100">
        <f t="shared" si="16"/>
        <v>45748</v>
      </c>
      <c r="J48" s="1100">
        <f t="shared" si="16"/>
        <v>45717</v>
      </c>
      <c r="K48" s="1100">
        <f t="shared" si="16"/>
        <v>45689</v>
      </c>
      <c r="L48" s="1100">
        <f t="shared" si="16"/>
        <v>45658</v>
      </c>
      <c r="M48" s="1100">
        <f t="shared" si="16"/>
        <v>45627</v>
      </c>
      <c r="N48" s="1100">
        <f t="shared" si="16"/>
        <v>45597</v>
      </c>
      <c r="O48" s="1100">
        <f t="shared" si="16"/>
        <v>45566</v>
      </c>
      <c r="P48" s="2520"/>
      <c r="Q48" s="2503"/>
      <c r="R48" s="2503"/>
      <c r="S48" s="2503"/>
      <c r="T48" s="2503"/>
      <c r="U48" s="2503"/>
      <c r="V48" s="2503"/>
      <c r="W48" s="2503"/>
      <c r="X48" s="2503"/>
      <c r="Y48" s="2503"/>
      <c r="Z48" s="2503"/>
      <c r="AA48" s="2503"/>
      <c r="AB48" s="2503"/>
      <c r="AC48" s="2503"/>
    </row>
    <row r="49" spans="1:29" s="102" customFormat="1" ht="15">
      <c r="A49" s="443"/>
      <c r="B49" s="444"/>
      <c r="C49" s="1093">
        <v>100</v>
      </c>
      <c r="D49" s="446"/>
      <c r="E49" s="446"/>
      <c r="F49" s="446"/>
      <c r="G49" s="446"/>
      <c r="H49" s="446"/>
      <c r="I49" s="446"/>
      <c r="J49" s="446"/>
      <c r="K49" s="446"/>
      <c r="L49" s="446"/>
      <c r="M49" s="447"/>
      <c r="N49" s="446"/>
      <c r="O49" s="447"/>
      <c r="P49" s="2521"/>
      <c r="Q49" s="2432"/>
      <c r="R49" s="2432"/>
      <c r="S49" s="2432"/>
      <c r="T49" s="2432"/>
      <c r="U49" s="2432"/>
      <c r="V49" s="2432"/>
      <c r="W49" s="2432"/>
      <c r="X49" s="2432"/>
      <c r="Y49" s="2432"/>
      <c r="Z49" s="2432"/>
      <c r="AA49" s="2432"/>
      <c r="AB49" s="2432"/>
      <c r="AC49" s="2432"/>
    </row>
    <row r="50" spans="1:29" s="102" customFormat="1" ht="15.75" thickBot="1">
      <c r="A50" s="449" t="s">
        <v>1716</v>
      </c>
      <c r="B50" s="450"/>
      <c r="C50" s="451"/>
      <c r="D50" s="452"/>
      <c r="E50" s="452"/>
      <c r="F50" s="452"/>
      <c r="G50" s="452"/>
      <c r="H50" s="452"/>
      <c r="I50" s="452"/>
      <c r="J50" s="452"/>
      <c r="K50" s="452"/>
      <c r="L50" s="452"/>
      <c r="M50" s="453"/>
      <c r="N50" s="452"/>
      <c r="O50" s="453"/>
      <c r="P50" s="2521"/>
      <c r="Q50" s="2501"/>
      <c r="R50" s="2432"/>
      <c r="S50" s="2432"/>
      <c r="T50" s="2432"/>
      <c r="U50" s="2432"/>
      <c r="V50" s="2432"/>
      <c r="W50" s="2432"/>
      <c r="X50" s="2432"/>
      <c r="Y50" s="2432"/>
      <c r="Z50" s="2432"/>
      <c r="AA50" s="2432"/>
      <c r="AB50" s="2432"/>
      <c r="AC50" s="2432"/>
    </row>
    <row r="51" spans="1:29" s="102" customFormat="1" ht="15">
      <c r="A51" s="455" t="s">
        <v>1681</v>
      </c>
      <c r="B51" s="444"/>
      <c r="C51" s="456" t="s">
        <v>1776</v>
      </c>
      <c r="D51" s="31"/>
      <c r="E51" s="31"/>
      <c r="F51" s="31"/>
      <c r="G51" s="31"/>
      <c r="H51" s="31"/>
      <c r="I51" s="31"/>
      <c r="J51" s="31"/>
      <c r="K51" s="31"/>
      <c r="L51" s="457"/>
      <c r="M51" s="458"/>
      <c r="N51" s="2513"/>
      <c r="O51" s="2513"/>
      <c r="P51" s="2522"/>
      <c r="Q51" s="2501"/>
      <c r="R51" s="2432"/>
      <c r="S51" s="2432"/>
      <c r="T51" s="2432"/>
      <c r="U51" s="2432"/>
      <c r="V51" s="2432"/>
      <c r="W51" s="2432"/>
      <c r="X51" s="2432"/>
      <c r="Y51" s="2432"/>
      <c r="Z51" s="2432"/>
      <c r="AA51" s="2432"/>
      <c r="AB51" s="2432"/>
      <c r="AC51" s="2432"/>
    </row>
    <row r="52" spans="1:29" s="102" customFormat="1" ht="15.75" thickBot="1">
      <c r="A52" s="455"/>
      <c r="B52" s="444"/>
      <c r="C52" s="563">
        <v>100</v>
      </c>
      <c r="D52" s="446"/>
      <c r="E52" s="446"/>
      <c r="F52" s="446"/>
      <c r="G52" s="446"/>
      <c r="H52" s="446"/>
      <c r="I52" s="446"/>
      <c r="J52" s="446"/>
      <c r="K52" s="446"/>
      <c r="L52" s="446"/>
      <c r="M52" s="448"/>
      <c r="N52" s="2513"/>
      <c r="O52" s="2513"/>
      <c r="P52" s="2521"/>
      <c r="Q52" s="2501"/>
      <c r="R52" s="2432"/>
      <c r="S52" s="2432"/>
      <c r="T52" s="2432"/>
      <c r="U52" s="2432"/>
      <c r="V52" s="2432"/>
      <c r="W52" s="2432"/>
      <c r="X52" s="2432"/>
      <c r="Y52" s="2432"/>
      <c r="Z52" s="2432"/>
      <c r="AA52" s="2432"/>
      <c r="AB52" s="2432"/>
      <c r="AC52" s="2432"/>
    </row>
    <row r="53" spans="1:29">
      <c r="A53" s="379" t="s">
        <v>1719</v>
      </c>
      <c r="B53" s="460" t="s">
        <v>1685</v>
      </c>
      <c r="C53" s="461">
        <f>C9</f>
        <v>0</v>
      </c>
      <c r="D53" s="462"/>
      <c r="E53" s="462"/>
      <c r="F53" s="462"/>
      <c r="G53" s="462"/>
      <c r="H53" s="462"/>
      <c r="I53" s="462"/>
      <c r="J53" s="462"/>
      <c r="K53" s="463"/>
      <c r="L53" s="464"/>
      <c r="M53" s="465"/>
      <c r="N53" s="2514"/>
      <c r="O53" s="2514"/>
      <c r="P53" s="2523"/>
      <c r="Q53" s="2501"/>
      <c r="R53" s="2480"/>
      <c r="S53" s="2480"/>
      <c r="T53" s="2480"/>
      <c r="U53" s="2480"/>
      <c r="V53" s="2480"/>
      <c r="W53" s="2480"/>
      <c r="X53" s="2480"/>
      <c r="Y53" s="2480"/>
      <c r="Z53" s="2480"/>
      <c r="AA53" s="2480"/>
      <c r="AB53" s="2480"/>
      <c r="AC53" s="2480"/>
    </row>
    <row r="54" spans="1:29" ht="15.75" thickBot="1">
      <c r="A54" s="367"/>
      <c r="B54" s="466"/>
      <c r="C54" s="467">
        <v>100</v>
      </c>
      <c r="D54" s="467"/>
      <c r="E54" s="467"/>
      <c r="F54" s="467"/>
      <c r="G54" s="467"/>
      <c r="H54" s="467"/>
      <c r="I54" s="467"/>
      <c r="J54" s="467"/>
      <c r="K54" s="467"/>
      <c r="L54" s="467"/>
      <c r="M54" s="468"/>
      <c r="N54" s="2515"/>
      <c r="O54" s="2515"/>
      <c r="P54" s="2523"/>
      <c r="Q54" s="2501"/>
      <c r="R54" s="2480"/>
      <c r="S54" s="2480"/>
      <c r="T54" s="2480"/>
      <c r="U54" s="2480"/>
      <c r="V54" s="2480"/>
      <c r="W54" s="2480"/>
      <c r="X54" s="2480"/>
      <c r="Y54" s="2480"/>
      <c r="Z54" s="2480"/>
      <c r="AA54" s="2480"/>
      <c r="AB54" s="2480"/>
      <c r="AC54" s="2480"/>
    </row>
    <row r="55" spans="1:29" ht="27.75" thickTop="1">
      <c r="A55" s="367"/>
      <c r="B55" s="469" t="s">
        <v>1688</v>
      </c>
      <c r="C55" s="513"/>
      <c r="D55" s="513"/>
      <c r="E55" s="513"/>
      <c r="F55" s="513"/>
      <c r="G55" s="513"/>
      <c r="H55" s="513"/>
      <c r="I55" s="513"/>
      <c r="J55" s="513"/>
      <c r="K55" s="514"/>
      <c r="L55" s="515"/>
      <c r="M55" s="516"/>
      <c r="N55" s="2514"/>
      <c r="O55" s="2514"/>
      <c r="P55" s="2523"/>
      <c r="Q55" s="2501"/>
      <c r="R55" s="2480"/>
      <c r="S55" s="2480"/>
      <c r="T55" s="2480"/>
      <c r="U55" s="2480"/>
      <c r="V55" s="2480"/>
      <c r="W55" s="2480"/>
      <c r="X55" s="2480"/>
      <c r="Y55" s="2480"/>
      <c r="Z55" s="2480"/>
      <c r="AA55" s="2480"/>
      <c r="AB55" s="2480"/>
      <c r="AC55" s="2480"/>
    </row>
    <row r="56" spans="1:29" ht="15.75" thickBot="1">
      <c r="A56" s="367"/>
      <c r="B56" s="474"/>
      <c r="C56" s="467"/>
      <c r="D56" s="467"/>
      <c r="E56" s="467"/>
      <c r="F56" s="467"/>
      <c r="G56" s="467"/>
      <c r="H56" s="467"/>
      <c r="I56" s="467"/>
      <c r="J56" s="467"/>
      <c r="K56" s="467"/>
      <c r="L56" s="467"/>
      <c r="M56" s="468"/>
      <c r="N56" s="2515"/>
      <c r="O56" s="2515"/>
      <c r="P56" s="2523"/>
      <c r="Q56" s="2501"/>
      <c r="R56" s="2480"/>
      <c r="S56" s="2480"/>
      <c r="T56" s="2480"/>
      <c r="U56" s="2480"/>
      <c r="V56" s="2480"/>
      <c r="W56" s="2480"/>
      <c r="X56" s="2480"/>
      <c r="Y56" s="2480"/>
      <c r="Z56" s="2480"/>
      <c r="AA56" s="2480"/>
      <c r="AB56" s="2480"/>
      <c r="AC56" s="2480"/>
    </row>
    <row r="57" spans="1:29" ht="15.75" thickTop="1">
      <c r="A57" s="367"/>
      <c r="B57" s="581">
        <f>B11</f>
        <v>111</v>
      </c>
      <c r="C57" s="480"/>
      <c r="D57" s="480"/>
      <c r="E57" s="480"/>
      <c r="F57" s="480"/>
      <c r="G57" s="480"/>
      <c r="H57" s="480"/>
      <c r="I57" s="480"/>
      <c r="J57" s="480"/>
      <c r="K57" s="481"/>
      <c r="L57" s="482"/>
      <c r="M57" s="483"/>
      <c r="N57" s="2514"/>
      <c r="O57" s="2514"/>
      <c r="P57" s="2523"/>
      <c r="Q57" s="2501"/>
      <c r="R57" s="2480"/>
      <c r="S57" s="2480"/>
      <c r="T57" s="2480"/>
      <c r="U57" s="2480"/>
      <c r="V57" s="2480"/>
      <c r="W57" s="2480"/>
      <c r="X57" s="2480"/>
      <c r="Y57" s="2480"/>
      <c r="Z57" s="2480"/>
      <c r="AA57" s="2480"/>
      <c r="AB57" s="2480"/>
      <c r="AC57" s="2480"/>
    </row>
    <row r="58" spans="1:29" ht="15.75" thickBot="1">
      <c r="A58" s="367"/>
      <c r="B58" s="466"/>
      <c r="C58" s="491"/>
      <c r="D58" s="467"/>
      <c r="E58" s="467"/>
      <c r="F58" s="467"/>
      <c r="G58" s="467"/>
      <c r="H58" s="467"/>
      <c r="I58" s="467"/>
      <c r="J58" s="467"/>
      <c r="K58" s="467"/>
      <c r="L58" s="467"/>
      <c r="M58" s="468"/>
      <c r="N58" s="2515"/>
      <c r="O58" s="2515"/>
      <c r="P58" s="2523"/>
      <c r="Q58" s="2501"/>
      <c r="R58" s="2480"/>
      <c r="S58" s="2480"/>
      <c r="T58" s="2480"/>
      <c r="U58" s="2480"/>
      <c r="V58" s="2480"/>
      <c r="W58" s="2480"/>
      <c r="X58" s="2480"/>
      <c r="Y58" s="2480"/>
      <c r="Z58" s="2480"/>
      <c r="AA58" s="2480"/>
      <c r="AB58" s="2480"/>
      <c r="AC58" s="2480"/>
    </row>
    <row r="59" spans="1:29" s="408" customFormat="1" ht="15.75" thickTop="1">
      <c r="A59" s="484"/>
      <c r="B59" s="469">
        <f>B12</f>
        <v>111</v>
      </c>
      <c r="C59" s="480"/>
      <c r="D59" s="480"/>
      <c r="E59" s="480"/>
      <c r="F59" s="480"/>
      <c r="G59" s="485"/>
      <c r="H59" s="486"/>
      <c r="I59" s="486"/>
      <c r="J59" s="486"/>
      <c r="K59" s="486"/>
      <c r="L59" s="487"/>
      <c r="M59" s="488"/>
      <c r="N59" s="2516"/>
      <c r="O59" s="2516"/>
      <c r="P59" s="2524"/>
      <c r="Q59" s="2508"/>
      <c r="R59" s="2486"/>
      <c r="S59" s="2486"/>
      <c r="T59" s="2486"/>
      <c r="U59" s="2486"/>
      <c r="V59" s="2486"/>
      <c r="W59" s="2486"/>
      <c r="X59" s="2486"/>
      <c r="Y59" s="2486"/>
      <c r="Z59" s="2486"/>
      <c r="AA59" s="2486"/>
      <c r="AB59" s="2486"/>
      <c r="AC59" s="2486"/>
    </row>
    <row r="60" spans="1:29" s="408" customFormat="1" ht="15.75" thickBot="1">
      <c r="A60" s="484"/>
      <c r="B60" s="474"/>
      <c r="C60" s="491"/>
      <c r="D60" s="467"/>
      <c r="E60" s="467"/>
      <c r="F60" s="467"/>
      <c r="G60" s="467"/>
      <c r="H60" s="467"/>
      <c r="I60" s="467"/>
      <c r="J60" s="467"/>
      <c r="K60" s="467"/>
      <c r="L60" s="467"/>
      <c r="M60" s="468"/>
      <c r="N60" s="2515"/>
      <c r="O60" s="2515"/>
      <c r="P60" s="2524"/>
      <c r="Q60" s="2508"/>
      <c r="R60" s="2486"/>
      <c r="S60" s="2486"/>
      <c r="T60" s="2486"/>
      <c r="U60" s="2486"/>
      <c r="V60" s="2486"/>
      <c r="W60" s="2486"/>
      <c r="X60" s="2486"/>
      <c r="Y60" s="2486"/>
      <c r="Z60" s="2486"/>
      <c r="AA60" s="2486"/>
      <c r="AB60" s="2486"/>
      <c r="AC60" s="2486"/>
    </row>
    <row r="61" spans="1:29" s="408" customFormat="1" ht="15.75" thickTop="1">
      <c r="A61" s="484"/>
      <c r="B61" s="469">
        <f>B13</f>
        <v>111</v>
      </c>
      <c r="C61" s="485"/>
      <c r="D61" s="485"/>
      <c r="E61" s="485"/>
      <c r="F61" s="485"/>
      <c r="G61" s="485"/>
      <c r="H61" s="486"/>
      <c r="I61" s="486"/>
      <c r="J61" s="486"/>
      <c r="K61" s="486"/>
      <c r="L61" s="487"/>
      <c r="M61" s="488"/>
      <c r="N61" s="2516"/>
      <c r="O61" s="2516"/>
      <c r="P61" s="2525"/>
      <c r="Q61" s="2510"/>
      <c r="R61" s="2486"/>
      <c r="S61" s="2486"/>
      <c r="T61" s="2486"/>
      <c r="U61" s="2486"/>
      <c r="V61" s="2486"/>
      <c r="W61" s="2486"/>
      <c r="X61" s="2486"/>
      <c r="Y61" s="2486"/>
      <c r="Z61" s="2486"/>
      <c r="AA61" s="2486"/>
      <c r="AB61" s="2486"/>
      <c r="AC61" s="2486"/>
    </row>
    <row r="62" spans="1:29" s="408" customFormat="1" ht="15.75" thickBot="1">
      <c r="A62" s="484"/>
      <c r="B62" s="474"/>
      <c r="C62" s="491"/>
      <c r="D62" s="491"/>
      <c r="E62" s="491"/>
      <c r="F62" s="491"/>
      <c r="G62" s="491"/>
      <c r="H62" s="493"/>
      <c r="I62" s="493"/>
      <c r="J62" s="493"/>
      <c r="K62" s="493"/>
      <c r="L62" s="493"/>
      <c r="M62" s="494"/>
      <c r="N62" s="2516"/>
      <c r="O62" s="2516"/>
      <c r="P62" s="2524"/>
      <c r="Q62" s="2508"/>
      <c r="R62" s="2486"/>
      <c r="S62" s="2486"/>
      <c r="T62" s="2486"/>
      <c r="U62" s="2486"/>
      <c r="V62" s="2486"/>
      <c r="W62" s="2486"/>
      <c r="X62" s="2486"/>
      <c r="Y62" s="2486"/>
      <c r="Z62" s="2486"/>
      <c r="AA62" s="2486"/>
      <c r="AB62" s="2486"/>
      <c r="AC62" s="2486"/>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4"/>
      <c r="O63" s="2514"/>
      <c r="P63" s="2527"/>
      <c r="Q63" s="2501"/>
      <c r="R63" s="2480"/>
      <c r="S63" s="2480"/>
      <c r="T63" s="2480"/>
      <c r="U63" s="2480"/>
      <c r="V63" s="2480"/>
      <c r="W63" s="2480"/>
      <c r="X63" s="2480"/>
      <c r="Y63" s="2480"/>
      <c r="Z63" s="2480"/>
      <c r="AA63" s="2480"/>
      <c r="AB63" s="2480"/>
      <c r="AC63" s="2480"/>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5"/>
      <c r="O64" s="2515"/>
      <c r="P64" s="2523"/>
      <c r="Q64" s="2501"/>
      <c r="R64" s="2480"/>
      <c r="S64" s="2480"/>
      <c r="T64" s="2480"/>
      <c r="U64" s="2480"/>
      <c r="V64" s="2480"/>
      <c r="W64" s="2480"/>
      <c r="X64" s="2480"/>
      <c r="Y64" s="2480"/>
      <c r="Z64" s="2480"/>
      <c r="AA64" s="2480"/>
      <c r="AB64" s="2480"/>
      <c r="AC64" s="2480"/>
    </row>
    <row r="65" spans="1:29" ht="15.75" thickTop="1">
      <c r="A65" s="367"/>
      <c r="B65" s="469" t="s">
        <v>1727</v>
      </c>
      <c r="C65" s="509" t="s">
        <v>1721</v>
      </c>
      <c r="D65" s="509" t="s">
        <v>1722</v>
      </c>
      <c r="E65" s="509" t="s">
        <v>1723</v>
      </c>
      <c r="F65" s="509" t="s">
        <v>1724</v>
      </c>
      <c r="G65" s="509" t="s">
        <v>1725</v>
      </c>
      <c r="H65" s="470"/>
      <c r="I65" s="470"/>
      <c r="J65" s="470"/>
      <c r="K65" s="471"/>
      <c r="L65" s="472"/>
      <c r="M65" s="473"/>
      <c r="N65" s="2514"/>
      <c r="O65" s="2514"/>
      <c r="P65" s="2523"/>
      <c r="Q65" s="2501"/>
      <c r="R65" s="2480"/>
      <c r="S65" s="2480"/>
      <c r="T65" s="2480"/>
      <c r="U65" s="2480"/>
      <c r="V65" s="2480"/>
      <c r="W65" s="2480"/>
      <c r="X65" s="2480"/>
      <c r="Y65" s="2480"/>
      <c r="Z65" s="2480"/>
      <c r="AA65" s="2480"/>
      <c r="AB65" s="2480"/>
      <c r="AC65" s="2480"/>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5"/>
      <c r="O66" s="2515"/>
      <c r="P66" s="2523"/>
      <c r="Q66" s="2501"/>
      <c r="R66" s="2480"/>
      <c r="S66" s="2480"/>
      <c r="T66" s="2480"/>
      <c r="U66" s="2480"/>
      <c r="V66" s="2480"/>
      <c r="W66" s="2480"/>
      <c r="X66" s="2480"/>
      <c r="Y66" s="2480"/>
      <c r="Z66" s="2480"/>
      <c r="AA66" s="2480"/>
      <c r="AB66" s="2480"/>
      <c r="AC66" s="2480"/>
    </row>
    <row r="67" spans="1:29" ht="15.75" thickTop="1">
      <c r="A67" s="367"/>
      <c r="B67" s="477" t="s">
        <v>1813</v>
      </c>
      <c r="C67" s="581" t="s">
        <v>1799</v>
      </c>
      <c r="D67" s="581" t="s">
        <v>1800</v>
      </c>
      <c r="E67" s="581" t="s">
        <v>1801</v>
      </c>
      <c r="F67" s="581" t="s">
        <v>1802</v>
      </c>
      <c r="G67" s="581" t="s">
        <v>1803</v>
      </c>
      <c r="H67" s="470"/>
      <c r="I67" s="470"/>
      <c r="J67" s="470"/>
      <c r="K67" s="470"/>
      <c r="L67" s="470"/>
      <c r="M67" s="1059"/>
      <c r="N67" s="2515"/>
      <c r="O67" s="2515"/>
      <c r="P67" s="2523"/>
      <c r="Q67" s="2501"/>
      <c r="R67" s="2480"/>
      <c r="S67" s="2480"/>
      <c r="T67" s="2480"/>
      <c r="U67" s="2480"/>
      <c r="V67" s="2480"/>
      <c r="W67" s="2480"/>
      <c r="X67" s="2480"/>
      <c r="Y67" s="2480"/>
      <c r="Z67" s="2480"/>
      <c r="AA67" s="2480"/>
      <c r="AB67" s="2480"/>
      <c r="AC67" s="2480"/>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5"/>
      <c r="O68" s="2515"/>
      <c r="P68" s="2523"/>
      <c r="Q68" s="2501"/>
      <c r="R68" s="2480"/>
      <c r="S68" s="2480"/>
      <c r="T68" s="2480"/>
      <c r="U68" s="2480"/>
      <c r="V68" s="2480"/>
      <c r="W68" s="2480"/>
      <c r="X68" s="2480"/>
      <c r="Y68" s="2480"/>
      <c r="Z68" s="2480"/>
      <c r="AA68" s="2480"/>
      <c r="AB68" s="2480"/>
      <c r="AC68" s="2480"/>
    </row>
    <row r="69" spans="1:29" ht="15.75" thickTop="1">
      <c r="A69" s="367"/>
      <c r="B69" s="469" t="s">
        <v>1733</v>
      </c>
      <c r="C69" s="509" t="s">
        <v>1721</v>
      </c>
      <c r="D69" s="509" t="s">
        <v>1722</v>
      </c>
      <c r="E69" s="509" t="s">
        <v>1723</v>
      </c>
      <c r="F69" s="509" t="s">
        <v>1724</v>
      </c>
      <c r="G69" s="509" t="s">
        <v>1725</v>
      </c>
      <c r="H69" s="470"/>
      <c r="I69" s="470"/>
      <c r="J69" s="470"/>
      <c r="K69" s="471"/>
      <c r="L69" s="472"/>
      <c r="M69" s="473"/>
      <c r="N69" s="2514"/>
      <c r="O69" s="2514"/>
      <c r="P69" s="2523"/>
      <c r="Q69" s="2501"/>
      <c r="R69" s="2480"/>
      <c r="S69" s="2480"/>
      <c r="T69" s="2480"/>
      <c r="U69" s="2480"/>
      <c r="V69" s="2480"/>
      <c r="W69" s="2480"/>
      <c r="X69" s="2480"/>
      <c r="Y69" s="2480"/>
      <c r="Z69" s="2480"/>
      <c r="AA69" s="2480"/>
      <c r="AB69" s="2480"/>
      <c r="AC69" s="2480"/>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5"/>
      <c r="O70" s="2515"/>
      <c r="P70" s="2523"/>
      <c r="Q70" s="2501"/>
      <c r="R70" s="2480"/>
      <c r="S70" s="2480"/>
      <c r="T70" s="2480"/>
      <c r="U70" s="2480"/>
      <c r="V70" s="2480"/>
      <c r="W70" s="2480"/>
      <c r="X70" s="2480"/>
      <c r="Y70" s="2480"/>
      <c r="Z70" s="2480"/>
      <c r="AA70" s="2480"/>
      <c r="AB70" s="2480"/>
      <c r="AC70" s="2480"/>
    </row>
    <row r="71" spans="1:29" ht="15.75" thickTop="1">
      <c r="A71" s="367"/>
      <c r="B71" s="469" t="s">
        <v>1852</v>
      </c>
      <c r="C71" s="485"/>
      <c r="D71" s="485"/>
      <c r="E71" s="485"/>
      <c r="F71" s="485"/>
      <c r="G71" s="485"/>
      <c r="H71" s="513"/>
      <c r="I71" s="513"/>
      <c r="J71" s="513"/>
      <c r="K71" s="514"/>
      <c r="L71" s="515"/>
      <c r="M71" s="516"/>
      <c r="N71" s="2514"/>
      <c r="O71" s="2514"/>
      <c r="P71" s="2523"/>
      <c r="Q71" s="2501"/>
      <c r="R71" s="2480"/>
      <c r="S71" s="2480"/>
      <c r="T71" s="2480"/>
      <c r="U71" s="2480"/>
      <c r="V71" s="2480"/>
      <c r="W71" s="2480"/>
      <c r="X71" s="2480"/>
      <c r="Y71" s="2480"/>
      <c r="Z71" s="2480"/>
      <c r="AA71" s="2480"/>
      <c r="AB71" s="2480"/>
      <c r="AC71" s="2480"/>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5"/>
      <c r="O72" s="2515"/>
      <c r="P72" s="2523"/>
      <c r="Q72" s="2501"/>
      <c r="R72" s="2480"/>
      <c r="S72" s="2480"/>
      <c r="T72" s="2480"/>
      <c r="U72" s="2480"/>
      <c r="V72" s="2480"/>
      <c r="W72" s="2480"/>
      <c r="X72" s="2480"/>
      <c r="Y72" s="2480"/>
      <c r="Z72" s="2480"/>
      <c r="AA72" s="2480"/>
      <c r="AB72" s="2480"/>
      <c r="AC72" s="2480"/>
    </row>
    <row r="73" spans="1:29" s="102" customFormat="1" ht="15.75" thickTop="1">
      <c r="A73" s="370"/>
      <c r="B73" s="469">
        <f>B23</f>
        <v>111</v>
      </c>
      <c r="C73" s="480"/>
      <c r="D73" s="480"/>
      <c r="E73" s="480"/>
      <c r="F73" s="480"/>
      <c r="G73" s="485"/>
      <c r="H73" s="485"/>
      <c r="I73" s="485"/>
      <c r="J73" s="485"/>
      <c r="K73" s="485"/>
      <c r="L73" s="510"/>
      <c r="M73" s="511"/>
      <c r="N73" s="2513"/>
      <c r="O73" s="2513"/>
      <c r="P73" s="2523"/>
      <c r="Q73" s="2501"/>
      <c r="R73" s="2432"/>
      <c r="S73" s="2432"/>
      <c r="T73" s="2432"/>
      <c r="U73" s="2432"/>
      <c r="V73" s="2432"/>
      <c r="W73" s="2432"/>
      <c r="X73" s="2432"/>
      <c r="Y73" s="2432"/>
      <c r="Z73" s="2432"/>
      <c r="AA73" s="2432"/>
      <c r="AB73" s="2432"/>
      <c r="AC73" s="2432"/>
    </row>
    <row r="74" spans="1:29" s="102" customFormat="1" ht="15.75" thickBot="1">
      <c r="A74" s="370"/>
      <c r="B74" s="474"/>
      <c r="C74" s="491"/>
      <c r="D74" s="467"/>
      <c r="E74" s="467"/>
      <c r="F74" s="467"/>
      <c r="G74" s="467"/>
      <c r="H74" s="467"/>
      <c r="I74" s="467"/>
      <c r="J74" s="467"/>
      <c r="K74" s="467"/>
      <c r="L74" s="467"/>
      <c r="M74" s="468"/>
      <c r="N74" s="2515"/>
      <c r="O74" s="2515"/>
      <c r="P74" s="2523"/>
      <c r="Q74" s="2501"/>
      <c r="R74" s="2432"/>
      <c r="S74" s="2432"/>
      <c r="T74" s="2432"/>
      <c r="U74" s="2432"/>
      <c r="V74" s="2432"/>
      <c r="W74" s="2432"/>
      <c r="X74" s="2432"/>
      <c r="Y74" s="2432"/>
      <c r="Z74" s="2432"/>
      <c r="AA74" s="2432"/>
      <c r="AB74" s="2432"/>
      <c r="AC74" s="2432"/>
    </row>
    <row r="75" spans="1:29" s="102" customFormat="1" ht="15.75" thickTop="1">
      <c r="A75" s="370"/>
      <c r="B75" s="469">
        <f>B24</f>
        <v>111</v>
      </c>
      <c r="C75" s="480"/>
      <c r="D75" s="480"/>
      <c r="E75" s="480"/>
      <c r="F75" s="480"/>
      <c r="G75" s="485"/>
      <c r="H75" s="485"/>
      <c r="I75" s="485"/>
      <c r="J75" s="485"/>
      <c r="K75" s="485"/>
      <c r="L75" s="485"/>
      <c r="M75" s="511"/>
      <c r="N75" s="2513"/>
      <c r="O75" s="2513"/>
      <c r="P75" s="2523"/>
      <c r="Q75" s="2501"/>
      <c r="R75" s="2432"/>
      <c r="S75" s="2432"/>
      <c r="T75" s="2432"/>
      <c r="U75" s="2432"/>
      <c r="V75" s="2432"/>
      <c r="W75" s="2432"/>
      <c r="X75" s="2432"/>
      <c r="Y75" s="2432"/>
      <c r="Z75" s="2432"/>
      <c r="AA75" s="2432"/>
      <c r="AB75" s="2432"/>
      <c r="AC75" s="2432"/>
    </row>
    <row r="76" spans="1:29" s="102" customFormat="1" ht="15.75" thickBot="1">
      <c r="A76" s="370"/>
      <c r="B76" s="474"/>
      <c r="C76" s="491"/>
      <c r="D76" s="467"/>
      <c r="E76" s="467"/>
      <c r="F76" s="467"/>
      <c r="G76" s="467"/>
      <c r="H76" s="467"/>
      <c r="I76" s="467"/>
      <c r="J76" s="467"/>
      <c r="K76" s="467"/>
      <c r="L76" s="467"/>
      <c r="M76" s="468"/>
      <c r="N76" s="2515"/>
      <c r="O76" s="2515"/>
      <c r="P76" s="2523"/>
      <c r="Q76" s="2501"/>
      <c r="R76" s="2432"/>
      <c r="S76" s="2432"/>
      <c r="T76" s="2432"/>
      <c r="U76" s="2432"/>
      <c r="V76" s="2432"/>
      <c r="W76" s="2432"/>
      <c r="X76" s="2432"/>
      <c r="Y76" s="2432"/>
      <c r="Z76" s="2432"/>
      <c r="AA76" s="2432"/>
      <c r="AB76" s="2432"/>
      <c r="AC76" s="2432"/>
    </row>
    <row r="77" spans="1:29" s="408" customFormat="1" ht="15.75" thickTop="1">
      <c r="A77" s="484"/>
      <c r="B77" s="469">
        <f>B25</f>
        <v>111</v>
      </c>
      <c r="C77" s="485"/>
      <c r="D77" s="485"/>
      <c r="E77" s="485"/>
      <c r="F77" s="485"/>
      <c r="G77" s="485"/>
      <c r="H77" s="486"/>
      <c r="I77" s="486"/>
      <c r="J77" s="486"/>
      <c r="K77" s="486"/>
      <c r="L77" s="487"/>
      <c r="M77" s="488"/>
      <c r="N77" s="2516"/>
      <c r="O77" s="2516"/>
      <c r="P77" s="2524"/>
      <c r="Q77" s="2508"/>
      <c r="R77" s="2486"/>
      <c r="S77" s="2486"/>
      <c r="T77" s="2486"/>
      <c r="U77" s="2486"/>
      <c r="V77" s="2486"/>
      <c r="W77" s="2486"/>
      <c r="X77" s="2486"/>
      <c r="Y77" s="2486"/>
      <c r="Z77" s="2486"/>
      <c r="AA77" s="2486"/>
      <c r="AB77" s="2486"/>
      <c r="AC77" s="2486"/>
    </row>
    <row r="78" spans="1:29" s="408" customFormat="1" ht="15.75" thickBot="1">
      <c r="A78" s="484"/>
      <c r="B78" s="474"/>
      <c r="C78" s="491"/>
      <c r="D78" s="491"/>
      <c r="E78" s="491"/>
      <c r="F78" s="491"/>
      <c r="G78" s="467"/>
      <c r="H78" s="467"/>
      <c r="I78" s="467"/>
      <c r="J78" s="467"/>
      <c r="K78" s="467"/>
      <c r="L78" s="467"/>
      <c r="M78" s="468"/>
      <c r="N78" s="2516"/>
      <c r="O78" s="2516"/>
      <c r="P78" s="2524"/>
      <c r="Q78" s="2508"/>
      <c r="R78" s="2486"/>
      <c r="S78" s="2486"/>
      <c r="T78" s="2486"/>
      <c r="U78" s="2486"/>
      <c r="V78" s="2486"/>
      <c r="W78" s="2486"/>
      <c r="X78" s="2486"/>
      <c r="Y78" s="2486"/>
      <c r="Z78" s="2486"/>
      <c r="AA78" s="2486"/>
      <c r="AB78" s="2486"/>
      <c r="AC78" s="2486"/>
    </row>
    <row r="79" spans="1:29" ht="27.75" thickTop="1">
      <c r="A79" s="379" t="s">
        <v>1694</v>
      </c>
      <c r="B79" s="460" t="s">
        <v>1853</v>
      </c>
      <c r="C79" s="461" t="str">
        <f>C26</f>
        <v>车库</v>
      </c>
      <c r="D79" s="462"/>
      <c r="E79" s="462"/>
      <c r="F79" s="462"/>
      <c r="G79" s="462"/>
      <c r="H79" s="462"/>
      <c r="I79" s="462"/>
      <c r="J79" s="462"/>
      <c r="K79" s="463"/>
      <c r="L79" s="464"/>
      <c r="M79" s="465"/>
      <c r="N79" s="2514"/>
      <c r="O79" s="2514"/>
      <c r="P79" s="2523"/>
      <c r="Q79" s="2501"/>
      <c r="R79" s="2480"/>
      <c r="S79" s="2480"/>
      <c r="T79" s="2480"/>
      <c r="U79" s="2480"/>
      <c r="V79" s="2480"/>
      <c r="W79" s="2480"/>
      <c r="X79" s="2480"/>
      <c r="Y79" s="2480"/>
      <c r="Z79" s="2480"/>
      <c r="AA79" s="2480"/>
      <c r="AB79" s="2480"/>
      <c r="AC79" s="2480"/>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5"/>
      <c r="O80" s="2515"/>
      <c r="P80" s="2523"/>
      <c r="Q80" s="2501"/>
      <c r="R80" s="2480"/>
      <c r="S80" s="2480"/>
      <c r="T80" s="2480"/>
      <c r="U80" s="2480"/>
      <c r="V80" s="2480"/>
      <c r="W80" s="2480"/>
      <c r="X80" s="2480"/>
      <c r="Y80" s="2480"/>
      <c r="Z80" s="2480"/>
      <c r="AA80" s="2480"/>
      <c r="AB80" s="2480"/>
      <c r="AC80" s="2480"/>
    </row>
    <row r="81" spans="1:29" ht="15.75" thickTop="1">
      <c r="A81" s="367"/>
      <c r="B81" s="469" t="s">
        <v>1854</v>
      </c>
      <c r="C81" s="582"/>
      <c r="D81" s="582"/>
      <c r="E81" s="582"/>
      <c r="F81" s="582"/>
      <c r="G81" s="582"/>
      <c r="H81" s="582"/>
      <c r="I81" s="582"/>
      <c r="J81" s="582"/>
      <c r="K81" s="583"/>
      <c r="L81" s="584"/>
      <c r="M81" s="585"/>
      <c r="N81" s="2513"/>
      <c r="O81" s="2513"/>
      <c r="P81" s="2523"/>
      <c r="Q81" s="2501"/>
      <c r="R81" s="2480"/>
      <c r="S81" s="2480"/>
      <c r="T81" s="2480"/>
      <c r="U81" s="2480"/>
      <c r="V81" s="2480"/>
      <c r="W81" s="2480"/>
      <c r="X81" s="2480"/>
      <c r="Y81" s="2480"/>
      <c r="Z81" s="2480"/>
      <c r="AA81" s="2480"/>
      <c r="AB81" s="2480"/>
      <c r="AC81" s="2480"/>
    </row>
    <row r="82" spans="1:29" s="408" customFormat="1" ht="15.75" thickBot="1">
      <c r="A82" s="484"/>
      <c r="B82" s="474"/>
      <c r="C82" s="491"/>
      <c r="D82" s="467"/>
      <c r="E82" s="467"/>
      <c r="F82" s="467"/>
      <c r="G82" s="467"/>
      <c r="H82" s="467"/>
      <c r="I82" s="467"/>
      <c r="J82" s="467"/>
      <c r="K82" s="467"/>
      <c r="L82" s="467"/>
      <c r="M82" s="468"/>
      <c r="N82" s="2515"/>
      <c r="O82" s="2515"/>
      <c r="P82" s="2524"/>
      <c r="Q82" s="2508"/>
      <c r="R82" s="2486"/>
      <c r="S82" s="2486"/>
      <c r="T82" s="2486"/>
      <c r="U82" s="2486"/>
      <c r="V82" s="2486"/>
      <c r="W82" s="2486"/>
      <c r="X82" s="2486"/>
      <c r="Y82" s="2486"/>
      <c r="Z82" s="2486"/>
      <c r="AA82" s="2486"/>
      <c r="AB82" s="2486"/>
      <c r="AC82" s="2486"/>
    </row>
    <row r="83" spans="1:29" ht="15" thickTop="1">
      <c r="A83" s="409"/>
      <c r="B83" s="469" t="s">
        <v>1740</v>
      </c>
      <c r="C83" s="485"/>
      <c r="D83" s="485"/>
      <c r="E83" s="513"/>
      <c r="F83" s="513"/>
      <c r="G83" s="513"/>
      <c r="H83" s="513"/>
      <c r="I83" s="513"/>
      <c r="J83" s="513"/>
      <c r="K83" s="514"/>
      <c r="L83" s="515"/>
      <c r="M83" s="516"/>
      <c r="N83" s="2514"/>
      <c r="O83" s="2514"/>
      <c r="P83" s="2523"/>
      <c r="Q83" s="2501"/>
      <c r="R83" s="2480"/>
      <c r="S83" s="2480"/>
      <c r="T83" s="2480"/>
      <c r="U83" s="2480"/>
      <c r="V83" s="2480"/>
      <c r="W83" s="2480"/>
      <c r="X83" s="2480"/>
      <c r="Y83" s="2480"/>
      <c r="Z83" s="2480"/>
      <c r="AA83" s="2480"/>
      <c r="AB83" s="2480"/>
      <c r="AC83" s="2480"/>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4"/>
      <c r="O85" s="2514"/>
      <c r="P85" s="2523"/>
      <c r="Q85" s="2501"/>
      <c r="R85" s="2480"/>
      <c r="S85" s="2480"/>
      <c r="T85" s="2480"/>
      <c r="U85" s="2480"/>
      <c r="V85" s="2480"/>
      <c r="W85" s="2480"/>
      <c r="X85" s="2480"/>
      <c r="Y85" s="2480"/>
      <c r="Z85" s="2480"/>
      <c r="AA85" s="2480"/>
      <c r="AB85" s="2480"/>
      <c r="AC85" s="2480"/>
    </row>
    <row r="86" spans="1:29">
      <c r="A86" s="409"/>
      <c r="B86" s="477"/>
      <c r="C86" s="530">
        <v>0.5</v>
      </c>
      <c r="D86" s="530">
        <v>0.6</v>
      </c>
      <c r="E86" s="530">
        <v>0.7</v>
      </c>
      <c r="F86" s="530">
        <v>0.8</v>
      </c>
      <c r="G86" s="530">
        <v>0.9</v>
      </c>
      <c r="H86" s="530">
        <v>1.0001</v>
      </c>
      <c r="I86" s="548"/>
      <c r="J86" s="548"/>
      <c r="K86" s="549"/>
      <c r="L86" s="550"/>
      <c r="M86" s="551"/>
      <c r="N86" s="2514"/>
      <c r="O86" s="2514"/>
      <c r="P86" s="2523"/>
      <c r="Q86" s="2501"/>
      <c r="R86" s="2480"/>
      <c r="S86" s="2480"/>
      <c r="T86" s="2480"/>
      <c r="U86" s="2480"/>
      <c r="V86" s="2480"/>
      <c r="W86" s="2480"/>
      <c r="X86" s="2480"/>
      <c r="Y86" s="2480"/>
      <c r="Z86" s="2480"/>
      <c r="AA86" s="2480"/>
      <c r="AB86" s="2480"/>
      <c r="AC86" s="2480"/>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5"/>
      <c r="O87" s="2515"/>
      <c r="P87" s="2523"/>
      <c r="Q87" s="2501"/>
      <c r="R87" s="2480"/>
      <c r="S87" s="2480"/>
      <c r="T87" s="2480"/>
      <c r="U87" s="2480"/>
      <c r="V87" s="2480"/>
      <c r="W87" s="2480"/>
      <c r="X87" s="2480"/>
      <c r="Y87" s="2480"/>
      <c r="Z87" s="2480"/>
      <c r="AA87" s="2480"/>
      <c r="AB87" s="2480"/>
      <c r="AC87" s="2480"/>
    </row>
    <row r="88" spans="1:29" ht="15" thickTop="1">
      <c r="A88" s="409"/>
      <c r="B88" s="477" t="s">
        <v>1856</v>
      </c>
      <c r="C88" s="462"/>
      <c r="D88" s="462"/>
      <c r="E88" s="462"/>
      <c r="F88" s="462"/>
      <c r="G88" s="462"/>
      <c r="H88" s="462"/>
      <c r="I88" s="462"/>
      <c r="J88" s="462"/>
      <c r="K88" s="463"/>
      <c r="L88" s="464"/>
      <c r="M88" s="465"/>
      <c r="N88" s="2514"/>
      <c r="O88" s="2514"/>
      <c r="P88" s="2523"/>
      <c r="Q88" s="2501"/>
      <c r="R88" s="2480"/>
      <c r="S88" s="2480"/>
      <c r="T88" s="2480"/>
      <c r="U88" s="2480"/>
      <c r="V88" s="2480"/>
      <c r="W88" s="2480"/>
      <c r="X88" s="2480"/>
      <c r="Y88" s="2480"/>
      <c r="Z88" s="2480"/>
      <c r="AA88" s="2480"/>
      <c r="AB88" s="2480"/>
      <c r="AC88" s="2480"/>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5"/>
      <c r="O89" s="2515"/>
      <c r="P89" s="2523"/>
      <c r="Q89" s="2501"/>
      <c r="R89" s="2480"/>
      <c r="S89" s="2480"/>
      <c r="T89" s="2480"/>
      <c r="U89" s="2480"/>
      <c r="V89" s="2480"/>
      <c r="W89" s="2480"/>
      <c r="X89" s="2480"/>
      <c r="Y89" s="2480"/>
      <c r="Z89" s="2480"/>
      <c r="AA89" s="2480"/>
      <c r="AB89" s="2480"/>
      <c r="AC89" s="2480"/>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6"/>
      <c r="O90" s="2516"/>
      <c r="P90" s="2524"/>
      <c r="Q90" s="2508"/>
      <c r="R90" s="2486"/>
      <c r="S90" s="2486"/>
      <c r="T90" s="2486"/>
      <c r="U90" s="2486"/>
      <c r="V90" s="2486"/>
      <c r="W90" s="2486"/>
      <c r="X90" s="2486"/>
      <c r="Y90" s="2486"/>
      <c r="Z90" s="2486"/>
      <c r="AA90" s="2486"/>
      <c r="AB90" s="2486"/>
      <c r="AC90" s="2486"/>
    </row>
    <row r="91" spans="1:29" s="408" customFormat="1">
      <c r="A91" s="406"/>
      <c r="B91" s="477"/>
      <c r="C91" s="6"/>
      <c r="D91" s="6"/>
      <c r="E91" s="6"/>
      <c r="F91" s="6"/>
      <c r="G91" s="6"/>
      <c r="H91" s="6"/>
      <c r="I91" s="6"/>
      <c r="J91" s="524"/>
      <c r="K91" s="524"/>
      <c r="L91" s="525"/>
      <c r="M91" s="526"/>
      <c r="N91" s="2516"/>
      <c r="O91" s="2516"/>
      <c r="P91" s="2524"/>
      <c r="Q91" s="2508"/>
      <c r="R91" s="2486"/>
      <c r="S91" s="2486"/>
      <c r="T91" s="2486"/>
      <c r="U91" s="2486"/>
      <c r="V91" s="2486"/>
      <c r="W91" s="2486"/>
      <c r="X91" s="2486"/>
      <c r="Y91" s="2486"/>
      <c r="Z91" s="2486"/>
      <c r="AA91" s="2486"/>
      <c r="AB91" s="2486"/>
      <c r="AC91" s="2486"/>
    </row>
    <row r="92" spans="1:29" s="408" customFormat="1" ht="15.75" thickBot="1">
      <c r="A92" s="484"/>
      <c r="B92" s="474"/>
      <c r="C92" s="491"/>
      <c r="D92" s="467"/>
      <c r="E92" s="467"/>
      <c r="F92" s="467"/>
      <c r="G92" s="467"/>
      <c r="H92" s="467"/>
      <c r="I92" s="467"/>
      <c r="J92" s="467"/>
      <c r="K92" s="467"/>
      <c r="L92" s="467"/>
      <c r="M92" s="468"/>
      <c r="N92" s="2516"/>
      <c r="O92" s="2516"/>
      <c r="P92" s="2524"/>
      <c r="Q92" s="2508"/>
      <c r="R92" s="2486"/>
      <c r="S92" s="2486"/>
      <c r="T92" s="2486"/>
      <c r="U92" s="2486"/>
      <c r="V92" s="2486"/>
      <c r="W92" s="2486"/>
      <c r="X92" s="2486"/>
      <c r="Y92" s="2486"/>
      <c r="Z92" s="2486"/>
      <c r="AA92" s="2486"/>
      <c r="AB92" s="2486"/>
      <c r="AC92" s="2486"/>
    </row>
    <row r="93" spans="1:29" ht="15" thickTop="1">
      <c r="A93" s="409"/>
      <c r="B93" s="469" t="s">
        <v>1858</v>
      </c>
      <c r="C93" s="485"/>
      <c r="D93" s="485"/>
      <c r="E93" s="513"/>
      <c r="F93" s="513"/>
      <c r="G93" s="513"/>
      <c r="H93" s="513"/>
      <c r="I93" s="513"/>
      <c r="J93" s="513"/>
      <c r="K93" s="514"/>
      <c r="L93" s="515"/>
      <c r="M93" s="516"/>
      <c r="N93" s="2514"/>
      <c r="O93" s="2514"/>
      <c r="P93" s="2523"/>
      <c r="Q93" s="2501"/>
      <c r="R93" s="2480"/>
      <c r="S93" s="2480"/>
      <c r="T93" s="2480"/>
      <c r="U93" s="2480"/>
      <c r="V93" s="2480"/>
      <c r="W93" s="2480"/>
      <c r="X93" s="2480"/>
      <c r="Y93" s="2480"/>
      <c r="Z93" s="2480"/>
      <c r="AA93" s="2480"/>
      <c r="AB93" s="2480"/>
      <c r="AC93" s="2480"/>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5"/>
      <c r="O94" s="2515"/>
      <c r="P94" s="2523"/>
      <c r="Q94" s="2501"/>
      <c r="R94" s="2480"/>
      <c r="S94" s="2480"/>
      <c r="T94" s="2480"/>
      <c r="U94" s="2480"/>
      <c r="V94" s="2480"/>
      <c r="W94" s="2480"/>
      <c r="X94" s="2480"/>
      <c r="Y94" s="2480"/>
      <c r="Z94" s="2480"/>
      <c r="AA94" s="2480"/>
      <c r="AB94" s="2480"/>
      <c r="AC94" s="2480"/>
    </row>
    <row r="95" spans="1:29" ht="15" thickTop="1">
      <c r="A95" s="409"/>
      <c r="B95" s="469" t="s">
        <v>1859</v>
      </c>
      <c r="C95" s="462"/>
      <c r="D95" s="462"/>
      <c r="E95" s="462"/>
      <c r="F95" s="462"/>
      <c r="G95" s="462"/>
      <c r="H95" s="462"/>
      <c r="I95" s="462"/>
      <c r="J95" s="462"/>
      <c r="K95" s="463"/>
      <c r="L95" s="464"/>
      <c r="M95" s="465"/>
      <c r="N95" s="2514"/>
      <c r="O95" s="2514"/>
      <c r="P95" s="2523"/>
      <c r="Q95" s="2501"/>
      <c r="R95" s="2480"/>
      <c r="S95" s="2480"/>
      <c r="T95" s="2480"/>
      <c r="U95" s="2480"/>
      <c r="V95" s="2480"/>
      <c r="W95" s="2480"/>
      <c r="X95" s="2480"/>
      <c r="Y95" s="2480"/>
      <c r="Z95" s="2480"/>
      <c r="AA95" s="2480"/>
      <c r="AB95" s="2480"/>
      <c r="AC95" s="2480"/>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5"/>
      <c r="O96" s="2515"/>
      <c r="P96" s="2523"/>
      <c r="Q96" s="2501"/>
      <c r="R96" s="2480"/>
      <c r="S96" s="2480"/>
      <c r="T96" s="2480"/>
      <c r="U96" s="2480"/>
      <c r="V96" s="2480"/>
      <c r="W96" s="2480"/>
      <c r="X96" s="2480"/>
      <c r="Y96" s="2480"/>
      <c r="Z96" s="2480"/>
      <c r="AA96" s="2480"/>
      <c r="AB96" s="2480"/>
      <c r="AC96" s="2480"/>
    </row>
    <row r="97" spans="1:29" ht="15" thickTop="1">
      <c r="A97" s="409"/>
      <c r="B97" s="560">
        <f>B34</f>
        <v>111</v>
      </c>
      <c r="C97" s="480"/>
      <c r="D97" s="480"/>
      <c r="E97" s="480"/>
      <c r="F97" s="480"/>
      <c r="G97" s="485"/>
      <c r="H97" s="486"/>
      <c r="I97" s="486"/>
      <c r="J97" s="486"/>
      <c r="K97" s="486"/>
      <c r="L97" s="487"/>
      <c r="M97" s="488"/>
      <c r="N97" s="2515"/>
      <c r="O97" s="2515"/>
      <c r="P97" s="2528"/>
      <c r="Q97" s="2529"/>
      <c r="R97" s="2480"/>
      <c r="S97" s="2480"/>
      <c r="T97" s="2480"/>
      <c r="U97" s="2480"/>
      <c r="V97" s="2480"/>
      <c r="W97" s="2480"/>
      <c r="X97" s="2480"/>
      <c r="Y97" s="2480"/>
      <c r="Z97" s="2480"/>
      <c r="AA97" s="2480"/>
      <c r="AB97" s="2480"/>
      <c r="AC97" s="2480"/>
    </row>
    <row r="98" spans="1:29" ht="15.75" thickBot="1">
      <c r="A98" s="367"/>
      <c r="B98" s="474"/>
      <c r="C98" s="491"/>
      <c r="D98" s="467"/>
      <c r="E98" s="467"/>
      <c r="F98" s="467"/>
      <c r="G98" s="491"/>
      <c r="H98" s="493"/>
      <c r="I98" s="493"/>
      <c r="J98" s="493"/>
      <c r="K98" s="493"/>
      <c r="L98" s="493"/>
      <c r="M98" s="494"/>
      <c r="N98" s="2515"/>
      <c r="O98" s="2515"/>
      <c r="P98" s="2523"/>
      <c r="Q98" s="2501"/>
      <c r="R98" s="2480"/>
      <c r="S98" s="2480"/>
      <c r="T98" s="2480"/>
      <c r="U98" s="2480"/>
      <c r="V98" s="2480"/>
      <c r="W98" s="2480"/>
      <c r="X98" s="2480"/>
      <c r="Y98" s="2480"/>
      <c r="Z98" s="2480"/>
      <c r="AA98" s="2480"/>
      <c r="AB98" s="2480"/>
      <c r="AC98" s="2480"/>
    </row>
    <row r="99" spans="1:29" s="408" customFormat="1" ht="15" thickTop="1">
      <c r="A99" s="406"/>
      <c r="B99" s="469">
        <f>B35</f>
        <v>111</v>
      </c>
      <c r="C99" s="480"/>
      <c r="D99" s="480"/>
      <c r="E99" s="480"/>
      <c r="F99" s="480"/>
      <c r="G99" s="485"/>
      <c r="H99" s="486"/>
      <c r="I99" s="486"/>
      <c r="J99" s="486"/>
      <c r="K99" s="486"/>
      <c r="L99" s="487"/>
      <c r="M99" s="488"/>
      <c r="N99" s="2516"/>
      <c r="O99" s="2516"/>
      <c r="P99" s="2524"/>
      <c r="Q99" s="2508"/>
      <c r="R99" s="2486"/>
      <c r="S99" s="2486"/>
      <c r="T99" s="2486"/>
      <c r="U99" s="2486"/>
      <c r="V99" s="2486"/>
      <c r="W99" s="2486"/>
      <c r="X99" s="2486"/>
      <c r="Y99" s="2486"/>
      <c r="Z99" s="2486"/>
      <c r="AA99" s="2486"/>
      <c r="AB99" s="2486"/>
      <c r="AC99" s="2486"/>
    </row>
    <row r="100" spans="1:29" s="408" customFormat="1" ht="15.75" thickBot="1">
      <c r="A100" s="484"/>
      <c r="B100" s="466"/>
      <c r="C100" s="491"/>
      <c r="D100" s="467"/>
      <c r="E100" s="467"/>
      <c r="F100" s="467"/>
      <c r="G100" s="491"/>
      <c r="H100" s="493"/>
      <c r="I100" s="493"/>
      <c r="J100" s="493"/>
      <c r="K100" s="493"/>
      <c r="L100" s="493"/>
      <c r="M100" s="494"/>
      <c r="N100" s="2516"/>
      <c r="O100" s="2516"/>
      <c r="P100" s="2524"/>
      <c r="Q100" s="2508"/>
      <c r="R100" s="2486"/>
      <c r="S100" s="2486"/>
      <c r="T100" s="2486"/>
      <c r="U100" s="2486"/>
      <c r="V100" s="2486"/>
      <c r="W100" s="2486"/>
      <c r="X100" s="2486"/>
      <c r="Y100" s="2486"/>
      <c r="Z100" s="2486"/>
      <c r="AA100" s="2486"/>
      <c r="AB100" s="2486"/>
      <c r="AC100" s="2486"/>
    </row>
    <row r="101" spans="1:29" ht="15" thickTop="1">
      <c r="A101" s="409"/>
      <c r="B101" s="469">
        <f>B36</f>
        <v>111</v>
      </c>
      <c r="C101" s="485"/>
      <c r="D101" s="485"/>
      <c r="E101" s="485"/>
      <c r="F101" s="485"/>
      <c r="G101" s="485"/>
      <c r="H101" s="486"/>
      <c r="I101" s="486"/>
      <c r="J101" s="486"/>
      <c r="K101" s="486"/>
      <c r="L101" s="487"/>
      <c r="M101" s="488"/>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4"/>
      <c r="C102" s="491"/>
      <c r="D102" s="491"/>
      <c r="E102" s="491"/>
      <c r="F102" s="491"/>
      <c r="G102" s="491"/>
      <c r="H102" s="493"/>
      <c r="I102" s="493"/>
      <c r="J102" s="493"/>
      <c r="K102" s="493"/>
      <c r="L102" s="493"/>
      <c r="M102" s="494"/>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1831</v>
      </c>
      <c r="B1" s="1136" t="s">
        <v>3329</v>
      </c>
      <c r="C1" s="1137" t="s">
        <v>1662</v>
      </c>
      <c r="D1" s="1138"/>
      <c r="E1" s="3122"/>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IF(E1="项目模式",IF(C2="——",ROUND(C37*D3/10000,0),ROUND(C37*D3/10000,0)-D2),IF(E1="单套模式",IF(C2="——",ROUND(C37*D3/10000,4),ROUND(C37*D3/10000,4)-D2)))</f>
        <v>0</v>
      </c>
      <c r="C2" s="1733"/>
      <c r="D2" s="850" t="e">
        <f ca="1">IF(E1="项目模式",SUMIF(INDIRECT("'"&amp;F2&amp;"'"&amp;"!A:A"),"承租人权益价值",INDIRECT("'"&amp;F2&amp;"'"&amp;"!c:c")),SUMIF(INDIRECT("'"&amp;F2&amp;"'"&amp;"!A:A"),"承租人权益价值（单套）",INDIRECT("'"&amp;F2&amp;"'"&amp;"!c:c")))</f>
        <v>#REF!</v>
      </c>
      <c r="E2" s="1734" t="s">
        <v>1463</v>
      </c>
      <c r="F2" s="1735"/>
      <c r="G2" s="851"/>
      <c r="H2" s="851"/>
      <c r="I2" s="851"/>
      <c r="J2" s="851"/>
      <c r="K2" s="853"/>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1"/>
      <c r="F3" s="852"/>
      <c r="G3" s="851"/>
      <c r="H3" s="851"/>
      <c r="I3" s="851"/>
      <c r="J3" s="851"/>
      <c r="K3" s="853"/>
      <c r="L3" s="2496"/>
      <c r="M3" s="2497"/>
      <c r="N3" s="2497"/>
      <c r="O3" s="2497"/>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79"/>
      <c r="M4" s="2480"/>
      <c r="N4" s="2480"/>
      <c r="O4" s="2480"/>
      <c r="P4" s="3399" t="s">
        <v>1775</v>
      </c>
      <c r="Q4" s="3400"/>
      <c r="R4" s="3405" t="s">
        <v>1771</v>
      </c>
      <c r="S4" s="3406"/>
      <c r="T4" s="3405" t="s">
        <v>1772</v>
      </c>
      <c r="U4" s="3406"/>
      <c r="V4" s="3381" t="s">
        <v>1773</v>
      </c>
      <c r="W4" s="3381"/>
      <c r="X4" s="1261"/>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2479"/>
      <c r="M5" s="2480"/>
      <c r="N5" s="2480"/>
      <c r="O5" s="2480"/>
      <c r="P5" s="3401"/>
      <c r="Q5" s="3402"/>
      <c r="R5" s="3407"/>
      <c r="S5" s="3408"/>
      <c r="T5" s="3407"/>
      <c r="U5" s="3408"/>
      <c r="V5" s="3381"/>
      <c r="W5" s="3381"/>
      <c r="X5" s="1261"/>
      <c r="Y5" s="3407"/>
      <c r="Z5" s="3408"/>
      <c r="AA5" s="3393"/>
      <c r="AB5" s="3393"/>
      <c r="AC5" s="3393"/>
    </row>
    <row r="6" spans="1:29" ht="15.75" thickBot="1">
      <c r="A6" s="350"/>
      <c r="B6" s="351"/>
      <c r="C6" s="3411" t="s">
        <v>1677</v>
      </c>
      <c r="D6" s="3412"/>
      <c r="E6" s="3418" t="s">
        <v>1677</v>
      </c>
      <c r="F6" s="3419"/>
      <c r="G6" s="3411" t="s">
        <v>1677</v>
      </c>
      <c r="H6" s="3412"/>
      <c r="I6" s="3411" t="s">
        <v>1677</v>
      </c>
      <c r="J6" s="3412"/>
      <c r="K6" s="537" t="s">
        <v>1678</v>
      </c>
      <c r="L6" s="2479"/>
      <c r="M6" s="2480"/>
      <c r="N6" s="2480"/>
      <c r="O6" s="2480"/>
      <c r="P6" s="3403"/>
      <c r="Q6" s="3404"/>
      <c r="R6" s="3407"/>
      <c r="S6" s="3408"/>
      <c r="T6" s="3409"/>
      <c r="U6" s="3410"/>
      <c r="V6" s="3381"/>
      <c r="W6" s="3381"/>
      <c r="X6" s="1261"/>
      <c r="Y6" s="3409"/>
      <c r="Z6" s="3410"/>
      <c r="AA6" s="3394"/>
      <c r="AB6" s="3394"/>
      <c r="AC6" s="3394"/>
    </row>
    <row r="7" spans="1:29" s="102" customFormat="1" ht="15.75" thickBot="1">
      <c r="A7" s="352" t="s">
        <v>1679</v>
      </c>
      <c r="B7" s="353"/>
      <c r="C7" s="354">
        <f>'数据-取费表'!B2</f>
        <v>45940</v>
      </c>
      <c r="D7" s="355">
        <v>100</v>
      </c>
      <c r="E7" s="356"/>
      <c r="F7" s="357">
        <f>SUMIF(46:46,YEAR(E7)&amp;"-"&amp;MONTH(E7),47:47)</f>
        <v>0</v>
      </c>
      <c r="G7" s="1816"/>
      <c r="H7" s="355">
        <f>SUMIF(46:46,YEAR(G7)&amp;"-"&amp;MONTH(G7),47:47)</f>
        <v>0</v>
      </c>
      <c r="I7" s="356"/>
      <c r="J7" s="355">
        <f>SUMIF(46:46,YEAR(I7)&amp;"-"&amp;MONTH(I7),47:47)</f>
        <v>0</v>
      </c>
      <c r="K7" s="38"/>
      <c r="L7" s="2481"/>
      <c r="M7" s="2432"/>
      <c r="N7" s="2432"/>
      <c r="O7" s="2432"/>
      <c r="P7" s="3415" t="s">
        <v>1680</v>
      </c>
      <c r="Q7" s="3417"/>
      <c r="R7" s="664" t="s">
        <v>14</v>
      </c>
      <c r="S7" s="665">
        <f t="shared" ref="S7:S14" si="0">F7</f>
        <v>0</v>
      </c>
      <c r="T7" s="664" t="s">
        <v>14</v>
      </c>
      <c r="U7" s="665">
        <f t="shared" ref="U7:U14" si="1">H7</f>
        <v>0</v>
      </c>
      <c r="V7" s="664" t="s">
        <v>14</v>
      </c>
      <c r="W7" s="665">
        <f t="shared" ref="W7:W14" si="2">J7</f>
        <v>0</v>
      </c>
      <c r="X7" s="666"/>
      <c r="Y7" s="3415" t="s">
        <v>1680</v>
      </c>
      <c r="Z7" s="341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1"/>
      <c r="M8" s="2432"/>
      <c r="N8" s="2432"/>
      <c r="O8" s="2432"/>
      <c r="P8" s="3415" t="s">
        <v>1683</v>
      </c>
      <c r="Q8" s="3416"/>
      <c r="R8" s="664" t="s">
        <v>14</v>
      </c>
      <c r="S8" s="665">
        <f t="shared" si="0"/>
        <v>100</v>
      </c>
      <c r="T8" s="664" t="s">
        <v>14</v>
      </c>
      <c r="U8" s="665">
        <f t="shared" si="1"/>
        <v>100</v>
      </c>
      <c r="V8" s="664" t="s">
        <v>14</v>
      </c>
      <c r="W8" s="665">
        <f t="shared" si="2"/>
        <v>100</v>
      </c>
      <c r="X8" s="666"/>
      <c r="Y8" s="3415" t="s">
        <v>1683</v>
      </c>
      <c r="Z8" s="341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1"/>
      <c r="M9" s="2432"/>
      <c r="N9" s="2432"/>
      <c r="O9" s="2533"/>
      <c r="P9" s="3380"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7">
      <c r="A10" s="363"/>
      <c r="B10" s="364" t="s">
        <v>1688</v>
      </c>
      <c r="C10" s="3123"/>
      <c r="D10" s="119">
        <v>100</v>
      </c>
      <c r="E10" s="3123"/>
      <c r="F10" s="364">
        <f>SUMIF(53:53,E10,54:54)-SUMIF(53:53,C10,54:54)+100</f>
        <v>100</v>
      </c>
      <c r="G10" s="3123"/>
      <c r="H10" s="119">
        <f>SUMIF(53:53,G10,54:54)-SUMIF(53:53,C10,54:54)+100</f>
        <v>100</v>
      </c>
      <c r="I10" s="3123"/>
      <c r="J10" s="119">
        <f>SUMIF(53:53,I10,54:54)-SUMIF(53:53,C10,54:54)+100</f>
        <v>100</v>
      </c>
      <c r="K10" s="38"/>
      <c r="L10" s="2482"/>
      <c r="M10" s="2483"/>
      <c r="N10" s="2483"/>
      <c r="O10" s="2534"/>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4"/>
      <c r="M11" s="2480"/>
      <c r="N11" s="2480"/>
      <c r="O11" s="2535"/>
      <c r="P11" s="3380"/>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1"/>
      <c r="M12" s="2432"/>
      <c r="N12" s="2432"/>
      <c r="O12" s="2533"/>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7"/>
      <c r="H13" s="377">
        <f>SUMIF(59:59,G13,60:60)-SUMIF(59:59,C13,60:60)+100</f>
        <v>100</v>
      </c>
      <c r="I13" s="407"/>
      <c r="J13" s="374">
        <f>SUMIF(59:59,I13,60:60)-SUMIF(59:59,C13,60:60)+100</f>
        <v>100</v>
      </c>
      <c r="K13" s="539"/>
      <c r="L13" s="2485"/>
      <c r="M13" s="2480"/>
      <c r="N13" s="2480"/>
      <c r="O13" s="2535"/>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14">
      <c r="A14" s="379" t="s">
        <v>1690</v>
      </c>
      <c r="B14" s="58" t="s">
        <v>1833</v>
      </c>
      <c r="C14" s="1813" t="str">
        <f>IF(B1="工业",估价对象房地状况!G4,估价对象房地状况!C6)</f>
        <v>估价对象周边有196路、B38路、Y25路等多条公交线路，综合评价交通便捷度一般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85"/>
      <c r="M14" s="2480"/>
      <c r="N14" s="2480"/>
      <c r="O14" s="2535"/>
      <c r="P14" s="3382" t="s">
        <v>1691</v>
      </c>
      <c r="Q14" s="1259" t="str">
        <f t="shared" si="6"/>
        <v>交通便捷度</v>
      </c>
      <c r="R14" s="667" t="s">
        <v>14</v>
      </c>
      <c r="S14" s="668">
        <f t="shared" si="0"/>
        <v>100</v>
      </c>
      <c r="T14" s="667" t="s">
        <v>14</v>
      </c>
      <c r="U14" s="668">
        <f t="shared" si="1"/>
        <v>100</v>
      </c>
      <c r="V14" s="667" t="s">
        <v>14</v>
      </c>
      <c r="W14" s="668">
        <f t="shared" si="2"/>
        <v>100</v>
      </c>
      <c r="X14" s="1261"/>
      <c r="Y14" s="3382" t="s">
        <v>1691</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5"/>
      <c r="M15" s="2480"/>
      <c r="N15" s="2480"/>
      <c r="O15" s="2535"/>
      <c r="P15" s="3383"/>
      <c r="Q15" s="1259"/>
      <c r="R15" s="667"/>
      <c r="S15" s="668"/>
      <c r="T15" s="667"/>
      <c r="U15" s="668"/>
      <c r="V15" s="667"/>
      <c r="W15" s="668"/>
      <c r="X15" s="1261"/>
      <c r="Y15" s="3383"/>
      <c r="Z15" s="1260"/>
      <c r="AA15" s="1260">
        <v>1</v>
      </c>
      <c r="AB15" s="1260">
        <v>1</v>
      </c>
      <c r="AC15" s="1260">
        <v>1</v>
      </c>
    </row>
    <row r="16" spans="1:29" ht="370.5">
      <c r="A16" s="367"/>
      <c r="B16" s="390" t="s">
        <v>1812</v>
      </c>
      <c r="C16" s="1750" t="str">
        <f>IF(B1="工业",估价对象房地状况!G5,估价对象房地状况!C7)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16" s="394">
        <v>100</v>
      </c>
      <c r="E16" s="396"/>
      <c r="F16" s="397">
        <f>SUMIF(63:63,E17,64:64)-SUMIF(63:63,C17,64:64)+100</f>
        <v>100</v>
      </c>
      <c r="G16" s="398"/>
      <c r="H16" s="394">
        <f>SUMIF(63:63,G17,64:64)-SUMIF(63:63,C17,64:64)+100</f>
        <v>100</v>
      </c>
      <c r="I16" s="396"/>
      <c r="J16" s="394">
        <f>SUMIF(63:63,I17,64:64)-SUMIF(63:63,C17,64:64)+100</f>
        <v>100</v>
      </c>
      <c r="K16" s="540"/>
      <c r="L16" s="2485"/>
      <c r="M16" s="2480"/>
      <c r="N16" s="2480"/>
      <c r="O16" s="2535"/>
      <c r="P16" s="3383"/>
      <c r="Q16" s="1259" t="str">
        <f>B16</f>
        <v>公共配套设施</v>
      </c>
      <c r="R16" s="667" t="s">
        <v>14</v>
      </c>
      <c r="S16" s="668">
        <f>F16</f>
        <v>100</v>
      </c>
      <c r="T16" s="667" t="s">
        <v>14</v>
      </c>
      <c r="U16" s="668">
        <f>H16</f>
        <v>100</v>
      </c>
      <c r="V16" s="667" t="s">
        <v>14</v>
      </c>
      <c r="W16" s="668">
        <f>J16</f>
        <v>100</v>
      </c>
      <c r="X16" s="1261"/>
      <c r="Y16" s="3383"/>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5"/>
      <c r="M17" s="2480"/>
      <c r="N17" s="2480"/>
      <c r="O17" s="2535"/>
      <c r="P17" s="3383"/>
      <c r="Q17" s="1259"/>
      <c r="R17" s="667"/>
      <c r="S17" s="668"/>
      <c r="T17" s="667"/>
      <c r="U17" s="668"/>
      <c r="V17" s="667"/>
      <c r="W17" s="668"/>
      <c r="X17" s="1261"/>
      <c r="Y17" s="3383"/>
      <c r="Z17" s="1260"/>
      <c r="AA17" s="1260">
        <v>1</v>
      </c>
      <c r="AB17" s="1260">
        <v>1</v>
      </c>
      <c r="AC17" s="1260">
        <v>1</v>
      </c>
    </row>
    <row r="18" spans="1:29" ht="28.5">
      <c r="A18" s="367"/>
      <c r="B18" s="586" t="s">
        <v>1813</v>
      </c>
      <c r="C18" s="1750"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5"/>
      <c r="M18" s="2480"/>
      <c r="N18" s="2480"/>
      <c r="O18" s="2535"/>
      <c r="P18" s="3383"/>
      <c r="Q18" s="1259" t="str">
        <f>B18</f>
        <v>基础设施水平</v>
      </c>
      <c r="R18" s="667" t="s">
        <v>14</v>
      </c>
      <c r="S18" s="668">
        <f>F18</f>
        <v>100</v>
      </c>
      <c r="T18" s="667" t="s">
        <v>14</v>
      </c>
      <c r="U18" s="668">
        <f>H18</f>
        <v>100</v>
      </c>
      <c r="V18" s="667" t="s">
        <v>14</v>
      </c>
      <c r="W18" s="668">
        <f>J18</f>
        <v>100</v>
      </c>
      <c r="X18" s="1261"/>
      <c r="Y18" s="3383"/>
      <c r="Z18" s="1260" t="str">
        <f>Q18</f>
        <v>基础设施水平</v>
      </c>
      <c r="AA18" s="1260">
        <f t="shared" ref="AA18" si="8">D18/F18</f>
        <v>1</v>
      </c>
      <c r="AB18" s="1260">
        <f t="shared" ref="AB18" si="9">D18/H18</f>
        <v>1</v>
      </c>
      <c r="AC18" s="1260">
        <f t="shared" ref="AC18" si="10">D18/J18</f>
        <v>1</v>
      </c>
    </row>
    <row r="19" spans="1:29" ht="15">
      <c r="A19" s="367"/>
      <c r="B19" s="586"/>
      <c r="C19" s="1751"/>
      <c r="D19" s="389"/>
      <c r="E19" s="1751"/>
      <c r="F19" s="392"/>
      <c r="G19" s="1751"/>
      <c r="H19" s="387"/>
      <c r="I19" s="386"/>
      <c r="J19" s="387"/>
      <c r="K19" s="1060"/>
      <c r="L19" s="2485"/>
      <c r="M19" s="2480"/>
      <c r="N19" s="2480"/>
      <c r="O19" s="2535"/>
      <c r="P19" s="3383"/>
      <c r="Q19" s="1259"/>
      <c r="R19" s="667"/>
      <c r="S19" s="668"/>
      <c r="T19" s="667"/>
      <c r="U19" s="668"/>
      <c r="V19" s="667"/>
      <c r="W19" s="668"/>
      <c r="X19" s="1261"/>
      <c r="Y19" s="3383"/>
      <c r="Z19" s="1260"/>
      <c r="AA19" s="1260">
        <v>1</v>
      </c>
      <c r="AB19" s="1260">
        <v>1</v>
      </c>
      <c r="AC19" s="1260">
        <v>1</v>
      </c>
    </row>
    <row r="20" spans="1:29" ht="114">
      <c r="A20" s="367"/>
      <c r="B20" s="390" t="s">
        <v>1834</v>
      </c>
      <c r="C20" s="1750" t="str">
        <f>IF(B1="工业",估价对象房地状况!G7,估价对象房地状况!C9)</f>
        <v>估价对象周边有河南省体育场馆中心、郑州海洋馆等人文景观，东风渠水系等自然景观，综合评价环境状况较好。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5"/>
      <c r="M20" s="2480"/>
      <c r="N20" s="2480"/>
      <c r="O20" s="2535"/>
      <c r="P20" s="3383"/>
      <c r="Q20" s="1259" t="str">
        <f>B20</f>
        <v>自然及人文环境</v>
      </c>
      <c r="R20" s="667" t="s">
        <v>14</v>
      </c>
      <c r="S20" s="668">
        <f>F20</f>
        <v>100</v>
      </c>
      <c r="T20" s="667" t="s">
        <v>14</v>
      </c>
      <c r="U20" s="668">
        <f>H20</f>
        <v>100</v>
      </c>
      <c r="V20" s="667" t="s">
        <v>14</v>
      </c>
      <c r="W20" s="668">
        <f>J20</f>
        <v>100</v>
      </c>
      <c r="X20" s="1261"/>
      <c r="Y20" s="3383"/>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5"/>
      <c r="M21" s="2480"/>
      <c r="N21" s="2480"/>
      <c r="O21" s="2535"/>
      <c r="P21" s="3383"/>
      <c r="Q21" s="1259"/>
      <c r="R21" s="667"/>
      <c r="S21" s="668"/>
      <c r="T21" s="667"/>
      <c r="U21" s="668"/>
      <c r="V21" s="667"/>
      <c r="W21" s="668"/>
      <c r="X21" s="1261"/>
      <c r="Y21" s="3383"/>
      <c r="Z21" s="1260"/>
      <c r="AA21" s="1260">
        <v>1</v>
      </c>
      <c r="AB21" s="1260">
        <v>1</v>
      </c>
      <c r="AC21" s="1260">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5"/>
      <c r="M22" s="2480"/>
      <c r="N22" s="2480"/>
      <c r="O22" s="2535"/>
      <c r="P22" s="3383"/>
      <c r="Q22" s="1259" t="str">
        <f>B22</f>
        <v>楼层</v>
      </c>
      <c r="R22" s="667" t="s">
        <v>14</v>
      </c>
      <c r="S22" s="668">
        <f>F22</f>
        <v>100</v>
      </c>
      <c r="T22" s="667" t="s">
        <v>14</v>
      </c>
      <c r="U22" s="668">
        <f>H22</f>
        <v>100</v>
      </c>
      <c r="V22" s="667" t="s">
        <v>14</v>
      </c>
      <c r="W22" s="668">
        <f>J22</f>
        <v>100</v>
      </c>
      <c r="X22" s="1261"/>
      <c r="Y22" s="3383"/>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5"/>
      <c r="M23" s="2480"/>
      <c r="N23" s="2480"/>
      <c r="O23" s="2535"/>
      <c r="P23" s="3383"/>
      <c r="Q23" s="1259">
        <f>B23</f>
        <v>111</v>
      </c>
      <c r="R23" s="667" t="s">
        <v>14</v>
      </c>
      <c r="S23" s="668">
        <f>F23</f>
        <v>100</v>
      </c>
      <c r="T23" s="667" t="s">
        <v>14</v>
      </c>
      <c r="U23" s="668">
        <f>H23</f>
        <v>100</v>
      </c>
      <c r="V23" s="667" t="s">
        <v>14</v>
      </c>
      <c r="W23" s="668">
        <f>J23</f>
        <v>100</v>
      </c>
      <c r="X23" s="1261"/>
      <c r="Y23" s="3383"/>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5"/>
      <c r="M24" s="2480"/>
      <c r="N24" s="2480"/>
      <c r="O24" s="2535"/>
      <c r="P24" s="3383"/>
      <c r="Q24" s="1259">
        <f t="shared" ref="Q24:Q34" si="11">B24</f>
        <v>111</v>
      </c>
      <c r="R24" s="667" t="s">
        <v>14</v>
      </c>
      <c r="S24" s="668">
        <f>F24</f>
        <v>100</v>
      </c>
      <c r="T24" s="667" t="s">
        <v>14</v>
      </c>
      <c r="U24" s="668">
        <f>H24</f>
        <v>100</v>
      </c>
      <c r="V24" s="667" t="s">
        <v>14</v>
      </c>
      <c r="W24" s="668">
        <f>J24</f>
        <v>100</v>
      </c>
      <c r="X24" s="1261"/>
      <c r="Y24" s="3383"/>
      <c r="Z24" s="1260">
        <f>Q24</f>
        <v>111</v>
      </c>
      <c r="AA24" s="1260">
        <f t="shared" si="3"/>
        <v>1</v>
      </c>
      <c r="AB24" s="1260">
        <f t="shared" si="4"/>
        <v>1</v>
      </c>
      <c r="AC24" s="1260">
        <f t="shared" si="5"/>
        <v>1</v>
      </c>
    </row>
    <row r="25" spans="1:29" s="102" customFormat="1" ht="15.75" thickBot="1">
      <c r="A25" s="370"/>
      <c r="B25" s="447">
        <v>111</v>
      </c>
      <c r="C25" s="1818"/>
      <c r="D25" s="557">
        <v>100</v>
      </c>
      <c r="E25" s="1818"/>
      <c r="F25" s="586">
        <f>SUMIF(75:75,E25,76:76)-SUMIF(75:75,C25,76:76)+100</f>
        <v>100</v>
      </c>
      <c r="G25" s="1818"/>
      <c r="H25" s="557">
        <f>SUMIF(75:75,G25,76:76)-SUMIF(75:75,C25,76:76)+100</f>
        <v>100</v>
      </c>
      <c r="I25" s="1818"/>
      <c r="J25" s="557">
        <f>SUMIF(75:75,I25,76:76)-SUMIF(75:75,C25,76:76)+100</f>
        <v>100</v>
      </c>
      <c r="K25" s="539"/>
      <c r="L25" s="2481"/>
      <c r="M25" s="2432"/>
      <c r="N25" s="2432"/>
      <c r="O25" s="2533"/>
      <c r="P25" s="3383"/>
      <c r="Q25" s="530">
        <f t="shared" si="11"/>
        <v>111</v>
      </c>
      <c r="R25" s="664" t="s">
        <v>14</v>
      </c>
      <c r="S25" s="665">
        <f>F25</f>
        <v>100</v>
      </c>
      <c r="T25" s="664" t="s">
        <v>14</v>
      </c>
      <c r="U25" s="665">
        <f>H25</f>
        <v>100</v>
      </c>
      <c r="V25" s="664" t="s">
        <v>14</v>
      </c>
      <c r="W25" s="665">
        <f>J25</f>
        <v>100</v>
      </c>
      <c r="X25" s="666"/>
      <c r="Y25" s="3383"/>
      <c r="Z25" s="50">
        <f>Q25</f>
        <v>111</v>
      </c>
      <c r="AA25" s="1260">
        <f>D25/F25</f>
        <v>1</v>
      </c>
      <c r="AB25" s="1260">
        <f>D25/H25</f>
        <v>1</v>
      </c>
      <c r="AC25" s="1260">
        <f>D25/J25</f>
        <v>1</v>
      </c>
    </row>
    <row r="26" spans="1:29" ht="28.5">
      <c r="A26" s="404" t="s">
        <v>1694</v>
      </c>
      <c r="B26" s="60" t="s">
        <v>1838</v>
      </c>
      <c r="C26" s="1760"/>
      <c r="D26" s="405">
        <v>100</v>
      </c>
      <c r="E26" s="1760"/>
      <c r="F26" s="587">
        <f>SUMIF(77:77,E26,78:78)-SUMIF(77:77,C26,78:78)+100</f>
        <v>100</v>
      </c>
      <c r="G26" s="1760"/>
      <c r="H26" s="405">
        <f>SUMIF(77:77,G26,78:78)-SUMIF(77:77,C26,78:78)+100</f>
        <v>100</v>
      </c>
      <c r="I26" s="1760"/>
      <c r="J26" s="405">
        <f>SUMIF(77:77,I26,78:78)-SUMIF(77:77,C26,78:78)+100</f>
        <v>100</v>
      </c>
      <c r="K26" s="538"/>
      <c r="L26" s="2485"/>
      <c r="M26" s="2480"/>
      <c r="N26" s="2480"/>
      <c r="O26" s="2535"/>
      <c r="P26" s="3437" t="s">
        <v>1696</v>
      </c>
      <c r="Q26" s="1259" t="str">
        <f t="shared" si="11"/>
        <v>公共部分装修</v>
      </c>
      <c r="R26" s="667" t="s">
        <v>14</v>
      </c>
      <c r="S26" s="668">
        <f t="shared" ref="S26:S34" si="12">F26</f>
        <v>100</v>
      </c>
      <c r="T26" s="667" t="s">
        <v>14</v>
      </c>
      <c r="U26" s="668">
        <f t="shared" ref="U26:U34" si="13">H26</f>
        <v>100</v>
      </c>
      <c r="V26" s="667" t="s">
        <v>14</v>
      </c>
      <c r="W26" s="668">
        <f t="shared" ref="W26:W34" si="14">J26</f>
        <v>100</v>
      </c>
      <c r="X26" s="1261"/>
      <c r="Y26" s="3387" t="s">
        <v>1696</v>
      </c>
      <c r="Z26" s="1260" t="str">
        <f t="shared" ref="Z26:Z34" si="15">Q26</f>
        <v>公共部分装修</v>
      </c>
      <c r="AA26" s="1260">
        <f t="shared" si="3"/>
        <v>1</v>
      </c>
      <c r="AB26" s="1260">
        <f t="shared" si="4"/>
        <v>1</v>
      </c>
      <c r="AC26" s="1260">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4"/>
      <c r="M27" s="2486"/>
      <c r="N27" s="2486"/>
      <c r="O27" s="2536"/>
      <c r="P27" s="3387"/>
      <c r="Q27" s="531" t="str">
        <f t="shared" si="11"/>
        <v>成新率</v>
      </c>
      <c r="R27" s="669" t="s">
        <v>14</v>
      </c>
      <c r="S27" s="670" t="e">
        <f t="shared" si="12"/>
        <v>#N/A</v>
      </c>
      <c r="T27" s="669" t="s">
        <v>14</v>
      </c>
      <c r="U27" s="670" t="e">
        <f t="shared" si="13"/>
        <v>#N/A</v>
      </c>
      <c r="V27" s="669" t="s">
        <v>14</v>
      </c>
      <c r="W27" s="670" t="e">
        <f t="shared" si="14"/>
        <v>#N/A</v>
      </c>
      <c r="X27" s="671"/>
      <c r="Y27" s="3387"/>
      <c r="Z27" s="672" t="str">
        <f t="shared" si="15"/>
        <v>成新率</v>
      </c>
      <c r="AA27" s="1260" t="e">
        <f t="shared" si="3"/>
        <v>#N/A</v>
      </c>
      <c r="AB27" s="1260" t="e">
        <f t="shared" si="4"/>
        <v>#N/A</v>
      </c>
      <c r="AC27" s="1260"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5"/>
      <c r="M28" s="2480"/>
      <c r="N28" s="2480"/>
      <c r="O28" s="2535"/>
      <c r="P28" s="3387"/>
      <c r="Q28" s="1259" t="str">
        <f t="shared" si="11"/>
        <v>物业等级</v>
      </c>
      <c r="R28" s="667" t="s">
        <v>14</v>
      </c>
      <c r="S28" s="668">
        <f t="shared" si="12"/>
        <v>100</v>
      </c>
      <c r="T28" s="667" t="s">
        <v>14</v>
      </c>
      <c r="U28" s="668">
        <f t="shared" si="13"/>
        <v>100</v>
      </c>
      <c r="V28" s="667" t="s">
        <v>14</v>
      </c>
      <c r="W28" s="668">
        <f t="shared" si="14"/>
        <v>100</v>
      </c>
      <c r="X28" s="1261"/>
      <c r="Y28" s="3387"/>
      <c r="Z28" s="1260" t="str">
        <f t="shared" si="15"/>
        <v>物业等级</v>
      </c>
      <c r="AA28" s="1260">
        <f t="shared" si="3"/>
        <v>1</v>
      </c>
      <c r="AB28" s="1260">
        <f t="shared" si="4"/>
        <v>1</v>
      </c>
      <c r="AC28" s="1260">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5"/>
      <c r="M29" s="2480"/>
      <c r="N29" s="2480"/>
      <c r="O29" s="2535"/>
      <c r="P29" s="3387"/>
      <c r="Q29" s="1259" t="str">
        <f t="shared" si="11"/>
        <v>有无电梯</v>
      </c>
      <c r="R29" s="667" t="s">
        <v>14</v>
      </c>
      <c r="S29" s="668">
        <f t="shared" si="12"/>
        <v>100</v>
      </c>
      <c r="T29" s="667" t="s">
        <v>14</v>
      </c>
      <c r="U29" s="668">
        <f t="shared" si="13"/>
        <v>100</v>
      </c>
      <c r="V29" s="667" t="s">
        <v>14</v>
      </c>
      <c r="W29" s="668">
        <f t="shared" si="14"/>
        <v>100</v>
      </c>
      <c r="X29" s="1261"/>
      <c r="Y29" s="3387"/>
      <c r="Z29" s="1260" t="str">
        <f t="shared" si="15"/>
        <v>有无电梯</v>
      </c>
      <c r="AA29" s="1260">
        <f t="shared" si="3"/>
        <v>1</v>
      </c>
      <c r="AB29" s="1260">
        <f t="shared" si="4"/>
        <v>1</v>
      </c>
      <c r="AC29" s="1260">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5"/>
      <c r="M30" s="2480"/>
      <c r="N30" s="2480"/>
      <c r="O30" s="2535"/>
      <c r="P30" s="3387"/>
      <c r="Q30" s="1259" t="str">
        <f t="shared" si="11"/>
        <v>建筑面积</v>
      </c>
      <c r="R30" s="667" t="s">
        <v>14</v>
      </c>
      <c r="S30" s="668" t="e">
        <f t="shared" si="12"/>
        <v>#N/A</v>
      </c>
      <c r="T30" s="667" t="s">
        <v>14</v>
      </c>
      <c r="U30" s="668" t="e">
        <f t="shared" si="13"/>
        <v>#N/A</v>
      </c>
      <c r="V30" s="667" t="s">
        <v>14</v>
      </c>
      <c r="W30" s="668" t="e">
        <f t="shared" si="14"/>
        <v>#N/A</v>
      </c>
      <c r="X30" s="1261"/>
      <c r="Y30" s="3387"/>
      <c r="Z30" s="1260" t="str">
        <f t="shared" si="15"/>
        <v>建筑面积</v>
      </c>
      <c r="AA30" s="1260" t="e">
        <f t="shared" si="3"/>
        <v>#N/A</v>
      </c>
      <c r="AB30" s="1260" t="e">
        <f t="shared" si="4"/>
        <v>#N/A</v>
      </c>
      <c r="AC30" s="1260"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1"/>
      <c r="M31" s="2432"/>
      <c r="N31" s="2432"/>
      <c r="O31" s="2533"/>
      <c r="P31" s="3387"/>
      <c r="Q31" s="530" t="str">
        <f t="shared" si="11"/>
        <v>是否封闭</v>
      </c>
      <c r="R31" s="664" t="s">
        <v>14</v>
      </c>
      <c r="S31" s="665">
        <f t="shared" si="12"/>
        <v>100</v>
      </c>
      <c r="T31" s="664" t="s">
        <v>14</v>
      </c>
      <c r="U31" s="665">
        <f t="shared" si="13"/>
        <v>100</v>
      </c>
      <c r="V31" s="664" t="s">
        <v>14</v>
      </c>
      <c r="W31" s="665">
        <f t="shared" si="14"/>
        <v>100</v>
      </c>
      <c r="X31" s="666"/>
      <c r="Y31" s="338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5"/>
      <c r="M32" s="2480"/>
      <c r="N32" s="2480"/>
      <c r="O32" s="2535"/>
      <c r="P32" s="3387" t="s">
        <v>1696</v>
      </c>
      <c r="Q32" s="1259">
        <f t="shared" si="11"/>
        <v>111</v>
      </c>
      <c r="R32" s="667" t="s">
        <v>14</v>
      </c>
      <c r="S32" s="668">
        <f t="shared" si="12"/>
        <v>100</v>
      </c>
      <c r="T32" s="667" t="s">
        <v>14</v>
      </c>
      <c r="U32" s="668">
        <f t="shared" si="13"/>
        <v>100</v>
      </c>
      <c r="V32" s="667" t="s">
        <v>14</v>
      </c>
      <c r="W32" s="668">
        <f t="shared" si="14"/>
        <v>100</v>
      </c>
      <c r="X32" s="1261"/>
      <c r="Y32" s="3387" t="s">
        <v>1696</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5"/>
      <c r="M33" s="2480"/>
      <c r="N33" s="2480"/>
      <c r="O33" s="2535"/>
      <c r="P33" s="3387"/>
      <c r="Q33" s="1259">
        <f t="shared" si="11"/>
        <v>111</v>
      </c>
      <c r="R33" s="667" t="s">
        <v>14</v>
      </c>
      <c r="S33" s="668">
        <f t="shared" si="12"/>
        <v>100</v>
      </c>
      <c r="T33" s="667" t="s">
        <v>14</v>
      </c>
      <c r="U33" s="668">
        <f t="shared" si="13"/>
        <v>100</v>
      </c>
      <c r="V33" s="667" t="s">
        <v>14</v>
      </c>
      <c r="W33" s="668">
        <f t="shared" si="14"/>
        <v>100</v>
      </c>
      <c r="X33" s="1261"/>
      <c r="Y33" s="3387"/>
      <c r="Z33" s="1260">
        <f t="shared" si="15"/>
        <v>111</v>
      </c>
      <c r="AA33" s="1260">
        <f t="shared" si="3"/>
        <v>1</v>
      </c>
      <c r="AB33" s="1260">
        <f t="shared" si="4"/>
        <v>1</v>
      </c>
      <c r="AC33" s="1260">
        <f t="shared" si="5"/>
        <v>1</v>
      </c>
    </row>
    <row r="34" spans="1:30" ht="15.75" thickBot="1">
      <c r="A34" s="415"/>
      <c r="B34" s="1745">
        <v>111</v>
      </c>
      <c r="C34" s="376"/>
      <c r="D34" s="377">
        <v>100</v>
      </c>
      <c r="E34" s="1817"/>
      <c r="F34" s="378">
        <f>SUMIF(95:95,E34,96:96)-SUMIF(95:95,C34,96:96)+100</f>
        <v>100</v>
      </c>
      <c r="G34" s="1817"/>
      <c r="H34" s="377">
        <f>SUMIF(95:95,G34,96:96)-SUMIF(95:95,C34,96:96)+100</f>
        <v>100</v>
      </c>
      <c r="I34" s="1817"/>
      <c r="J34" s="377">
        <f>SUMIF(95:95,I34,96:96)-SUMIF(95:95,C34,96:96)+100</f>
        <v>100</v>
      </c>
      <c r="K34" s="539"/>
      <c r="L34" s="2485"/>
      <c r="M34" s="2480"/>
      <c r="N34" s="2480"/>
      <c r="O34" s="2535"/>
      <c r="P34" s="3387"/>
      <c r="Q34" s="1259">
        <f t="shared" si="11"/>
        <v>111</v>
      </c>
      <c r="R34" s="667" t="s">
        <v>14</v>
      </c>
      <c r="S34" s="668">
        <f t="shared" si="12"/>
        <v>100</v>
      </c>
      <c r="T34" s="667" t="s">
        <v>14</v>
      </c>
      <c r="U34" s="668">
        <f t="shared" si="13"/>
        <v>100</v>
      </c>
      <c r="V34" s="667" t="s">
        <v>14</v>
      </c>
      <c r="W34" s="668">
        <f t="shared" si="14"/>
        <v>100</v>
      </c>
      <c r="X34" s="1261"/>
      <c r="Y34" s="3387"/>
      <c r="Z34" s="1260">
        <f t="shared" si="15"/>
        <v>111</v>
      </c>
      <c r="AA34" s="1260">
        <f t="shared" si="3"/>
        <v>1</v>
      </c>
      <c r="AB34" s="1260">
        <f t="shared" si="4"/>
        <v>1</v>
      </c>
      <c r="AC34" s="1260">
        <f t="shared" si="5"/>
        <v>1</v>
      </c>
    </row>
    <row r="35" spans="1:30" ht="15">
      <c r="A35" s="416" t="s">
        <v>1708</v>
      </c>
      <c r="B35" s="417"/>
      <c r="C35" s="1077" t="s">
        <v>0</v>
      </c>
      <c r="D35" s="418"/>
      <c r="E35" s="419"/>
      <c r="F35" s="420"/>
      <c r="G35" s="421"/>
      <c r="H35" s="422"/>
      <c r="I35" s="419"/>
      <c r="J35" s="422"/>
      <c r="K35" s="674"/>
      <c r="L35" s="2487"/>
      <c r="M35" s="2480"/>
      <c r="N35" s="2480"/>
      <c r="O35" s="2480"/>
      <c r="P35" s="3380" t="str">
        <f>A35</f>
        <v>成交单价（元/平方米）</v>
      </c>
      <c r="Q35" s="3380"/>
      <c r="R35" s="3381">
        <f>E35</f>
        <v>0</v>
      </c>
      <c r="S35" s="3381"/>
      <c r="T35" s="3381">
        <f>G35</f>
        <v>0</v>
      </c>
      <c r="U35" s="3381"/>
      <c r="V35" s="3381">
        <f>I35</f>
        <v>0</v>
      </c>
      <c r="W35" s="3381"/>
      <c r="X35" s="385"/>
      <c r="Y35" s="673"/>
      <c r="Z35" s="385"/>
      <c r="AA35" s="385"/>
      <c r="AB35" s="385"/>
      <c r="AC35" s="385"/>
    </row>
    <row r="36" spans="1:30" ht="15.75" thickBot="1">
      <c r="A36" s="423" t="s">
        <v>1793</v>
      </c>
      <c r="B36" s="424"/>
      <c r="C36" s="1078" t="e">
        <f>R37</f>
        <v>#DIV/0!</v>
      </c>
      <c r="D36" s="2135" t="s">
        <v>2138</v>
      </c>
      <c r="E36" s="1079" t="e">
        <f>R36</f>
        <v>#DIV/0!</v>
      </c>
      <c r="F36" s="2136"/>
      <c r="G36" s="1078" t="e">
        <f>T36</f>
        <v>#DIV/0!</v>
      </c>
      <c r="H36" s="2136"/>
      <c r="I36" s="1079" t="e">
        <f>V36</f>
        <v>#DIV/0!</v>
      </c>
      <c r="J36" s="2136"/>
      <c r="K36" s="2138">
        <f>F36+H36+J36</f>
        <v>0</v>
      </c>
      <c r="L36" s="2487"/>
      <c r="M36" s="2480"/>
      <c r="N36" s="2480"/>
      <c r="O36" s="2480"/>
      <c r="P36" s="3380" t="str">
        <f>A36</f>
        <v>比较价值（元/平方米）</v>
      </c>
      <c r="Q36" s="338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87"/>
      <c r="M37" s="2480"/>
      <c r="N37" s="2480"/>
      <c r="O37" s="2480"/>
      <c r="P37" s="3377" t="str">
        <f>A37</f>
        <v>估价对象XX用房的比较价值（楼面单价，元/平方米）</v>
      </c>
      <c r="Q37" s="3378"/>
      <c r="R37" s="3438" t="e">
        <f>IF(F1="售价",ROUND(IF(D36="简单平均",AVERAGE(R36:W36),R36*F36+T36*H36+V36*J36),0),ROUND(IF(D36="简单平均",AVERAGE(R36:V36),R36*F36+T36*H36+V36*J36),1))</f>
        <v>#DIV/0!</v>
      </c>
      <c r="S37" s="3438"/>
      <c r="T37" s="3438"/>
      <c r="U37" s="3438"/>
      <c r="V37" s="3438"/>
      <c r="W37" s="3438"/>
      <c r="X37" s="385"/>
      <c r="Y37" s="385"/>
      <c r="Z37" s="385"/>
      <c r="AA37" s="385"/>
      <c r="AB37" s="385"/>
      <c r="AC37" s="385"/>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7" customFormat="1" ht="13.5" customHeight="1">
      <c r="A42" s="2490"/>
      <c r="B42" s="2490"/>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7"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8" t="s">
        <v>1798</v>
      </c>
      <c r="B45" s="385"/>
      <c r="C45" s="659"/>
      <c r="D45" s="659"/>
      <c r="E45" s="659"/>
      <c r="F45" s="660"/>
      <c r="G45" s="660"/>
      <c r="H45" s="659"/>
      <c r="I45" s="659"/>
      <c r="J45" s="659"/>
      <c r="K45" s="661"/>
      <c r="L45" s="662"/>
      <c r="M45" s="659"/>
      <c r="N45" s="2530"/>
      <c r="O45" s="2530"/>
      <c r="P45" s="2530"/>
      <c r="Q45" s="2501"/>
      <c r="R45" s="2480"/>
      <c r="S45" s="2480"/>
      <c r="T45" s="2480"/>
      <c r="U45" s="2480"/>
      <c r="V45" s="2480"/>
      <c r="W45" s="2480"/>
      <c r="X45" s="2480"/>
      <c r="Y45" s="2480"/>
      <c r="Z45" s="2480"/>
      <c r="AA45" s="2480"/>
      <c r="AB45" s="2480"/>
      <c r="AC45" s="2480"/>
      <c r="AD45" s="2480"/>
    </row>
    <row r="46" spans="1:30" s="442" customFormat="1" ht="15">
      <c r="A46" s="440" t="s">
        <v>1679</v>
      </c>
      <c r="B46" s="441"/>
      <c r="C46" s="1099" t="str">
        <f>YEAR(C7)&amp;"-"&amp;MONTH(C7)</f>
        <v>2025-10</v>
      </c>
      <c r="D46" s="1100">
        <f>EDATE(C46,-1)</f>
        <v>45901</v>
      </c>
      <c r="E46" s="1100">
        <f t="shared" ref="E46:O46" si="16">EDATE(D46,-1)</f>
        <v>45870</v>
      </c>
      <c r="F46" s="1100">
        <f t="shared" si="16"/>
        <v>45839</v>
      </c>
      <c r="G46" s="1100">
        <f t="shared" si="16"/>
        <v>45809</v>
      </c>
      <c r="H46" s="1100">
        <f t="shared" si="16"/>
        <v>45778</v>
      </c>
      <c r="I46" s="1100">
        <f t="shared" si="16"/>
        <v>45748</v>
      </c>
      <c r="J46" s="1100">
        <f t="shared" si="16"/>
        <v>45717</v>
      </c>
      <c r="K46" s="1100">
        <f t="shared" si="16"/>
        <v>45689</v>
      </c>
      <c r="L46" s="1100">
        <f t="shared" si="16"/>
        <v>45658</v>
      </c>
      <c r="M46" s="1100">
        <f t="shared" si="16"/>
        <v>45627</v>
      </c>
      <c r="N46" s="1100">
        <f t="shared" si="16"/>
        <v>45597</v>
      </c>
      <c r="O46" s="1100">
        <f t="shared" si="16"/>
        <v>45566</v>
      </c>
      <c r="P46" s="2503"/>
      <c r="Q46" s="2503"/>
      <c r="R46" s="2503"/>
      <c r="S46" s="2503"/>
      <c r="T46" s="2503"/>
      <c r="U46" s="2503"/>
      <c r="V46" s="2503"/>
      <c r="W46" s="2503"/>
      <c r="X46" s="2503"/>
      <c r="Y46" s="2503"/>
      <c r="Z46" s="2503"/>
      <c r="AA46" s="2503"/>
      <c r="AB46" s="2503"/>
      <c r="AC46" s="2503"/>
      <c r="AD46" s="2503"/>
    </row>
    <row r="47" spans="1:30" s="102" customFormat="1" ht="15">
      <c r="A47" s="443"/>
      <c r="B47" s="444"/>
      <c r="C47" s="1098">
        <v>100</v>
      </c>
      <c r="D47" s="446"/>
      <c r="E47" s="446"/>
      <c r="F47" s="446"/>
      <c r="G47" s="446"/>
      <c r="H47" s="446"/>
      <c r="I47" s="446"/>
      <c r="J47" s="446"/>
      <c r="K47" s="446"/>
      <c r="L47" s="446"/>
      <c r="M47" s="447"/>
      <c r="N47" s="446"/>
      <c r="O47" s="448"/>
      <c r="P47" s="2501"/>
      <c r="Q47" s="2432"/>
      <c r="R47" s="2432"/>
      <c r="S47" s="2432"/>
      <c r="T47" s="2432"/>
      <c r="U47" s="2432"/>
      <c r="V47" s="2432"/>
      <c r="W47" s="2432"/>
      <c r="X47" s="2432"/>
      <c r="Y47" s="2432"/>
      <c r="Z47" s="2432"/>
      <c r="AA47" s="2432"/>
      <c r="AB47" s="2432"/>
      <c r="AC47" s="2432"/>
      <c r="AD47" s="2432"/>
    </row>
    <row r="48" spans="1:30" s="102" customFormat="1" ht="15.75" thickBot="1">
      <c r="A48" s="449" t="s">
        <v>1716</v>
      </c>
      <c r="B48" s="450"/>
      <c r="C48" s="451"/>
      <c r="D48" s="452"/>
      <c r="E48" s="452"/>
      <c r="F48" s="452"/>
      <c r="G48" s="452"/>
      <c r="H48" s="452"/>
      <c r="I48" s="452"/>
      <c r="J48" s="452"/>
      <c r="K48" s="452"/>
      <c r="L48" s="452"/>
      <c r="M48" s="453"/>
      <c r="N48" s="452"/>
      <c r="O48" s="454"/>
      <c r="P48" s="2501"/>
      <c r="Q48" s="2501"/>
      <c r="R48" s="2432"/>
      <c r="S48" s="2432"/>
      <c r="T48" s="2432"/>
      <c r="U48" s="2432"/>
      <c r="V48" s="2432"/>
      <c r="W48" s="2432"/>
      <c r="X48" s="2432"/>
      <c r="Y48" s="2432"/>
      <c r="Z48" s="2432"/>
      <c r="AA48" s="2432"/>
      <c r="AB48" s="2432"/>
      <c r="AC48" s="2432"/>
      <c r="AD48" s="2432"/>
    </row>
    <row r="49" spans="1:30" s="102" customFormat="1" ht="15">
      <c r="A49" s="455" t="s">
        <v>1681</v>
      </c>
      <c r="B49" s="444"/>
      <c r="C49" s="456" t="s">
        <v>1776</v>
      </c>
      <c r="D49" s="31"/>
      <c r="E49" s="31"/>
      <c r="F49" s="31"/>
      <c r="G49" s="31"/>
      <c r="H49" s="31"/>
      <c r="I49" s="31"/>
      <c r="J49" s="31"/>
      <c r="K49" s="31"/>
      <c r="L49" s="457"/>
      <c r="M49" s="458"/>
      <c r="N49" s="2513"/>
      <c r="O49" s="2513"/>
      <c r="P49" s="2537"/>
      <c r="Q49" s="2501"/>
      <c r="R49" s="2432"/>
      <c r="S49" s="2432"/>
      <c r="T49" s="2432"/>
      <c r="U49" s="2432"/>
      <c r="V49" s="2432"/>
      <c r="W49" s="2432"/>
      <c r="X49" s="2432"/>
      <c r="Y49" s="2432"/>
      <c r="Z49" s="2432"/>
      <c r="AA49" s="2432"/>
      <c r="AB49" s="2432"/>
      <c r="AC49" s="2432"/>
      <c r="AD49" s="2432"/>
    </row>
    <row r="50" spans="1:30" s="102" customFormat="1" ht="15.75" thickBot="1">
      <c r="A50" s="455"/>
      <c r="B50" s="444"/>
      <c r="C50" s="563">
        <v>100</v>
      </c>
      <c r="D50" s="446"/>
      <c r="E50" s="446"/>
      <c r="F50" s="446"/>
      <c r="G50" s="446"/>
      <c r="H50" s="446"/>
      <c r="I50" s="446"/>
      <c r="J50" s="446"/>
      <c r="K50" s="446"/>
      <c r="L50" s="446"/>
      <c r="M50" s="448"/>
      <c r="N50" s="2513"/>
      <c r="O50" s="2513"/>
      <c r="P50" s="2501"/>
      <c r="Q50" s="2501"/>
      <c r="R50" s="2432"/>
      <c r="S50" s="2432"/>
      <c r="T50" s="2432"/>
      <c r="U50" s="2432"/>
      <c r="V50" s="2432"/>
      <c r="W50" s="2432"/>
      <c r="X50" s="2432"/>
      <c r="Y50" s="2432"/>
      <c r="Z50" s="2432"/>
      <c r="AA50" s="2432"/>
      <c r="AB50" s="2432"/>
      <c r="AC50" s="2432"/>
      <c r="AD50" s="2432"/>
    </row>
    <row r="51" spans="1:30">
      <c r="A51" s="379" t="s">
        <v>1719</v>
      </c>
      <c r="B51" s="460" t="s">
        <v>1685</v>
      </c>
      <c r="C51" s="461">
        <f>C9</f>
        <v>0</v>
      </c>
      <c r="D51" s="462"/>
      <c r="E51" s="462"/>
      <c r="F51" s="462"/>
      <c r="G51" s="462"/>
      <c r="H51" s="462"/>
      <c r="I51" s="462"/>
      <c r="J51" s="462"/>
      <c r="K51" s="463"/>
      <c r="L51" s="464"/>
      <c r="M51" s="465"/>
      <c r="N51" s="2514"/>
      <c r="O51" s="2514"/>
      <c r="P51" s="2513"/>
      <c r="Q51" s="2501"/>
      <c r="R51" s="2480"/>
      <c r="S51" s="2480"/>
      <c r="T51" s="2480"/>
      <c r="U51" s="2480"/>
      <c r="V51" s="2480"/>
      <c r="W51" s="2480"/>
      <c r="X51" s="2480"/>
      <c r="Y51" s="2480"/>
      <c r="Z51" s="2480"/>
      <c r="AA51" s="2480"/>
      <c r="AB51" s="2480"/>
      <c r="AC51" s="2480"/>
      <c r="AD51" s="2480"/>
    </row>
    <row r="52" spans="1:30" ht="15.75" thickBot="1">
      <c r="A52" s="367"/>
      <c r="B52" s="466"/>
      <c r="C52" s="467">
        <v>100</v>
      </c>
      <c r="D52" s="467"/>
      <c r="E52" s="467"/>
      <c r="F52" s="467"/>
      <c r="G52" s="467"/>
      <c r="H52" s="467"/>
      <c r="I52" s="467"/>
      <c r="J52" s="467"/>
      <c r="K52" s="467"/>
      <c r="L52" s="467"/>
      <c r="M52" s="468"/>
      <c r="N52" s="2515"/>
      <c r="O52" s="2515"/>
      <c r="P52" s="2513"/>
      <c r="Q52" s="2501"/>
      <c r="R52" s="2480"/>
      <c r="S52" s="2480"/>
      <c r="T52" s="2480"/>
      <c r="U52" s="2480"/>
      <c r="V52" s="2480"/>
      <c r="W52" s="2480"/>
      <c r="X52" s="2480"/>
      <c r="Y52" s="2480"/>
      <c r="Z52" s="2480"/>
      <c r="AA52" s="2480"/>
      <c r="AB52" s="2480"/>
      <c r="AC52" s="2480"/>
      <c r="AD52" s="2480"/>
    </row>
    <row r="53" spans="1:30" ht="27.75" thickTop="1">
      <c r="A53" s="367"/>
      <c r="B53" s="469" t="s">
        <v>1688</v>
      </c>
      <c r="C53" s="513"/>
      <c r="D53" s="513"/>
      <c r="E53" s="513"/>
      <c r="F53" s="513"/>
      <c r="G53" s="513"/>
      <c r="H53" s="513"/>
      <c r="I53" s="513"/>
      <c r="J53" s="513"/>
      <c r="K53" s="514"/>
      <c r="L53" s="515"/>
      <c r="M53" s="516"/>
      <c r="N53" s="2514"/>
      <c r="O53" s="2514"/>
      <c r="P53" s="2513"/>
      <c r="Q53" s="2501"/>
      <c r="R53" s="2480"/>
      <c r="S53" s="2480"/>
      <c r="T53" s="2480"/>
      <c r="U53" s="2480"/>
      <c r="V53" s="2480"/>
      <c r="W53" s="2480"/>
      <c r="X53" s="2480"/>
      <c r="Y53" s="2480"/>
      <c r="Z53" s="2480"/>
      <c r="AA53" s="2480"/>
      <c r="AB53" s="2480"/>
      <c r="AC53" s="2480"/>
      <c r="AD53" s="2480"/>
    </row>
    <row r="54" spans="1:30" ht="15.75" thickBot="1">
      <c r="A54" s="367"/>
      <c r="B54" s="474"/>
      <c r="C54" s="467"/>
      <c r="D54" s="467"/>
      <c r="E54" s="467"/>
      <c r="F54" s="467"/>
      <c r="G54" s="467"/>
      <c r="H54" s="467"/>
      <c r="I54" s="467"/>
      <c r="J54" s="467"/>
      <c r="K54" s="467"/>
      <c r="L54" s="467"/>
      <c r="M54" s="468"/>
      <c r="N54" s="2515"/>
      <c r="O54" s="2515"/>
      <c r="P54" s="2513"/>
      <c r="Q54" s="2501"/>
      <c r="R54" s="2480"/>
      <c r="S54" s="2480"/>
      <c r="T54" s="2480"/>
      <c r="U54" s="2480"/>
      <c r="V54" s="2480"/>
      <c r="W54" s="2480"/>
      <c r="X54" s="2480"/>
      <c r="Y54" s="2480"/>
      <c r="Z54" s="2480"/>
      <c r="AA54" s="2480"/>
      <c r="AB54" s="2480"/>
      <c r="AC54" s="2480"/>
      <c r="AD54" s="2480"/>
    </row>
    <row r="55" spans="1:30" ht="15.75" thickTop="1">
      <c r="A55" s="367"/>
      <c r="B55" s="581">
        <f>B11</f>
        <v>111</v>
      </c>
      <c r="C55" s="480"/>
      <c r="D55" s="480"/>
      <c r="E55" s="480"/>
      <c r="F55" s="480"/>
      <c r="G55" s="480"/>
      <c r="H55" s="480"/>
      <c r="I55" s="480"/>
      <c r="J55" s="480"/>
      <c r="K55" s="481"/>
      <c r="L55" s="482"/>
      <c r="M55" s="483"/>
      <c r="N55" s="2514"/>
      <c r="O55" s="2514"/>
      <c r="P55" s="2513"/>
      <c r="Q55" s="2501"/>
      <c r="R55" s="2480"/>
      <c r="S55" s="2480"/>
      <c r="T55" s="2480"/>
      <c r="U55" s="2480"/>
      <c r="V55" s="2480"/>
      <c r="W55" s="2480"/>
      <c r="X55" s="2480"/>
      <c r="Y55" s="2480"/>
      <c r="Z55" s="2480"/>
      <c r="AA55" s="2480"/>
      <c r="AB55" s="2480"/>
      <c r="AC55" s="2480"/>
      <c r="AD55" s="2480"/>
    </row>
    <row r="56" spans="1:30" ht="15.75" thickBot="1">
      <c r="A56" s="367"/>
      <c r="B56" s="466"/>
      <c r="C56" s="491"/>
      <c r="D56" s="467"/>
      <c r="E56" s="467"/>
      <c r="F56" s="467"/>
      <c r="G56" s="467"/>
      <c r="H56" s="467"/>
      <c r="I56" s="467"/>
      <c r="J56" s="467"/>
      <c r="K56" s="467"/>
      <c r="L56" s="467"/>
      <c r="M56" s="468"/>
      <c r="N56" s="2515"/>
      <c r="O56" s="2515"/>
      <c r="P56" s="2513"/>
      <c r="Q56" s="2501"/>
      <c r="R56" s="2480"/>
      <c r="S56" s="2480"/>
      <c r="T56" s="2480"/>
      <c r="U56" s="2480"/>
      <c r="V56" s="2480"/>
      <c r="W56" s="2480"/>
      <c r="X56" s="2480"/>
      <c r="Y56" s="2480"/>
      <c r="Z56" s="2480"/>
      <c r="AA56" s="2480"/>
      <c r="AB56" s="2480"/>
      <c r="AC56" s="2480"/>
      <c r="AD56" s="2480"/>
    </row>
    <row r="57" spans="1:30" s="408" customFormat="1" ht="15.75" thickTop="1">
      <c r="A57" s="484"/>
      <c r="B57" s="469">
        <f>B12</f>
        <v>111</v>
      </c>
      <c r="C57" s="480"/>
      <c r="D57" s="480"/>
      <c r="E57" s="480"/>
      <c r="F57" s="480"/>
      <c r="G57" s="485"/>
      <c r="H57" s="486"/>
      <c r="I57" s="486"/>
      <c r="J57" s="486"/>
      <c r="K57" s="486"/>
      <c r="L57" s="487"/>
      <c r="M57" s="488"/>
      <c r="N57" s="2516"/>
      <c r="O57" s="2516"/>
      <c r="P57" s="2516"/>
      <c r="Q57" s="2508"/>
      <c r="R57" s="2486"/>
      <c r="S57" s="2486"/>
      <c r="T57" s="2486"/>
      <c r="U57" s="2486"/>
      <c r="V57" s="2486"/>
      <c r="W57" s="2486"/>
      <c r="X57" s="2486"/>
      <c r="Y57" s="2486"/>
      <c r="Z57" s="2486"/>
      <c r="AA57" s="2486"/>
      <c r="AB57" s="2486"/>
      <c r="AC57" s="2486"/>
      <c r="AD57" s="2486"/>
    </row>
    <row r="58" spans="1:30" s="408" customFormat="1" ht="15.75" thickBot="1">
      <c r="A58" s="484"/>
      <c r="B58" s="474"/>
      <c r="C58" s="491"/>
      <c r="D58" s="467"/>
      <c r="E58" s="467"/>
      <c r="F58" s="467"/>
      <c r="G58" s="467"/>
      <c r="H58" s="467"/>
      <c r="I58" s="467"/>
      <c r="J58" s="467"/>
      <c r="K58" s="467"/>
      <c r="L58" s="467"/>
      <c r="M58" s="468"/>
      <c r="N58" s="2515"/>
      <c r="O58" s="2515"/>
      <c r="P58" s="2516"/>
      <c r="Q58" s="2508"/>
      <c r="R58" s="2486"/>
      <c r="S58" s="2486"/>
      <c r="T58" s="2486"/>
      <c r="U58" s="2486"/>
      <c r="V58" s="2486"/>
      <c r="W58" s="2486"/>
      <c r="X58" s="2486"/>
      <c r="Y58" s="2486"/>
      <c r="Z58" s="2486"/>
      <c r="AA58" s="2486"/>
      <c r="AB58" s="2486"/>
      <c r="AC58" s="2486"/>
      <c r="AD58" s="2486"/>
    </row>
    <row r="59" spans="1:30" s="408" customFormat="1" ht="15.75" thickTop="1">
      <c r="A59" s="484"/>
      <c r="B59" s="469">
        <f>B13</f>
        <v>111</v>
      </c>
      <c r="C59" s="480"/>
      <c r="D59" s="480"/>
      <c r="E59" s="480"/>
      <c r="F59" s="480"/>
      <c r="G59" s="485"/>
      <c r="H59" s="486"/>
      <c r="I59" s="486"/>
      <c r="J59" s="486"/>
      <c r="K59" s="486"/>
      <c r="L59" s="487"/>
      <c r="M59" s="488"/>
      <c r="N59" s="2516"/>
      <c r="O59" s="2516"/>
      <c r="P59" s="2486"/>
      <c r="Q59" s="2510"/>
      <c r="R59" s="2486"/>
      <c r="S59" s="2486"/>
      <c r="T59" s="2486"/>
      <c r="U59" s="2486"/>
      <c r="V59" s="2486"/>
      <c r="W59" s="2486"/>
      <c r="X59" s="2486"/>
      <c r="Y59" s="2486"/>
      <c r="Z59" s="2486"/>
      <c r="AA59" s="2486"/>
      <c r="AB59" s="2486"/>
      <c r="AC59" s="2486"/>
      <c r="AD59" s="2486"/>
    </row>
    <row r="60" spans="1:30" s="408" customFormat="1" ht="15.75" thickBot="1">
      <c r="A60" s="484"/>
      <c r="B60" s="474"/>
      <c r="C60" s="491"/>
      <c r="D60" s="491"/>
      <c r="E60" s="491"/>
      <c r="F60" s="491"/>
      <c r="G60" s="491"/>
      <c r="H60" s="493"/>
      <c r="I60" s="493"/>
      <c r="J60" s="493"/>
      <c r="K60" s="493"/>
      <c r="L60" s="493"/>
      <c r="M60" s="494"/>
      <c r="N60" s="2516"/>
      <c r="O60" s="2516"/>
      <c r="P60" s="2516"/>
      <c r="Q60" s="2508"/>
      <c r="R60" s="2486"/>
      <c r="S60" s="2486"/>
      <c r="T60" s="2486"/>
      <c r="U60" s="2486"/>
      <c r="V60" s="2486"/>
      <c r="W60" s="2486"/>
      <c r="X60" s="2486"/>
      <c r="Y60" s="2486"/>
      <c r="Z60" s="2486"/>
      <c r="AA60" s="2486"/>
      <c r="AB60" s="2486"/>
      <c r="AC60" s="2486"/>
      <c r="AD60" s="2486"/>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4"/>
      <c r="O61" s="2514"/>
      <c r="P61" s="2538"/>
      <c r="Q61" s="2501"/>
      <c r="R61" s="2480"/>
      <c r="S61" s="2480"/>
      <c r="T61" s="2480"/>
      <c r="U61" s="2480"/>
      <c r="V61" s="2480"/>
      <c r="W61" s="2480"/>
      <c r="X61" s="2480"/>
      <c r="Y61" s="2480"/>
      <c r="Z61" s="2480"/>
      <c r="AA61" s="2480"/>
      <c r="AB61" s="2480"/>
      <c r="AC61" s="2480"/>
      <c r="AD61" s="2480"/>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5"/>
      <c r="O62" s="2515"/>
      <c r="P62" s="2513"/>
      <c r="Q62" s="2501"/>
      <c r="R62" s="2480"/>
      <c r="S62" s="2480"/>
      <c r="T62" s="2480"/>
      <c r="U62" s="2480"/>
      <c r="V62" s="2480"/>
      <c r="W62" s="2480"/>
      <c r="X62" s="2480"/>
      <c r="Y62" s="2480"/>
      <c r="Z62" s="2480"/>
      <c r="AA62" s="2480"/>
      <c r="AB62" s="2480"/>
      <c r="AC62" s="2480"/>
      <c r="AD62" s="2480"/>
    </row>
    <row r="63" spans="1:30" ht="27.75" thickTop="1">
      <c r="A63" s="367"/>
      <c r="B63" s="469" t="s">
        <v>1863</v>
      </c>
      <c r="C63" s="509" t="s">
        <v>1721</v>
      </c>
      <c r="D63" s="509" t="s">
        <v>1722</v>
      </c>
      <c r="E63" s="509" t="s">
        <v>1723</v>
      </c>
      <c r="F63" s="509" t="s">
        <v>1724</v>
      </c>
      <c r="G63" s="509" t="s">
        <v>1725</v>
      </c>
      <c r="H63" s="470"/>
      <c r="I63" s="470"/>
      <c r="J63" s="470"/>
      <c r="K63" s="471"/>
      <c r="L63" s="472"/>
      <c r="M63" s="473"/>
      <c r="N63" s="2514"/>
      <c r="O63" s="2514"/>
      <c r="P63" s="2513"/>
      <c r="Q63" s="2501"/>
      <c r="R63" s="2480"/>
      <c r="S63" s="2480"/>
      <c r="T63" s="2480"/>
      <c r="U63" s="2480"/>
      <c r="V63" s="2480"/>
      <c r="W63" s="2480"/>
      <c r="X63" s="2480"/>
      <c r="Y63" s="2480"/>
      <c r="Z63" s="2480"/>
      <c r="AA63" s="2480"/>
      <c r="AB63" s="2480"/>
      <c r="AC63" s="2480"/>
      <c r="AD63" s="2480"/>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5"/>
      <c r="O64" s="2515"/>
      <c r="P64" s="2513"/>
      <c r="Q64" s="2501"/>
      <c r="R64" s="2480"/>
      <c r="S64" s="2480"/>
      <c r="T64" s="2480"/>
      <c r="U64" s="2480"/>
      <c r="V64" s="2480"/>
      <c r="W64" s="2480"/>
      <c r="X64" s="2480"/>
      <c r="Y64" s="2480"/>
      <c r="Z64" s="2480"/>
      <c r="AA64" s="2480"/>
      <c r="AB64" s="2480"/>
      <c r="AC64" s="2480"/>
      <c r="AD64" s="2480"/>
    </row>
    <row r="65" spans="1:30" ht="15.75" thickTop="1">
      <c r="A65" s="367"/>
      <c r="B65" s="477" t="s">
        <v>1813</v>
      </c>
      <c r="C65" s="581" t="s">
        <v>1799</v>
      </c>
      <c r="D65" s="581" t="s">
        <v>1800</v>
      </c>
      <c r="E65" s="581" t="s">
        <v>1801</v>
      </c>
      <c r="F65" s="581" t="s">
        <v>1802</v>
      </c>
      <c r="G65" s="581" t="s">
        <v>1803</v>
      </c>
      <c r="H65" s="470"/>
      <c r="I65" s="470"/>
      <c r="J65" s="470"/>
      <c r="K65" s="470"/>
      <c r="L65" s="470"/>
      <c r="M65" s="1059"/>
      <c r="N65" s="2515"/>
      <c r="O65" s="2515"/>
      <c r="P65" s="2513"/>
      <c r="Q65" s="2501"/>
      <c r="R65" s="2480"/>
      <c r="S65" s="2480"/>
      <c r="T65" s="2480"/>
      <c r="U65" s="2480"/>
      <c r="V65" s="2480"/>
      <c r="W65" s="2480"/>
      <c r="X65" s="2480"/>
      <c r="Y65" s="2480"/>
      <c r="Z65" s="2480"/>
      <c r="AA65" s="2480"/>
      <c r="AB65" s="2480"/>
      <c r="AC65" s="2480"/>
      <c r="AD65" s="2480"/>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5"/>
      <c r="O66" s="2515"/>
      <c r="P66" s="2513"/>
      <c r="Q66" s="2501"/>
      <c r="R66" s="2480"/>
      <c r="S66" s="2480"/>
      <c r="T66" s="2480"/>
      <c r="U66" s="2480"/>
      <c r="V66" s="2480"/>
      <c r="W66" s="2480"/>
      <c r="X66" s="2480"/>
      <c r="Y66" s="2480"/>
      <c r="Z66" s="2480"/>
      <c r="AA66" s="2480"/>
      <c r="AB66" s="2480"/>
      <c r="AC66" s="2480"/>
      <c r="AD66" s="2480"/>
    </row>
    <row r="67" spans="1:30" ht="15.75" thickTop="1">
      <c r="A67" s="367"/>
      <c r="B67" s="469" t="s">
        <v>1733</v>
      </c>
      <c r="C67" s="509" t="s">
        <v>1721</v>
      </c>
      <c r="D67" s="509" t="s">
        <v>1722</v>
      </c>
      <c r="E67" s="509" t="s">
        <v>1723</v>
      </c>
      <c r="F67" s="509" t="s">
        <v>1724</v>
      </c>
      <c r="G67" s="509" t="s">
        <v>1725</v>
      </c>
      <c r="H67" s="470"/>
      <c r="I67" s="470"/>
      <c r="J67" s="470"/>
      <c r="K67" s="471"/>
      <c r="L67" s="472"/>
      <c r="M67" s="473"/>
      <c r="N67" s="2514"/>
      <c r="O67" s="2514"/>
      <c r="P67" s="2513"/>
      <c r="Q67" s="2501"/>
      <c r="R67" s="2480"/>
      <c r="S67" s="2480"/>
      <c r="T67" s="2480"/>
      <c r="U67" s="2480"/>
      <c r="V67" s="2480"/>
      <c r="W67" s="2480"/>
      <c r="X67" s="2480"/>
      <c r="Y67" s="2480"/>
      <c r="Z67" s="2480"/>
      <c r="AA67" s="2480"/>
      <c r="AB67" s="2480"/>
      <c r="AC67" s="2480"/>
      <c r="AD67" s="2480"/>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5"/>
      <c r="O68" s="2515"/>
      <c r="P68" s="2513"/>
      <c r="Q68" s="2501"/>
      <c r="R68" s="2480"/>
      <c r="S68" s="2480"/>
      <c r="T68" s="2480"/>
      <c r="U68" s="2480"/>
      <c r="V68" s="2480"/>
      <c r="W68" s="2480"/>
      <c r="X68" s="2480"/>
      <c r="Y68" s="2480"/>
      <c r="Z68" s="2480"/>
      <c r="AA68" s="2480"/>
      <c r="AB68" s="2480"/>
      <c r="AC68" s="2480"/>
      <c r="AD68" s="2480"/>
    </row>
    <row r="69" spans="1:30" ht="15.75" thickTop="1">
      <c r="A69" s="367"/>
      <c r="B69" s="469" t="s">
        <v>1852</v>
      </c>
      <c r="C69" s="485"/>
      <c r="D69" s="485"/>
      <c r="E69" s="485"/>
      <c r="F69" s="485"/>
      <c r="G69" s="485"/>
      <c r="H69" s="513"/>
      <c r="I69" s="513"/>
      <c r="J69" s="513"/>
      <c r="K69" s="514"/>
      <c r="L69" s="515"/>
      <c r="M69" s="516"/>
      <c r="N69" s="2514"/>
      <c r="O69" s="2514"/>
      <c r="P69" s="2513"/>
      <c r="Q69" s="2501"/>
      <c r="R69" s="2480"/>
      <c r="S69" s="2480"/>
      <c r="T69" s="2480"/>
      <c r="U69" s="2480"/>
      <c r="V69" s="2480"/>
      <c r="W69" s="2480"/>
      <c r="X69" s="2480"/>
      <c r="Y69" s="2480"/>
      <c r="Z69" s="2480"/>
      <c r="AA69" s="2480"/>
      <c r="AB69" s="2480"/>
      <c r="AC69" s="2480"/>
      <c r="AD69" s="2480"/>
    </row>
    <row r="70" spans="1:30" ht="15.75" thickBot="1">
      <c r="A70" s="367"/>
      <c r="B70" s="474"/>
      <c r="C70" s="475">
        <v>100</v>
      </c>
      <c r="D70" s="475">
        <f>C70-$K22</f>
        <v>100</v>
      </c>
      <c r="E70" s="475"/>
      <c r="F70" s="475"/>
      <c r="G70" s="475"/>
      <c r="H70" s="475"/>
      <c r="I70" s="475"/>
      <c r="J70" s="475"/>
      <c r="K70" s="475"/>
      <c r="L70" s="475"/>
      <c r="M70" s="476"/>
      <c r="N70" s="2515"/>
      <c r="O70" s="2515"/>
      <c r="P70" s="2513"/>
      <c r="Q70" s="2501"/>
      <c r="R70" s="2480"/>
      <c r="S70" s="2480"/>
      <c r="T70" s="2480"/>
      <c r="U70" s="2480"/>
      <c r="V70" s="2480"/>
      <c r="W70" s="2480"/>
      <c r="X70" s="2480"/>
      <c r="Y70" s="2480"/>
      <c r="Z70" s="2480"/>
      <c r="AA70" s="2480"/>
      <c r="AB70" s="2480"/>
      <c r="AC70" s="2480"/>
      <c r="AD70" s="2480"/>
    </row>
    <row r="71" spans="1:30" s="102" customFormat="1" ht="15.75" thickTop="1">
      <c r="A71" s="370"/>
      <c r="B71" s="469">
        <f>B23</f>
        <v>111</v>
      </c>
      <c r="C71" s="480"/>
      <c r="D71" s="480"/>
      <c r="E71" s="480"/>
      <c r="F71" s="480"/>
      <c r="G71" s="485"/>
      <c r="H71" s="485"/>
      <c r="I71" s="485"/>
      <c r="J71" s="485"/>
      <c r="K71" s="485"/>
      <c r="L71" s="510"/>
      <c r="M71" s="511"/>
      <c r="N71" s="2513"/>
      <c r="O71" s="2513"/>
      <c r="P71" s="2513"/>
      <c r="Q71" s="2501"/>
      <c r="R71" s="2432"/>
      <c r="S71" s="2432"/>
      <c r="T71" s="2432"/>
      <c r="U71" s="2432"/>
      <c r="V71" s="2432"/>
      <c r="W71" s="2432"/>
      <c r="X71" s="2432"/>
      <c r="Y71" s="2432"/>
      <c r="Z71" s="2432"/>
      <c r="AA71" s="2432"/>
      <c r="AB71" s="2432"/>
      <c r="AC71" s="2432"/>
      <c r="AD71" s="2432"/>
    </row>
    <row r="72" spans="1:30" s="102" customFormat="1" ht="15.75" thickBot="1">
      <c r="A72" s="370"/>
      <c r="B72" s="474"/>
      <c r="C72" s="491"/>
      <c r="D72" s="467"/>
      <c r="E72" s="467"/>
      <c r="F72" s="467"/>
      <c r="G72" s="467"/>
      <c r="H72" s="467"/>
      <c r="I72" s="467"/>
      <c r="J72" s="467"/>
      <c r="K72" s="467"/>
      <c r="L72" s="467"/>
      <c r="M72" s="468"/>
      <c r="N72" s="2515"/>
      <c r="O72" s="2515"/>
      <c r="P72" s="2513"/>
      <c r="Q72" s="2501"/>
      <c r="R72" s="2432"/>
      <c r="S72" s="2432"/>
      <c r="T72" s="2432"/>
      <c r="U72" s="2432"/>
      <c r="V72" s="2432"/>
      <c r="W72" s="2432"/>
      <c r="X72" s="2432"/>
      <c r="Y72" s="2432"/>
      <c r="Z72" s="2432"/>
      <c r="AA72" s="2432"/>
      <c r="AB72" s="2432"/>
      <c r="AC72" s="2432"/>
      <c r="AD72" s="2432"/>
    </row>
    <row r="73" spans="1:30" s="102" customFormat="1" ht="15.75" thickTop="1">
      <c r="A73" s="370"/>
      <c r="B73" s="469">
        <f>B24</f>
        <v>111</v>
      </c>
      <c r="C73" s="480"/>
      <c r="D73" s="480"/>
      <c r="E73" s="480"/>
      <c r="F73" s="480"/>
      <c r="G73" s="485"/>
      <c r="H73" s="485"/>
      <c r="I73" s="485"/>
      <c r="J73" s="485"/>
      <c r="K73" s="485"/>
      <c r="L73" s="485"/>
      <c r="M73" s="511"/>
      <c r="N73" s="2513"/>
      <c r="O73" s="2513"/>
      <c r="P73" s="2513"/>
      <c r="Q73" s="2501"/>
      <c r="R73" s="2432"/>
      <c r="S73" s="2432"/>
      <c r="T73" s="2432"/>
      <c r="U73" s="2432"/>
      <c r="V73" s="2432"/>
      <c r="W73" s="2432"/>
      <c r="X73" s="2432"/>
      <c r="Y73" s="2432"/>
      <c r="Z73" s="2432"/>
      <c r="AA73" s="2432"/>
      <c r="AB73" s="2432"/>
      <c r="AC73" s="2432"/>
      <c r="AD73" s="2432"/>
    </row>
    <row r="74" spans="1:30" s="102" customFormat="1" ht="15.75" thickBot="1">
      <c r="A74" s="370"/>
      <c r="B74" s="474"/>
      <c r="C74" s="491"/>
      <c r="D74" s="467"/>
      <c r="E74" s="467"/>
      <c r="F74" s="467"/>
      <c r="G74" s="467"/>
      <c r="H74" s="467"/>
      <c r="I74" s="467"/>
      <c r="J74" s="467"/>
      <c r="K74" s="467"/>
      <c r="L74" s="467"/>
      <c r="M74" s="468"/>
      <c r="N74" s="2515"/>
      <c r="O74" s="2515"/>
      <c r="P74" s="2513"/>
      <c r="Q74" s="2501"/>
      <c r="R74" s="2432"/>
      <c r="S74" s="2432"/>
      <c r="T74" s="2432"/>
      <c r="U74" s="2432"/>
      <c r="V74" s="2432"/>
      <c r="W74" s="2432"/>
      <c r="X74" s="2432"/>
      <c r="Y74" s="2432"/>
      <c r="Z74" s="2432"/>
      <c r="AA74" s="2432"/>
      <c r="AB74" s="2432"/>
      <c r="AC74" s="2432"/>
      <c r="AD74" s="2432"/>
    </row>
    <row r="75" spans="1:30" s="408" customFormat="1" ht="15.75" thickTop="1">
      <c r="A75" s="484"/>
      <c r="B75" s="469">
        <f>B25</f>
        <v>111</v>
      </c>
      <c r="C75" s="480"/>
      <c r="D75" s="480"/>
      <c r="E75" s="480"/>
      <c r="F75" s="480"/>
      <c r="G75" s="485"/>
      <c r="H75" s="486"/>
      <c r="I75" s="486"/>
      <c r="J75" s="486"/>
      <c r="K75" s="486"/>
      <c r="L75" s="487"/>
      <c r="M75" s="488"/>
      <c r="N75" s="2516"/>
      <c r="O75" s="2516"/>
      <c r="P75" s="2516"/>
      <c r="Q75" s="2508"/>
      <c r="R75" s="2486"/>
      <c r="S75" s="2486"/>
      <c r="T75" s="2486"/>
      <c r="U75" s="2486"/>
      <c r="V75" s="2486"/>
      <c r="W75" s="2486"/>
      <c r="X75" s="2486"/>
      <c r="Y75" s="2486"/>
      <c r="Z75" s="2486"/>
      <c r="AA75" s="2486"/>
      <c r="AB75" s="2486"/>
      <c r="AC75" s="2486"/>
      <c r="AD75" s="2486"/>
    </row>
    <row r="76" spans="1:30" s="408" customFormat="1" ht="15.75" thickBot="1">
      <c r="A76" s="484"/>
      <c r="B76" s="474"/>
      <c r="C76" s="491"/>
      <c r="D76" s="491"/>
      <c r="E76" s="491"/>
      <c r="F76" s="491"/>
      <c r="G76" s="467"/>
      <c r="H76" s="467"/>
      <c r="I76" s="467"/>
      <c r="J76" s="467"/>
      <c r="K76" s="467"/>
      <c r="L76" s="467"/>
      <c r="M76" s="468"/>
      <c r="N76" s="2516"/>
      <c r="O76" s="2516"/>
      <c r="P76" s="2516"/>
      <c r="Q76" s="2508"/>
      <c r="R76" s="2486"/>
      <c r="S76" s="2486"/>
      <c r="T76" s="2486"/>
      <c r="U76" s="2486"/>
      <c r="V76" s="2486"/>
      <c r="W76" s="2486"/>
      <c r="X76" s="2486"/>
      <c r="Y76" s="2486"/>
      <c r="Z76" s="2486"/>
      <c r="AA76" s="2486"/>
      <c r="AB76" s="2486"/>
      <c r="AC76" s="2486"/>
      <c r="AD76" s="2486"/>
    </row>
    <row r="77" spans="1:30" ht="15" thickTop="1">
      <c r="A77" s="379" t="s">
        <v>1694</v>
      </c>
      <c r="B77" s="460" t="s">
        <v>1740</v>
      </c>
      <c r="C77" s="485"/>
      <c r="D77" s="485"/>
      <c r="E77" s="462"/>
      <c r="F77" s="462"/>
      <c r="G77" s="462"/>
      <c r="H77" s="462"/>
      <c r="I77" s="462"/>
      <c r="J77" s="462"/>
      <c r="K77" s="463"/>
      <c r="L77" s="464"/>
      <c r="M77" s="465"/>
      <c r="N77" s="2514"/>
      <c r="O77" s="2514"/>
      <c r="P77" s="2513"/>
      <c r="Q77" s="2501"/>
      <c r="R77" s="2480"/>
      <c r="S77" s="2480"/>
      <c r="T77" s="2480"/>
      <c r="U77" s="2480"/>
      <c r="V77" s="2480"/>
      <c r="W77" s="2480"/>
      <c r="X77" s="2480"/>
      <c r="Y77" s="2480"/>
      <c r="Z77" s="2480"/>
      <c r="AA77" s="2480"/>
      <c r="AB77" s="2480"/>
      <c r="AC77" s="2480"/>
      <c r="AD77" s="2480"/>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5"/>
      <c r="O78" s="2515"/>
      <c r="P78" s="2513"/>
      <c r="Q78" s="2501"/>
      <c r="R78" s="2480"/>
      <c r="S78" s="2480"/>
      <c r="T78" s="2480"/>
      <c r="U78" s="2480"/>
      <c r="V78" s="2480"/>
      <c r="W78" s="2480"/>
      <c r="X78" s="2480"/>
      <c r="Y78" s="2480"/>
      <c r="Z78" s="2480"/>
      <c r="AA78" s="2480"/>
      <c r="AB78" s="2480"/>
      <c r="AC78" s="2480"/>
      <c r="AD78" s="2480"/>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3"/>
      <c r="O79" s="2513"/>
      <c r="P79" s="2513"/>
      <c r="Q79" s="2501"/>
      <c r="R79" s="2480"/>
      <c r="S79" s="2480"/>
      <c r="T79" s="2480"/>
      <c r="U79" s="2480"/>
      <c r="V79" s="2480"/>
      <c r="W79" s="2480"/>
      <c r="X79" s="2480"/>
      <c r="Y79" s="2480"/>
      <c r="Z79" s="2480"/>
      <c r="AA79" s="2480"/>
      <c r="AB79" s="2480"/>
      <c r="AC79" s="2480"/>
      <c r="AD79" s="2480"/>
    </row>
    <row r="80" spans="1:30" ht="15">
      <c r="A80" s="367"/>
      <c r="B80" s="477"/>
      <c r="C80" s="530">
        <v>0.5</v>
      </c>
      <c r="D80" s="530">
        <v>0.6</v>
      </c>
      <c r="E80" s="530">
        <v>0.7</v>
      </c>
      <c r="F80" s="530">
        <v>0.8</v>
      </c>
      <c r="G80" s="530">
        <v>0.9</v>
      </c>
      <c r="H80" s="530">
        <v>1.0001</v>
      </c>
      <c r="I80" s="581"/>
      <c r="J80" s="581"/>
      <c r="K80" s="588"/>
      <c r="L80" s="589"/>
      <c r="M80" s="590"/>
      <c r="N80" s="2513"/>
      <c r="O80" s="2513"/>
      <c r="P80" s="2513"/>
      <c r="Q80" s="2501"/>
      <c r="R80" s="2480"/>
      <c r="S80" s="2480"/>
      <c r="T80" s="2480"/>
      <c r="U80" s="2480"/>
      <c r="V80" s="2480"/>
      <c r="W80" s="2480"/>
      <c r="X80" s="2480"/>
      <c r="Y80" s="2480"/>
      <c r="Z80" s="2480"/>
      <c r="AA80" s="2480"/>
      <c r="AB80" s="2480"/>
      <c r="AC80" s="2480"/>
      <c r="AD80" s="2480"/>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9"/>
      <c r="B82" s="477" t="s">
        <v>1856</v>
      </c>
      <c r="C82" s="485"/>
      <c r="D82" s="485"/>
      <c r="E82" s="513"/>
      <c r="F82" s="513"/>
      <c r="G82" s="513"/>
      <c r="H82" s="513"/>
      <c r="I82" s="513"/>
      <c r="J82" s="513"/>
      <c r="K82" s="514"/>
      <c r="L82" s="515"/>
      <c r="M82" s="516"/>
      <c r="N82" s="2514"/>
      <c r="O82" s="2514"/>
      <c r="P82" s="2513"/>
      <c r="Q82" s="2501"/>
      <c r="R82" s="2480"/>
      <c r="S82" s="2480"/>
      <c r="T82" s="2480"/>
      <c r="U82" s="2480"/>
      <c r="V82" s="2480"/>
      <c r="W82" s="2480"/>
      <c r="X82" s="2480"/>
      <c r="Y82" s="2480"/>
      <c r="Z82" s="2480"/>
      <c r="AA82" s="2480"/>
      <c r="AB82" s="2480"/>
      <c r="AC82" s="2480"/>
      <c r="AD82" s="2480"/>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9"/>
      <c r="B84" s="469" t="s">
        <v>1864</v>
      </c>
      <c r="C84" s="485"/>
      <c r="D84" s="485"/>
      <c r="E84" s="485"/>
      <c r="F84" s="485"/>
      <c r="G84" s="485"/>
      <c r="H84" s="485"/>
      <c r="I84" s="513"/>
      <c r="J84" s="513"/>
      <c r="K84" s="514"/>
      <c r="L84" s="515"/>
      <c r="M84" s="516"/>
      <c r="N84" s="2514"/>
      <c r="O84" s="2514"/>
      <c r="P84" s="2513"/>
      <c r="Q84" s="2501"/>
      <c r="R84" s="2480"/>
      <c r="S84" s="2480"/>
      <c r="T84" s="2480"/>
      <c r="U84" s="2480"/>
      <c r="V84" s="2480"/>
      <c r="W84" s="2480"/>
      <c r="X84" s="2480"/>
      <c r="Y84" s="2480"/>
      <c r="Z84" s="2480"/>
      <c r="AA84" s="2480"/>
      <c r="AB84" s="2480"/>
      <c r="AC84" s="2480"/>
      <c r="AD84" s="2480"/>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9"/>
      <c r="B87" s="477"/>
      <c r="C87" s="6"/>
      <c r="D87" s="6"/>
      <c r="E87" s="6"/>
      <c r="F87" s="6"/>
      <c r="G87" s="6"/>
      <c r="H87" s="6"/>
      <c r="I87" s="6"/>
      <c r="J87" s="524"/>
      <c r="K87" s="524"/>
      <c r="L87" s="525"/>
      <c r="M87" s="526"/>
      <c r="N87" s="2514"/>
      <c r="O87" s="2514"/>
      <c r="P87" s="2513"/>
      <c r="Q87" s="2501"/>
      <c r="R87" s="2480"/>
      <c r="S87" s="2480"/>
      <c r="T87" s="2480"/>
      <c r="U87" s="2480"/>
      <c r="V87" s="2480"/>
      <c r="W87" s="2480"/>
      <c r="X87" s="2480"/>
      <c r="Y87" s="2480"/>
      <c r="Z87" s="2480"/>
      <c r="AA87" s="2480"/>
      <c r="AB87" s="2480"/>
      <c r="AC87" s="2480"/>
      <c r="AD87" s="2480"/>
    </row>
    <row r="88" spans="1:30" ht="15.75" thickBot="1">
      <c r="A88" s="367"/>
      <c r="B88" s="474"/>
      <c r="C88" s="491"/>
      <c r="D88" s="467"/>
      <c r="E88" s="467"/>
      <c r="F88" s="467"/>
      <c r="G88" s="467"/>
      <c r="H88" s="467"/>
      <c r="I88" s="467"/>
      <c r="J88" s="467"/>
      <c r="K88" s="467"/>
      <c r="L88" s="467"/>
      <c r="M88" s="467"/>
      <c r="N88" s="2515"/>
      <c r="O88" s="2515"/>
      <c r="P88" s="2513"/>
      <c r="Q88" s="2501"/>
      <c r="R88" s="2480"/>
      <c r="S88" s="2480"/>
      <c r="T88" s="2480"/>
      <c r="U88" s="2480"/>
      <c r="V88" s="2480"/>
      <c r="W88" s="2480"/>
      <c r="X88" s="2480"/>
      <c r="Y88" s="2480"/>
      <c r="Z88" s="2480"/>
      <c r="AA88" s="2480"/>
      <c r="AB88" s="2480"/>
      <c r="AC88" s="2480"/>
      <c r="AD88" s="2480"/>
    </row>
    <row r="89" spans="1:30" s="408" customFormat="1" ht="15" thickTop="1">
      <c r="A89" s="406"/>
      <c r="B89" s="469" t="s">
        <v>1866</v>
      </c>
      <c r="C89" s="485"/>
      <c r="D89" s="485"/>
      <c r="E89" s="485"/>
      <c r="F89" s="485"/>
      <c r="G89" s="485"/>
      <c r="H89" s="485"/>
      <c r="I89" s="485"/>
      <c r="J89" s="485"/>
      <c r="K89" s="485"/>
      <c r="L89" s="485"/>
      <c r="M89" s="511"/>
      <c r="N89" s="2516"/>
      <c r="O89" s="2516"/>
      <c r="P89" s="2516"/>
      <c r="Q89" s="2508"/>
      <c r="R89" s="2486"/>
      <c r="S89" s="2486"/>
      <c r="T89" s="2486"/>
      <c r="U89" s="2486"/>
      <c r="V89" s="2486"/>
      <c r="W89" s="2486"/>
      <c r="X89" s="2486"/>
      <c r="Y89" s="2486"/>
      <c r="Z89" s="2486"/>
      <c r="AA89" s="2486"/>
      <c r="AB89" s="2486"/>
      <c r="AC89" s="2486"/>
      <c r="AD89" s="2486"/>
    </row>
    <row r="90" spans="1:30" s="408" customFormat="1" ht="15.75" thickBot="1">
      <c r="A90" s="484"/>
      <c r="B90" s="474"/>
      <c r="C90" s="491"/>
      <c r="D90" s="467"/>
      <c r="E90" s="467"/>
      <c r="F90" s="467"/>
      <c r="G90" s="467"/>
      <c r="H90" s="467"/>
      <c r="I90" s="467"/>
      <c r="J90" s="467"/>
      <c r="K90" s="467"/>
      <c r="L90" s="467"/>
      <c r="M90" s="468"/>
      <c r="N90" s="2516"/>
      <c r="O90" s="2516"/>
      <c r="P90" s="2516"/>
      <c r="Q90" s="2508"/>
      <c r="R90" s="2486"/>
      <c r="S90" s="2486"/>
      <c r="T90" s="2486"/>
      <c r="U90" s="2486"/>
      <c r="V90" s="2486"/>
      <c r="W90" s="2486"/>
      <c r="X90" s="2486"/>
      <c r="Y90" s="2486"/>
      <c r="Z90" s="2486"/>
      <c r="AA90" s="2486"/>
      <c r="AB90" s="2486"/>
      <c r="AC90" s="2486"/>
      <c r="AD90" s="2486"/>
    </row>
    <row r="91" spans="1:30" ht="15" thickTop="1">
      <c r="A91" s="409"/>
      <c r="B91" s="469">
        <f>B32</f>
        <v>111</v>
      </c>
      <c r="C91" s="480"/>
      <c r="D91" s="480"/>
      <c r="E91" s="480"/>
      <c r="F91" s="480"/>
      <c r="G91" s="485"/>
      <c r="H91" s="486"/>
      <c r="I91" s="486"/>
      <c r="J91" s="486"/>
      <c r="K91" s="486"/>
      <c r="L91" s="487"/>
      <c r="M91" s="488"/>
      <c r="N91" s="2514"/>
      <c r="O91" s="2514"/>
      <c r="P91" s="2513"/>
      <c r="Q91" s="2501"/>
      <c r="R91" s="2480"/>
      <c r="S91" s="2480"/>
      <c r="T91" s="2480"/>
      <c r="U91" s="2480"/>
      <c r="V91" s="2480"/>
      <c r="W91" s="2480"/>
      <c r="X91" s="2480"/>
      <c r="Y91" s="2480"/>
      <c r="Z91" s="2480"/>
      <c r="AA91" s="2480"/>
      <c r="AB91" s="2480"/>
      <c r="AC91" s="2480"/>
      <c r="AD91" s="2480"/>
    </row>
    <row r="92" spans="1:30" ht="15.75" thickBot="1">
      <c r="A92" s="367"/>
      <c r="B92" s="474"/>
      <c r="C92" s="491"/>
      <c r="D92" s="467"/>
      <c r="E92" s="467"/>
      <c r="F92" s="467"/>
      <c r="G92" s="491"/>
      <c r="H92" s="493"/>
      <c r="I92" s="493"/>
      <c r="J92" s="493"/>
      <c r="K92" s="493"/>
      <c r="L92" s="493"/>
      <c r="M92" s="494"/>
      <c r="N92" s="2515"/>
      <c r="O92" s="2515"/>
      <c r="P92" s="2513"/>
      <c r="Q92" s="2501"/>
      <c r="R92" s="2480"/>
      <c r="S92" s="2480"/>
      <c r="T92" s="2480"/>
      <c r="U92" s="2480"/>
      <c r="V92" s="2480"/>
      <c r="W92" s="2480"/>
      <c r="X92" s="2480"/>
      <c r="Y92" s="2480"/>
      <c r="Z92" s="2480"/>
      <c r="AA92" s="2480"/>
      <c r="AB92" s="2480"/>
      <c r="AC92" s="2480"/>
      <c r="AD92" s="2480"/>
    </row>
    <row r="93" spans="1:30" ht="15" thickTop="1">
      <c r="A93" s="409"/>
      <c r="B93" s="469">
        <f>B33</f>
        <v>111</v>
      </c>
      <c r="C93" s="480"/>
      <c r="D93" s="480"/>
      <c r="E93" s="480"/>
      <c r="F93" s="480"/>
      <c r="G93" s="485"/>
      <c r="H93" s="486"/>
      <c r="I93" s="486"/>
      <c r="J93" s="486"/>
      <c r="K93" s="486"/>
      <c r="L93" s="487"/>
      <c r="M93" s="488"/>
      <c r="N93" s="2514"/>
      <c r="O93" s="2514"/>
      <c r="P93" s="2513"/>
      <c r="Q93" s="2501"/>
      <c r="R93" s="2480"/>
      <c r="S93" s="2480"/>
      <c r="T93" s="2480"/>
      <c r="U93" s="2480"/>
      <c r="V93" s="2480"/>
      <c r="W93" s="2480"/>
      <c r="X93" s="2480"/>
      <c r="Y93" s="2480"/>
      <c r="Z93" s="2480"/>
      <c r="AA93" s="2480"/>
      <c r="AB93" s="2480"/>
      <c r="AC93" s="2480"/>
      <c r="AD93" s="2480"/>
    </row>
    <row r="94" spans="1:30" ht="15.75" thickBot="1">
      <c r="A94" s="367"/>
      <c r="B94" s="474"/>
      <c r="C94" s="491"/>
      <c r="D94" s="467"/>
      <c r="E94" s="467"/>
      <c r="F94" s="467"/>
      <c r="G94" s="491"/>
      <c r="H94" s="493"/>
      <c r="I94" s="493"/>
      <c r="J94" s="493"/>
      <c r="K94" s="493"/>
      <c r="L94" s="493"/>
      <c r="M94" s="494"/>
      <c r="N94" s="2515"/>
      <c r="O94" s="2515"/>
      <c r="P94" s="2513"/>
      <c r="Q94" s="2501"/>
      <c r="R94" s="2480"/>
      <c r="S94" s="2480"/>
      <c r="T94" s="2480"/>
      <c r="U94" s="2480"/>
      <c r="V94" s="2480"/>
      <c r="W94" s="2480"/>
      <c r="X94" s="2480"/>
      <c r="Y94" s="2480"/>
      <c r="Z94" s="2480"/>
      <c r="AA94" s="2480"/>
      <c r="AB94" s="2480"/>
      <c r="AC94" s="2480"/>
      <c r="AD94" s="2480"/>
    </row>
    <row r="95" spans="1:30" ht="15" thickTop="1">
      <c r="A95" s="409"/>
      <c r="B95" s="560">
        <f>B34</f>
        <v>111</v>
      </c>
      <c r="C95" s="480"/>
      <c r="D95" s="480"/>
      <c r="E95" s="480"/>
      <c r="F95" s="480"/>
      <c r="G95" s="485"/>
      <c r="H95" s="486"/>
      <c r="I95" s="486"/>
      <c r="J95" s="486"/>
      <c r="K95" s="486"/>
      <c r="L95" s="487"/>
      <c r="M95" s="488"/>
      <c r="N95" s="2515"/>
      <c r="O95" s="2515"/>
      <c r="P95" s="2515"/>
      <c r="Q95" s="2529"/>
      <c r="R95" s="2480"/>
      <c r="S95" s="2480"/>
      <c r="T95" s="2480"/>
      <c r="U95" s="2480"/>
      <c r="V95" s="2480"/>
      <c r="W95" s="2480"/>
      <c r="X95" s="2480"/>
      <c r="Y95" s="2480"/>
      <c r="Z95" s="2480"/>
      <c r="AA95" s="2480"/>
      <c r="AB95" s="2480"/>
      <c r="AC95" s="2480"/>
      <c r="AD95" s="2480"/>
    </row>
    <row r="96" spans="1:30" ht="15.75" thickBot="1">
      <c r="A96" s="367"/>
      <c r="B96" s="474"/>
      <c r="C96" s="491"/>
      <c r="D96" s="491"/>
      <c r="E96" s="491"/>
      <c r="F96" s="491"/>
      <c r="G96" s="491"/>
      <c r="H96" s="493"/>
      <c r="I96" s="493"/>
      <c r="J96" s="493"/>
      <c r="K96" s="493"/>
      <c r="L96" s="493"/>
      <c r="M96" s="494"/>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78"/>
      <c r="B98" s="878"/>
      <c r="C98" s="878"/>
      <c r="D98" s="878"/>
      <c r="E98" s="878"/>
      <c r="F98" s="878"/>
      <c r="G98" s="878"/>
      <c r="H98" s="878"/>
      <c r="I98" s="878"/>
      <c r="J98" s="878"/>
      <c r="K98" s="879"/>
      <c r="L98" s="880"/>
      <c r="M98" s="878"/>
      <c r="N98" s="2480"/>
      <c r="O98" s="2480"/>
      <c r="P98" s="2480"/>
      <c r="Q98" s="2480"/>
      <c r="R98" s="2480"/>
      <c r="S98" s="2480"/>
      <c r="T98" s="2480"/>
      <c r="U98" s="2480"/>
      <c r="V98" s="2480"/>
      <c r="W98" s="2480"/>
      <c r="X98" s="2480"/>
      <c r="Y98" s="2480"/>
      <c r="Z98" s="2480"/>
      <c r="AA98" s="2480"/>
      <c r="AB98" s="2480"/>
      <c r="AC98" s="2480"/>
      <c r="AD98" s="2480"/>
    </row>
    <row r="99" spans="1:30">
      <c r="A99" s="878"/>
      <c r="B99" s="878"/>
      <c r="C99" s="878"/>
      <c r="D99" s="878"/>
      <c r="E99" s="878"/>
      <c r="F99" s="878"/>
      <c r="G99" s="878"/>
      <c r="H99" s="878"/>
      <c r="I99" s="878"/>
      <c r="J99" s="878"/>
      <c r="K99" s="879"/>
      <c r="L99" s="880"/>
      <c r="M99" s="878"/>
      <c r="N99" s="2480"/>
      <c r="O99" s="2480"/>
      <c r="P99" s="2480"/>
      <c r="Q99" s="2480"/>
      <c r="R99" s="2480"/>
      <c r="S99" s="2480"/>
      <c r="T99" s="2480"/>
      <c r="U99" s="2480"/>
      <c r="V99" s="2480"/>
      <c r="W99" s="2480"/>
      <c r="X99" s="2480"/>
      <c r="Y99" s="2480"/>
      <c r="Z99" s="2480"/>
      <c r="AA99" s="2480"/>
      <c r="AB99" s="2480"/>
      <c r="AC99" s="2480"/>
      <c r="AD99" s="2480"/>
    </row>
    <row r="100" spans="1:30">
      <c r="A100" s="878"/>
      <c r="B100" s="878"/>
      <c r="C100" s="878"/>
      <c r="D100" s="878"/>
      <c r="E100" s="878"/>
      <c r="F100" s="878"/>
      <c r="G100" s="878"/>
      <c r="H100" s="878"/>
      <c r="I100" s="878"/>
      <c r="J100" s="878"/>
      <c r="K100" s="879"/>
      <c r="L100" s="880"/>
      <c r="M100" s="878"/>
      <c r="N100" s="2480"/>
      <c r="O100" s="2480"/>
      <c r="P100" s="2480"/>
      <c r="Q100" s="2480"/>
      <c r="R100" s="2480"/>
      <c r="S100" s="2480"/>
      <c r="T100" s="2480"/>
      <c r="U100" s="2480"/>
      <c r="V100" s="2480"/>
      <c r="W100" s="2480"/>
      <c r="X100" s="2480"/>
      <c r="Y100" s="2480"/>
      <c r="Z100" s="2480"/>
      <c r="AA100" s="2480"/>
      <c r="AB100" s="2480"/>
      <c r="AC100" s="2480"/>
      <c r="AD100" s="2480"/>
    </row>
    <row r="101" spans="1:30">
      <c r="A101" s="878"/>
      <c r="B101" s="878"/>
      <c r="C101" s="878"/>
      <c r="D101" s="878"/>
      <c r="E101" s="878"/>
      <c r="F101" s="878"/>
      <c r="G101" s="878"/>
      <c r="H101" s="878"/>
      <c r="I101" s="878"/>
      <c r="J101" s="878"/>
      <c r="K101" s="879"/>
      <c r="L101" s="880"/>
      <c r="M101" s="878"/>
      <c r="N101" s="2480"/>
      <c r="O101" s="2480"/>
      <c r="P101" s="2480"/>
      <c r="Q101" s="2480"/>
      <c r="R101" s="2480"/>
      <c r="S101" s="2480"/>
      <c r="T101" s="2480"/>
      <c r="U101" s="2480"/>
      <c r="V101" s="2480"/>
      <c r="W101" s="2480"/>
      <c r="X101" s="2480"/>
      <c r="Y101" s="2480"/>
      <c r="Z101" s="2480"/>
      <c r="AA101" s="2480"/>
      <c r="AB101" s="2480"/>
      <c r="AC101" s="2480"/>
      <c r="AD101" s="2480"/>
    </row>
    <row r="102" spans="1:30">
      <c r="A102" s="878"/>
      <c r="B102" s="878"/>
      <c r="C102" s="878"/>
      <c r="D102" s="878"/>
      <c r="E102" s="878"/>
      <c r="F102" s="878"/>
      <c r="G102" s="878"/>
      <c r="H102" s="878"/>
      <c r="I102" s="878"/>
      <c r="J102" s="878"/>
      <c r="K102" s="879"/>
      <c r="L102" s="880"/>
      <c r="M102" s="878"/>
      <c r="N102" s="2480"/>
      <c r="O102" s="2480"/>
      <c r="P102" s="2480"/>
      <c r="Q102" s="2480"/>
      <c r="R102" s="2480"/>
      <c r="S102" s="2480"/>
      <c r="T102" s="2480"/>
      <c r="U102" s="2480"/>
      <c r="V102" s="2480"/>
      <c r="W102" s="2480"/>
      <c r="X102" s="2480"/>
      <c r="Y102" s="2480"/>
      <c r="Z102" s="2480"/>
      <c r="AA102" s="2480"/>
      <c r="AB102" s="2480"/>
      <c r="AC102" s="2480"/>
      <c r="AD102" s="2480"/>
    </row>
    <row r="103" spans="1:30">
      <c r="A103" s="878"/>
      <c r="B103" s="878"/>
      <c r="C103" s="878"/>
      <c r="D103" s="878"/>
      <c r="E103" s="878"/>
      <c r="F103" s="878"/>
      <c r="G103" s="878"/>
      <c r="H103" s="878"/>
      <c r="I103" s="878"/>
      <c r="J103" s="878"/>
      <c r="K103" s="879"/>
      <c r="L103" s="880"/>
      <c r="M103" s="878"/>
      <c r="N103" s="878"/>
      <c r="O103" s="878"/>
      <c r="P103" s="2480"/>
      <c r="Q103" s="2480"/>
      <c r="R103" s="2480"/>
      <c r="S103" s="2480"/>
      <c r="T103" s="2480"/>
      <c r="U103" s="2480"/>
      <c r="V103" s="2480"/>
      <c r="W103" s="2480"/>
      <c r="X103" s="2480"/>
      <c r="Y103" s="2480"/>
      <c r="Z103" s="2480"/>
      <c r="AA103" s="2480"/>
      <c r="AB103" s="2480"/>
      <c r="AC103" s="2480"/>
      <c r="AD103" s="2480"/>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0"/>
      <c r="D2" s="850"/>
      <c r="E2" s="851"/>
      <c r="F2" s="852"/>
      <c r="G2" s="851"/>
      <c r="H2" s="851"/>
      <c r="I2" s="851"/>
      <c r="J2" s="851"/>
      <c r="K2" s="853"/>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7"/>
      <c r="E3" s="851"/>
      <c r="F3" s="852"/>
      <c r="G3" s="851"/>
      <c r="H3" s="851"/>
      <c r="I3" s="851"/>
      <c r="J3" s="851"/>
      <c r="K3" s="853"/>
      <c r="L3" s="2496"/>
      <c r="M3" s="2497"/>
      <c r="N3" s="2497"/>
      <c r="O3" s="2497"/>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79"/>
      <c r="M4" s="2480"/>
      <c r="N4" s="2480"/>
      <c r="O4" s="2480"/>
      <c r="P4" s="3399" t="s">
        <v>1775</v>
      </c>
      <c r="Q4" s="3400"/>
      <c r="R4" s="3405" t="s">
        <v>1771</v>
      </c>
      <c r="S4" s="3406"/>
      <c r="T4" s="3405" t="s">
        <v>1772</v>
      </c>
      <c r="U4" s="3406"/>
      <c r="V4" s="3381" t="s">
        <v>1773</v>
      </c>
      <c r="W4" s="3381"/>
      <c r="X4" s="1261"/>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2479"/>
      <c r="M5" s="2480"/>
      <c r="N5" s="2480"/>
      <c r="O5" s="2480"/>
      <c r="P5" s="3401"/>
      <c r="Q5" s="3402"/>
      <c r="R5" s="3407"/>
      <c r="S5" s="3408"/>
      <c r="T5" s="3407"/>
      <c r="U5" s="3408"/>
      <c r="V5" s="3381"/>
      <c r="W5" s="3381"/>
      <c r="X5" s="1261"/>
      <c r="Y5" s="3407"/>
      <c r="Z5" s="3408"/>
      <c r="AA5" s="3393"/>
      <c r="AB5" s="3393"/>
      <c r="AC5" s="3393"/>
    </row>
    <row r="6" spans="1:29" ht="15.75" thickBot="1">
      <c r="A6" s="350"/>
      <c r="B6" s="351"/>
      <c r="C6" s="3411" t="s">
        <v>1677</v>
      </c>
      <c r="D6" s="3412"/>
      <c r="E6" s="3418" t="s">
        <v>1677</v>
      </c>
      <c r="F6" s="3419"/>
      <c r="G6" s="3411" t="s">
        <v>1677</v>
      </c>
      <c r="H6" s="3412"/>
      <c r="I6" s="3411" t="s">
        <v>1677</v>
      </c>
      <c r="J6" s="3412"/>
      <c r="K6" s="537" t="s">
        <v>1678</v>
      </c>
      <c r="L6" s="2479"/>
      <c r="M6" s="2480"/>
      <c r="N6" s="2480"/>
      <c r="O6" s="2480"/>
      <c r="P6" s="3403"/>
      <c r="Q6" s="3404"/>
      <c r="R6" s="3407"/>
      <c r="S6" s="3408"/>
      <c r="T6" s="3409"/>
      <c r="U6" s="3410"/>
      <c r="V6" s="3381"/>
      <c r="W6" s="3381"/>
      <c r="X6" s="1261"/>
      <c r="Y6" s="3409"/>
      <c r="Z6" s="3410"/>
      <c r="AA6" s="3394"/>
      <c r="AB6" s="3394"/>
      <c r="AC6" s="3394"/>
    </row>
    <row r="7" spans="1:29" s="102" customFormat="1" ht="15.75" thickBot="1">
      <c r="A7" s="352" t="s">
        <v>1679</v>
      </c>
      <c r="B7" s="353"/>
      <c r="C7" s="354">
        <f>'数据-取费表'!B2</f>
        <v>45940</v>
      </c>
      <c r="D7" s="355">
        <v>100</v>
      </c>
      <c r="E7" s="356"/>
      <c r="F7" s="357">
        <f>SUMIF(69:69,YEAR(E7)&amp;"-"&amp;INT((MONTH(E7)+2)/3),70:70)</f>
        <v>0</v>
      </c>
      <c r="G7" s="1816"/>
      <c r="H7" s="355">
        <f>SUMIF(69:69,YEAR(G7)&amp;"-"&amp;INT((MONTH(G7)+2)/3),70:70)</f>
        <v>0</v>
      </c>
      <c r="I7" s="1816"/>
      <c r="J7" s="355">
        <f>SUMIF(69:69,YEAR(I7)&amp;"-"&amp;INT((MONTH(I7)+2)/3),70:70)</f>
        <v>0</v>
      </c>
      <c r="K7" s="38"/>
      <c r="L7" s="2481"/>
      <c r="M7" s="2432"/>
      <c r="N7" s="2432"/>
      <c r="O7" s="2432"/>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1"/>
      <c r="M8" s="2432"/>
      <c r="N8" s="2432"/>
      <c r="O8" s="2432"/>
      <c r="P8" s="3415" t="s">
        <v>1683</v>
      </c>
      <c r="Q8" s="3416"/>
      <c r="R8" s="664" t="s">
        <v>14</v>
      </c>
      <c r="S8" s="665">
        <f t="shared" si="0"/>
        <v>0</v>
      </c>
      <c r="T8" s="664" t="s">
        <v>14</v>
      </c>
      <c r="U8" s="665">
        <f t="shared" si="1"/>
        <v>0</v>
      </c>
      <c r="V8" s="664" t="s">
        <v>14</v>
      </c>
      <c r="W8" s="665">
        <f t="shared" si="2"/>
        <v>0</v>
      </c>
      <c r="X8" s="666"/>
      <c r="Y8" s="3415" t="s">
        <v>1683</v>
      </c>
      <c r="Z8" s="3416"/>
      <c r="AA8" s="50" t="e">
        <f t="shared" ref="AA8:AA45" si="3">D8/F8</f>
        <v>#DIV/0!</v>
      </c>
      <c r="AB8" s="50" t="e">
        <f t="shared" ref="AB8:AB45" si="4">D8/H8</f>
        <v>#DIV/0!</v>
      </c>
      <c r="AC8" s="50" t="e">
        <f t="shared" ref="AC8:AC45" si="5">D8/J8</f>
        <v>#DIV/0!</v>
      </c>
    </row>
    <row r="9" spans="1:29" s="102" customFormat="1">
      <c r="A9" s="359" t="s">
        <v>1684</v>
      </c>
      <c r="B9" s="60" t="s">
        <v>1685</v>
      </c>
      <c r="C9" s="1819"/>
      <c r="D9" s="59">
        <v>100</v>
      </c>
      <c r="E9" s="1819"/>
      <c r="F9" s="59">
        <f>SUMIF(74:74,E9,75:75)-SUMIF(74:74,C9,75:75)+100</f>
        <v>100</v>
      </c>
      <c r="G9" s="1819"/>
      <c r="H9" s="59">
        <f>SUMIF(74:74,G9,75:75)-SUMIF(74:74,C9,75:75)+100</f>
        <v>100</v>
      </c>
      <c r="I9" s="1819"/>
      <c r="J9" s="59">
        <f>SUMIF(74:74,I9,75:75)-SUMIF(74:74,C9,75:75)+100</f>
        <v>100</v>
      </c>
      <c r="K9" s="38"/>
      <c r="L9" s="2481"/>
      <c r="M9" s="2432"/>
      <c r="N9" s="2432"/>
      <c r="O9" s="2533"/>
      <c r="P9" s="338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2"/>
      <c r="M10" s="2483"/>
      <c r="N10" s="2483"/>
      <c r="O10" s="2534"/>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4"/>
      <c r="M11" s="2480"/>
      <c r="N11" s="2480"/>
      <c r="O11" s="2535"/>
      <c r="P11" s="3380"/>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1"/>
      <c r="M12" s="2432"/>
      <c r="N12" s="2432"/>
      <c r="O12" s="2533"/>
      <c r="P12" s="3380"/>
      <c r="Q12" s="530" t="str">
        <f t="shared" si="6"/>
        <v>配建</v>
      </c>
      <c r="R12" s="664" t="s">
        <v>14</v>
      </c>
      <c r="S12" s="665">
        <f t="shared" si="0"/>
        <v>100</v>
      </c>
      <c r="T12" s="664" t="s">
        <v>14</v>
      </c>
      <c r="U12" s="665">
        <f t="shared" si="1"/>
        <v>100</v>
      </c>
      <c r="V12" s="664" t="s">
        <v>14</v>
      </c>
      <c r="W12" s="665">
        <f t="shared" si="2"/>
        <v>100</v>
      </c>
      <c r="X12" s="666"/>
      <c r="Y12" s="32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5"/>
      <c r="M13" s="2480"/>
      <c r="N13" s="2480"/>
      <c r="O13" s="2535"/>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D13/F13</f>
        <v>1</v>
      </c>
      <c r="AB13" s="50">
        <f>D13/H13</f>
        <v>1</v>
      </c>
      <c r="AC13" s="50">
        <f>D13/J13</f>
        <v>1</v>
      </c>
    </row>
    <row r="14" spans="1:29" ht="15.75" thickBot="1">
      <c r="A14" s="375"/>
      <c r="B14" s="1745">
        <v>111</v>
      </c>
      <c r="C14" s="376"/>
      <c r="D14" s="377">
        <v>100</v>
      </c>
      <c r="E14" s="480"/>
      <c r="F14" s="377">
        <f>SUMIF(85:85,E14,86:86)-SUMIF(85:85,C14,86:86)+100</f>
        <v>100</v>
      </c>
      <c r="G14" s="594"/>
      <c r="H14" s="377">
        <f>SUMIF(85:85,G14,86:86)-SUMIF(85:85,C14,86:86)+100</f>
        <v>100</v>
      </c>
      <c r="I14" s="594"/>
      <c r="J14" s="377">
        <f>SUMIF(85:85,I14,86:86)-SUMIF(85:85,C14,86:86)+100</f>
        <v>100</v>
      </c>
      <c r="K14" s="592"/>
      <c r="L14" s="2485"/>
      <c r="M14" s="2480"/>
      <c r="N14" s="2480"/>
      <c r="O14" s="2535"/>
      <c r="P14" s="3380"/>
      <c r="Q14" s="530">
        <f t="shared" si="6"/>
        <v>111</v>
      </c>
      <c r="R14" s="664" t="s">
        <v>14</v>
      </c>
      <c r="S14" s="665">
        <f t="shared" si="0"/>
        <v>100</v>
      </c>
      <c r="T14" s="664" t="s">
        <v>14</v>
      </c>
      <c r="U14" s="665">
        <f t="shared" si="1"/>
        <v>100</v>
      </c>
      <c r="V14" s="664" t="s">
        <v>14</v>
      </c>
      <c r="W14" s="665">
        <f t="shared" si="2"/>
        <v>100</v>
      </c>
      <c r="X14" s="666"/>
      <c r="Y14" s="3255"/>
      <c r="Z14" s="50">
        <f t="shared" si="7"/>
        <v>111</v>
      </c>
      <c r="AA14" s="50">
        <f>D14/F14</f>
        <v>1</v>
      </c>
      <c r="AB14" s="50">
        <f>D14/H14</f>
        <v>1</v>
      </c>
      <c r="AC14" s="50">
        <f>D14/J14</f>
        <v>1</v>
      </c>
    </row>
    <row r="15" spans="1:29" ht="99.75">
      <c r="A15" s="379" t="s">
        <v>1690</v>
      </c>
      <c r="B15" s="58" t="s">
        <v>1257</v>
      </c>
      <c r="C15" s="1746" t="str">
        <f>估价对象房地状况!C15</f>
        <v>周边有阳光嘉苑、瑞祥花园、园田花园、四月天等住宅小区，居住社区成熟度较好。</v>
      </c>
      <c r="D15" s="380">
        <v>100</v>
      </c>
      <c r="E15" s="381"/>
      <c r="F15" s="380">
        <f>SUMIF(87:87,E16,88:88)-SUMIF(87:87,C16,88:88)+100</f>
        <v>100</v>
      </c>
      <c r="G15" s="381"/>
      <c r="H15" s="380">
        <f>SUMIF(87:87,G16,88:88)-SUMIF(87:87,C16,88:88)+100</f>
        <v>100</v>
      </c>
      <c r="I15" s="383"/>
      <c r="J15" s="380">
        <f>SUMIF(87:87,I16,88:88)-SUMIF(87:87,C16,88:88)+100</f>
        <v>100</v>
      </c>
      <c r="K15" s="593"/>
      <c r="L15" s="2485"/>
      <c r="M15" s="2480"/>
      <c r="N15" s="2480"/>
      <c r="O15" s="2535"/>
      <c r="P15" s="3382" t="s">
        <v>1691</v>
      </c>
      <c r="Q15" s="1259" t="str">
        <f t="shared" si="6"/>
        <v>居住社区成熟度</v>
      </c>
      <c r="R15" s="667" t="s">
        <v>14</v>
      </c>
      <c r="S15" s="668">
        <f t="shared" si="0"/>
        <v>100</v>
      </c>
      <c r="T15" s="667" t="s">
        <v>14</v>
      </c>
      <c r="U15" s="668">
        <f t="shared" si="1"/>
        <v>100</v>
      </c>
      <c r="V15" s="667" t="s">
        <v>14</v>
      </c>
      <c r="W15" s="668">
        <f t="shared" si="2"/>
        <v>100</v>
      </c>
      <c r="X15" s="1261"/>
      <c r="Y15" s="3382" t="s">
        <v>1691</v>
      </c>
      <c r="Z15" s="1260" t="str">
        <f t="shared" si="7"/>
        <v>居住社区成熟度</v>
      </c>
      <c r="AA15" s="1260">
        <f t="shared" si="3"/>
        <v>1</v>
      </c>
      <c r="AB15" s="1260">
        <f t="shared" si="4"/>
        <v>1</v>
      </c>
      <c r="AC15" s="1260">
        <f t="shared" si="5"/>
        <v>1</v>
      </c>
    </row>
    <row r="16" spans="1:29" ht="15">
      <c r="A16" s="367"/>
      <c r="B16" s="385"/>
      <c r="C16" s="386"/>
      <c r="D16" s="387"/>
      <c r="E16" s="1748"/>
      <c r="F16" s="387"/>
      <c r="G16" s="1748"/>
      <c r="H16" s="389"/>
      <c r="I16" s="1747"/>
      <c r="J16" s="387"/>
      <c r="K16" s="592"/>
      <c r="L16" s="2485"/>
      <c r="M16" s="2480"/>
      <c r="N16" s="2480"/>
      <c r="O16" s="2535"/>
      <c r="P16" s="3383"/>
      <c r="Q16" s="1259"/>
      <c r="R16" s="667"/>
      <c r="S16" s="668"/>
      <c r="T16" s="667"/>
      <c r="U16" s="668"/>
      <c r="V16" s="667"/>
      <c r="W16" s="668"/>
      <c r="X16" s="1261"/>
      <c r="Y16" s="3383"/>
      <c r="Z16" s="1260"/>
      <c r="AA16" s="1260">
        <v>1</v>
      </c>
      <c r="AB16" s="1260">
        <v>1</v>
      </c>
      <c r="AC16" s="1260">
        <v>1</v>
      </c>
    </row>
    <row r="17" spans="1:29" ht="99.75">
      <c r="A17" s="367"/>
      <c r="B17" s="390" t="s">
        <v>1777</v>
      </c>
      <c r="C17" s="1800" t="str">
        <f>估价对象房地状况!C16</f>
        <v>估价对象位于北京城市副中心商务中心区，周边商业氛围较成熟，人流量较大，商业繁华度较好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85"/>
      <c r="M17" s="2480"/>
      <c r="N17" s="2480"/>
      <c r="O17" s="2535"/>
      <c r="P17" s="3383"/>
      <c r="Q17" s="1259" t="str">
        <f>B17</f>
        <v>商业繁华度</v>
      </c>
      <c r="R17" s="667" t="s">
        <v>14</v>
      </c>
      <c r="S17" s="668">
        <f>F17</f>
        <v>100</v>
      </c>
      <c r="T17" s="667" t="s">
        <v>14</v>
      </c>
      <c r="U17" s="668">
        <f>H17</f>
        <v>100</v>
      </c>
      <c r="V17" s="667" t="s">
        <v>14</v>
      </c>
      <c r="W17" s="668">
        <f>J17</f>
        <v>100</v>
      </c>
      <c r="X17" s="1261"/>
      <c r="Y17" s="3383"/>
      <c r="Z17" s="1260" t="str">
        <f>Q17</f>
        <v>商业繁华度</v>
      </c>
      <c r="AA17" s="1260">
        <f t="shared" si="3"/>
        <v>1</v>
      </c>
      <c r="AB17" s="1260">
        <f t="shared" si="4"/>
        <v>1</v>
      </c>
      <c r="AC17" s="1260">
        <f t="shared" si="5"/>
        <v>1</v>
      </c>
    </row>
    <row r="18" spans="1:29" ht="15">
      <c r="A18" s="367"/>
      <c r="B18" s="395"/>
      <c r="C18" s="1751"/>
      <c r="D18" s="389"/>
      <c r="E18" s="1753"/>
      <c r="F18" s="389"/>
      <c r="G18" s="1753"/>
      <c r="H18" s="387"/>
      <c r="I18" s="1752"/>
      <c r="J18" s="387"/>
      <c r="K18" s="592"/>
      <c r="L18" s="2485"/>
      <c r="M18" s="2480"/>
      <c r="N18" s="2480"/>
      <c r="O18" s="2535"/>
      <c r="P18" s="3383"/>
      <c r="Q18" s="1259"/>
      <c r="R18" s="667"/>
      <c r="S18" s="668"/>
      <c r="T18" s="667"/>
      <c r="U18" s="668"/>
      <c r="V18" s="667"/>
      <c r="W18" s="668"/>
      <c r="X18" s="1261"/>
      <c r="Y18" s="3383"/>
      <c r="Z18" s="1260"/>
      <c r="AA18" s="1260">
        <v>1</v>
      </c>
      <c r="AB18" s="1260">
        <v>1</v>
      </c>
      <c r="AC18" s="1260">
        <v>1</v>
      </c>
    </row>
    <row r="19" spans="1:29" ht="99.75">
      <c r="A19" s="367"/>
      <c r="B19" s="390" t="s">
        <v>1811</v>
      </c>
      <c r="C19" s="1800" t="str">
        <f>估价对象房地状况!C17</f>
        <v>估价对象位于北京城市副中心商务中心区，周边办公楼项目较多，入驻率较高，办公集聚程度较好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5"/>
      <c r="M19" s="2480"/>
      <c r="N19" s="2480"/>
      <c r="O19" s="2535"/>
      <c r="P19" s="3383"/>
      <c r="Q19" s="1259" t="str">
        <f>B19</f>
        <v>办公集聚程度</v>
      </c>
      <c r="R19" s="667" t="s">
        <v>14</v>
      </c>
      <c r="S19" s="668">
        <f>F19</f>
        <v>100</v>
      </c>
      <c r="T19" s="667" t="s">
        <v>14</v>
      </c>
      <c r="U19" s="668">
        <f>H19</f>
        <v>100</v>
      </c>
      <c r="V19" s="667" t="s">
        <v>14</v>
      </c>
      <c r="W19" s="668">
        <f>J19</f>
        <v>100</v>
      </c>
      <c r="X19" s="1261"/>
      <c r="Y19" s="3383"/>
      <c r="Z19" s="1260" t="str">
        <f>Q19</f>
        <v>办公集聚程度</v>
      </c>
      <c r="AA19" s="1260">
        <f t="shared" si="3"/>
        <v>1</v>
      </c>
      <c r="AB19" s="1260">
        <f t="shared" si="4"/>
        <v>1</v>
      </c>
      <c r="AC19" s="1260">
        <f t="shared" si="5"/>
        <v>1</v>
      </c>
    </row>
    <row r="20" spans="1:29" ht="15">
      <c r="A20" s="367"/>
      <c r="B20" s="395"/>
      <c r="C20" s="386"/>
      <c r="D20" s="387"/>
      <c r="E20" s="1748"/>
      <c r="F20" s="387"/>
      <c r="G20" s="1748"/>
      <c r="H20" s="387"/>
      <c r="I20" s="1747"/>
      <c r="J20" s="387"/>
      <c r="K20" s="592"/>
      <c r="L20" s="2485"/>
      <c r="M20" s="2480"/>
      <c r="N20" s="2480"/>
      <c r="O20" s="2535"/>
      <c r="P20" s="3383"/>
      <c r="Q20" s="1259"/>
      <c r="R20" s="667"/>
      <c r="S20" s="668"/>
      <c r="T20" s="667"/>
      <c r="U20" s="668"/>
      <c r="V20" s="667"/>
      <c r="W20" s="668"/>
      <c r="X20" s="1261"/>
      <c r="Y20" s="3383"/>
      <c r="Z20" s="1260"/>
      <c r="AA20" s="1260">
        <v>1</v>
      </c>
      <c r="AB20" s="1260">
        <v>1</v>
      </c>
      <c r="AC20" s="1260">
        <v>1</v>
      </c>
    </row>
    <row r="21" spans="1:29" ht="114">
      <c r="A21" s="367"/>
      <c r="B21" s="390" t="s">
        <v>1833</v>
      </c>
      <c r="C21" s="1750" t="str">
        <f>估价对象房地状况!C18</f>
        <v>估价对象周边有196路、B38路、Y25路等多条公交线路，综合评价交通便捷度一般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85"/>
      <c r="M21" s="2480"/>
      <c r="N21" s="2480"/>
      <c r="O21" s="2535"/>
      <c r="P21" s="3383"/>
      <c r="Q21" s="1259" t="str">
        <f>B21</f>
        <v>交通便捷度</v>
      </c>
      <c r="R21" s="667" t="s">
        <v>14</v>
      </c>
      <c r="S21" s="668">
        <f>F21</f>
        <v>100</v>
      </c>
      <c r="T21" s="667" t="s">
        <v>14</v>
      </c>
      <c r="U21" s="668">
        <f>H21</f>
        <v>100</v>
      </c>
      <c r="V21" s="667" t="s">
        <v>14</v>
      </c>
      <c r="W21" s="668">
        <f>J21</f>
        <v>100</v>
      </c>
      <c r="X21" s="1261"/>
      <c r="Y21" s="3383"/>
      <c r="Z21" s="1260" t="str">
        <f>Q21</f>
        <v>交通便捷度</v>
      </c>
      <c r="AA21" s="1260">
        <f t="shared" si="3"/>
        <v>1</v>
      </c>
      <c r="AB21" s="1260">
        <f t="shared" si="4"/>
        <v>1</v>
      </c>
      <c r="AC21" s="1260">
        <f t="shared" si="5"/>
        <v>1</v>
      </c>
    </row>
    <row r="22" spans="1:29" ht="15">
      <c r="A22" s="367"/>
      <c r="B22" s="586"/>
      <c r="C22" s="386"/>
      <c r="D22" s="389"/>
      <c r="E22" s="1748"/>
      <c r="F22" s="387"/>
      <c r="G22" s="1748"/>
      <c r="H22" s="387"/>
      <c r="I22" s="1747"/>
      <c r="J22" s="387"/>
      <c r="K22" s="592"/>
      <c r="L22" s="2485"/>
      <c r="M22" s="2480"/>
      <c r="N22" s="2480"/>
      <c r="O22" s="2535"/>
      <c r="P22" s="3383"/>
      <c r="Q22" s="1259"/>
      <c r="R22" s="667"/>
      <c r="S22" s="668"/>
      <c r="T22" s="667"/>
      <c r="U22" s="668"/>
      <c r="V22" s="667"/>
      <c r="W22" s="668"/>
      <c r="X22" s="1261"/>
      <c r="Y22" s="3383"/>
      <c r="Z22" s="1260"/>
      <c r="AA22" s="1260">
        <v>1</v>
      </c>
      <c r="AB22" s="1260">
        <v>1</v>
      </c>
      <c r="AC22" s="1260">
        <v>1</v>
      </c>
    </row>
    <row r="23" spans="1:29" ht="15">
      <c r="A23" s="348"/>
      <c r="B23" s="390" t="s">
        <v>1871</v>
      </c>
      <c r="C23" s="1065">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5"/>
      <c r="M23" s="2480"/>
      <c r="N23" s="2480"/>
      <c r="O23" s="2535"/>
      <c r="P23" s="3383"/>
      <c r="Q23" s="1259" t="str">
        <f t="shared" ref="Q23:Q37" si="8">B23</f>
        <v>区域土地利用方向</v>
      </c>
      <c r="R23" s="667" t="s">
        <v>14</v>
      </c>
      <c r="S23" s="668">
        <f>F23</f>
        <v>100</v>
      </c>
      <c r="T23" s="667" t="s">
        <v>14</v>
      </c>
      <c r="U23" s="668">
        <f>H23</f>
        <v>100</v>
      </c>
      <c r="V23" s="667" t="s">
        <v>14</v>
      </c>
      <c r="W23" s="668">
        <f>J23</f>
        <v>100</v>
      </c>
      <c r="X23" s="1261"/>
      <c r="Y23" s="3383"/>
      <c r="Z23" s="1260" t="str">
        <f>Q23</f>
        <v>区域土地利用方向</v>
      </c>
      <c r="AA23" s="1260">
        <f t="shared" si="3"/>
        <v>1</v>
      </c>
      <c r="AB23" s="1260">
        <f t="shared" si="4"/>
        <v>1</v>
      </c>
      <c r="AC23" s="1260">
        <f t="shared" si="5"/>
        <v>1</v>
      </c>
    </row>
    <row r="24" spans="1:29" ht="15">
      <c r="A24" s="348"/>
      <c r="B24" s="395"/>
      <c r="C24" s="542"/>
      <c r="D24" s="387"/>
      <c r="E24" s="1748"/>
      <c r="F24" s="387"/>
      <c r="G24" s="1747"/>
      <c r="H24" s="387"/>
      <c r="I24" s="1747"/>
      <c r="J24" s="387"/>
      <c r="K24" s="694"/>
      <c r="L24" s="2485"/>
      <c r="M24" s="2480"/>
      <c r="N24" s="2480"/>
      <c r="O24" s="2535"/>
      <c r="P24" s="3383"/>
      <c r="Q24" s="1259"/>
      <c r="R24" s="667"/>
      <c r="S24" s="668"/>
      <c r="T24" s="667"/>
      <c r="U24" s="668"/>
      <c r="V24" s="667"/>
      <c r="W24" s="668"/>
      <c r="X24" s="1261"/>
      <c r="Y24" s="3383"/>
      <c r="Z24" s="1260"/>
      <c r="AA24" s="1260"/>
      <c r="AB24" s="1260"/>
      <c r="AC24" s="1260"/>
    </row>
    <row r="25" spans="1:29" ht="114">
      <c r="A25" s="348"/>
      <c r="B25" s="586" t="s">
        <v>1872</v>
      </c>
      <c r="C25" s="1800" t="str">
        <f>估价对象房地状况!C20</f>
        <v>估价对象周边有河南省体育场馆中心、郑州海洋馆等人文景观，东风渠水系等自然景观，综合评价环境状况较好。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85"/>
      <c r="M25" s="2480"/>
      <c r="N25" s="2480"/>
      <c r="O25" s="2535"/>
      <c r="P25" s="3383"/>
      <c r="Q25" s="1259" t="str">
        <f t="shared" si="8"/>
        <v>自然及人文环境状况</v>
      </c>
      <c r="R25" s="667" t="s">
        <v>14</v>
      </c>
      <c r="S25" s="668">
        <f>F25</f>
        <v>100</v>
      </c>
      <c r="T25" s="667" t="s">
        <v>14</v>
      </c>
      <c r="U25" s="668">
        <f>H25</f>
        <v>100</v>
      </c>
      <c r="V25" s="667" t="s">
        <v>14</v>
      </c>
      <c r="W25" s="668">
        <f>J25</f>
        <v>100</v>
      </c>
      <c r="X25" s="1261"/>
      <c r="Y25" s="3383"/>
      <c r="Z25" s="1260" t="str">
        <f>Q25</f>
        <v>自然及人文环境状况</v>
      </c>
      <c r="AA25" s="1260">
        <f t="shared" si="3"/>
        <v>1</v>
      </c>
      <c r="AB25" s="1260">
        <f t="shared" si="4"/>
        <v>1</v>
      </c>
      <c r="AC25" s="1260">
        <f t="shared" si="5"/>
        <v>1</v>
      </c>
    </row>
    <row r="26" spans="1:29" ht="15">
      <c r="A26" s="348"/>
      <c r="B26" s="395"/>
      <c r="C26" s="386"/>
      <c r="D26" s="387"/>
      <c r="E26" s="1754"/>
      <c r="F26" s="387"/>
      <c r="G26" s="1754"/>
      <c r="H26" s="387"/>
      <c r="I26" s="386"/>
      <c r="J26" s="387"/>
      <c r="K26" s="592"/>
      <c r="L26" s="2485"/>
      <c r="M26" s="2480"/>
      <c r="N26" s="2480"/>
      <c r="O26" s="2535"/>
      <c r="P26" s="3383"/>
      <c r="Q26" s="1259"/>
      <c r="R26" s="667"/>
      <c r="S26" s="668"/>
      <c r="T26" s="667"/>
      <c r="U26" s="668"/>
      <c r="V26" s="667"/>
      <c r="W26" s="668"/>
      <c r="X26" s="1261"/>
      <c r="Y26" s="3383"/>
      <c r="Z26" s="1260"/>
      <c r="AA26" s="1260">
        <v>1</v>
      </c>
      <c r="AB26" s="1260">
        <v>1</v>
      </c>
      <c r="AC26" s="1260">
        <v>1</v>
      </c>
    </row>
    <row r="27" spans="1:29" s="102" customFormat="1" ht="370.5">
      <c r="A27" s="443"/>
      <c r="B27" s="586" t="s">
        <v>1778</v>
      </c>
      <c r="C27" s="1750"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27" s="389">
        <v>100</v>
      </c>
      <c r="E27" s="391"/>
      <c r="F27" s="389">
        <f>SUMIF(99:99,E28,100:100)-SUMIF(99:99,C28,100:100)+100</f>
        <v>100</v>
      </c>
      <c r="G27" s="391"/>
      <c r="H27" s="389">
        <f>SUMIF(99:99,G28,100:100)-SUMIF(99:99,C28,100:100)+100</f>
        <v>100</v>
      </c>
      <c r="I27" s="393"/>
      <c r="J27" s="389">
        <f>SUMIF(99:99,I28,100:100)-SUMIF(99:99,C28,100:100)+100</f>
        <v>100</v>
      </c>
      <c r="K27" s="593"/>
      <c r="L27" s="2481"/>
      <c r="M27" s="2432"/>
      <c r="N27" s="2432"/>
      <c r="O27" s="2533"/>
      <c r="P27" s="3383"/>
      <c r="Q27" s="530" t="str">
        <f t="shared" si="8"/>
        <v>公共配套设施</v>
      </c>
      <c r="R27" s="664" t="s">
        <v>14</v>
      </c>
      <c r="S27" s="665">
        <f>F27</f>
        <v>100</v>
      </c>
      <c r="T27" s="664" t="s">
        <v>14</v>
      </c>
      <c r="U27" s="665">
        <f>H27</f>
        <v>100</v>
      </c>
      <c r="V27" s="664" t="s">
        <v>14</v>
      </c>
      <c r="W27" s="665">
        <f>J27</f>
        <v>100</v>
      </c>
      <c r="X27" s="666"/>
      <c r="Y27" s="3383"/>
      <c r="Z27" s="50" t="str">
        <f>Q27</f>
        <v>公共配套设施</v>
      </c>
      <c r="AA27" s="1260">
        <f>D27/F27</f>
        <v>1</v>
      </c>
      <c r="AB27" s="1260">
        <f>D27/H27</f>
        <v>1</v>
      </c>
      <c r="AC27" s="1260">
        <f>D27/J27</f>
        <v>1</v>
      </c>
    </row>
    <row r="28" spans="1:29" s="102" customFormat="1" ht="15">
      <c r="A28" s="443"/>
      <c r="B28" s="395"/>
      <c r="C28" s="1820"/>
      <c r="D28" s="387"/>
      <c r="E28" s="1754"/>
      <c r="F28" s="387"/>
      <c r="G28" s="1754"/>
      <c r="H28" s="387"/>
      <c r="I28" s="386"/>
      <c r="J28" s="387"/>
      <c r="K28" s="592"/>
      <c r="L28" s="2481"/>
      <c r="M28" s="2432"/>
      <c r="N28" s="2432"/>
      <c r="O28" s="2533"/>
      <c r="P28" s="3383"/>
      <c r="Q28" s="530"/>
      <c r="R28" s="664"/>
      <c r="S28" s="665"/>
      <c r="T28" s="664"/>
      <c r="U28" s="665"/>
      <c r="V28" s="664"/>
      <c r="W28" s="665"/>
      <c r="X28" s="666"/>
      <c r="Y28" s="3383"/>
      <c r="Z28" s="50"/>
      <c r="AA28" s="1260">
        <v>1</v>
      </c>
      <c r="AB28" s="1260">
        <v>1</v>
      </c>
      <c r="AC28" s="1260">
        <v>1</v>
      </c>
    </row>
    <row r="29" spans="1:29" s="102" customFormat="1" ht="28.5">
      <c r="A29" s="443"/>
      <c r="B29" s="586" t="s">
        <v>1779</v>
      </c>
      <c r="C29" s="1750"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1"/>
      <c r="M29" s="2432"/>
      <c r="N29" s="2432"/>
      <c r="O29" s="2533"/>
      <c r="P29" s="3383"/>
      <c r="Q29" s="530" t="str">
        <f t="shared" ref="Q29" si="9">B29</f>
        <v>基础设施水平</v>
      </c>
      <c r="R29" s="664" t="s">
        <v>14</v>
      </c>
      <c r="S29" s="665">
        <f>F29</f>
        <v>100</v>
      </c>
      <c r="T29" s="664" t="s">
        <v>14</v>
      </c>
      <c r="U29" s="665">
        <f>H29</f>
        <v>100</v>
      </c>
      <c r="V29" s="664" t="s">
        <v>14</v>
      </c>
      <c r="W29" s="665">
        <f>J29</f>
        <v>100</v>
      </c>
      <c r="X29" s="666"/>
      <c r="Y29" s="3383"/>
      <c r="Z29" s="50" t="str">
        <f>Q29</f>
        <v>基础设施水平</v>
      </c>
      <c r="AA29" s="1260">
        <f>D29/F29</f>
        <v>1</v>
      </c>
      <c r="AB29" s="1260">
        <f>D29/H29</f>
        <v>1</v>
      </c>
      <c r="AC29" s="1260">
        <f>D29/J29</f>
        <v>1</v>
      </c>
    </row>
    <row r="30" spans="1:29" s="102" customFormat="1" ht="15">
      <c r="A30" s="443"/>
      <c r="B30" s="395"/>
      <c r="C30" s="1820"/>
      <c r="D30" s="387"/>
      <c r="E30" s="1821"/>
      <c r="F30" s="387"/>
      <c r="G30" s="1821"/>
      <c r="H30" s="387"/>
      <c r="I30" s="1821"/>
      <c r="J30" s="387"/>
      <c r="K30" s="592"/>
      <c r="L30" s="2481"/>
      <c r="M30" s="2432"/>
      <c r="N30" s="2432"/>
      <c r="O30" s="2533"/>
      <c r="P30" s="3383"/>
      <c r="Q30" s="530"/>
      <c r="R30" s="664"/>
      <c r="S30" s="665"/>
      <c r="T30" s="664"/>
      <c r="U30" s="665"/>
      <c r="V30" s="664"/>
      <c r="W30" s="665"/>
      <c r="X30" s="666"/>
      <c r="Y30" s="3383"/>
      <c r="Z30" s="50"/>
      <c r="AA30" s="1260">
        <v>1</v>
      </c>
      <c r="AB30" s="1260">
        <v>1</v>
      </c>
      <c r="AC30" s="1260">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5"/>
      <c r="M31" s="2480"/>
      <c r="N31" s="2480"/>
      <c r="O31" s="2535"/>
      <c r="P31" s="3383"/>
      <c r="Q31" s="1259" t="str">
        <f t="shared" si="8"/>
        <v>临街状况</v>
      </c>
      <c r="R31" s="667" t="s">
        <v>14</v>
      </c>
      <c r="S31" s="668">
        <f t="shared" ref="S31:S45" si="10">F31</f>
        <v>100</v>
      </c>
      <c r="T31" s="667" t="s">
        <v>14</v>
      </c>
      <c r="U31" s="668">
        <f t="shared" ref="U31:U45" si="11">H31</f>
        <v>100</v>
      </c>
      <c r="V31" s="667" t="s">
        <v>14</v>
      </c>
      <c r="W31" s="668">
        <f t="shared" ref="W31:W45" si="12">J31</f>
        <v>100</v>
      </c>
      <c r="X31" s="1261"/>
      <c r="Y31" s="3383"/>
      <c r="Z31" s="1260" t="str">
        <f t="shared" ref="Z31:Z45" si="13">Q31</f>
        <v>临街状况</v>
      </c>
      <c r="AA31" s="1260">
        <f t="shared" si="3"/>
        <v>1</v>
      </c>
      <c r="AB31" s="1260">
        <f t="shared" si="4"/>
        <v>1</v>
      </c>
      <c r="AC31" s="1260">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5"/>
      <c r="M32" s="2480"/>
      <c r="N32" s="2480"/>
      <c r="O32" s="2535"/>
      <c r="P32" s="3383"/>
      <c r="Q32" s="1259" t="str">
        <f t="shared" si="8"/>
        <v>毗邻道路的类型与等级</v>
      </c>
      <c r="R32" s="667" t="s">
        <v>14</v>
      </c>
      <c r="S32" s="668">
        <f t="shared" si="10"/>
        <v>100</v>
      </c>
      <c r="T32" s="667" t="s">
        <v>14</v>
      </c>
      <c r="U32" s="668">
        <f t="shared" si="11"/>
        <v>100</v>
      </c>
      <c r="V32" s="667" t="s">
        <v>14</v>
      </c>
      <c r="W32" s="668">
        <f t="shared" si="12"/>
        <v>100</v>
      </c>
      <c r="X32" s="1261"/>
      <c r="Y32" s="3383"/>
      <c r="Z32" s="1260" t="str">
        <f t="shared" si="13"/>
        <v>毗邻道路的类型与等级</v>
      </c>
      <c r="AA32" s="1260">
        <f t="shared" si="3"/>
        <v>1</v>
      </c>
      <c r="AB32" s="1260">
        <f t="shared" si="4"/>
        <v>1</v>
      </c>
      <c r="AC32" s="1260">
        <f t="shared" si="5"/>
        <v>1</v>
      </c>
    </row>
    <row r="33" spans="1:29" ht="15">
      <c r="A33" s="367"/>
      <c r="B33" s="395"/>
      <c r="C33" s="386"/>
      <c r="D33" s="387"/>
      <c r="E33" s="1754"/>
      <c r="F33" s="387"/>
      <c r="G33" s="1754"/>
      <c r="H33" s="387"/>
      <c r="I33" s="386"/>
      <c r="J33" s="387"/>
      <c r="K33" s="539"/>
      <c r="L33" s="2485"/>
      <c r="M33" s="2480"/>
      <c r="N33" s="2480"/>
      <c r="O33" s="2535"/>
      <c r="P33" s="3383"/>
      <c r="Q33" s="1259"/>
      <c r="R33" s="667"/>
      <c r="S33" s="668"/>
      <c r="T33" s="667"/>
      <c r="U33" s="668"/>
      <c r="V33" s="667"/>
      <c r="W33" s="668"/>
      <c r="X33" s="1261"/>
      <c r="Y33" s="3383"/>
      <c r="Z33" s="1260"/>
      <c r="AA33" s="1260">
        <v>1</v>
      </c>
      <c r="AB33" s="1260">
        <v>1</v>
      </c>
      <c r="AC33" s="1260">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5"/>
      <c r="M34" s="2480"/>
      <c r="N34" s="2480"/>
      <c r="O34" s="2535"/>
      <c r="P34" s="3383"/>
      <c r="Q34" s="1259" t="str">
        <f t="shared" si="8"/>
        <v>土地级别</v>
      </c>
      <c r="R34" s="667" t="s">
        <v>14</v>
      </c>
      <c r="S34" s="668">
        <f t="shared" si="10"/>
        <v>100</v>
      </c>
      <c r="T34" s="667" t="s">
        <v>14</v>
      </c>
      <c r="U34" s="668">
        <f t="shared" si="11"/>
        <v>100</v>
      </c>
      <c r="V34" s="667" t="s">
        <v>14</v>
      </c>
      <c r="W34" s="668">
        <f t="shared" si="12"/>
        <v>100</v>
      </c>
      <c r="X34" s="1261"/>
      <c r="Y34" s="3383"/>
      <c r="Z34" s="1260" t="str">
        <f t="shared" si="13"/>
        <v>土地级别</v>
      </c>
      <c r="AA34" s="1260">
        <f t="shared" si="3"/>
        <v>1</v>
      </c>
      <c r="AB34" s="1260">
        <f t="shared" si="4"/>
        <v>1</v>
      </c>
      <c r="AC34" s="1260">
        <f t="shared" si="5"/>
        <v>1</v>
      </c>
    </row>
    <row r="35" spans="1:29" ht="15">
      <c r="A35" s="348"/>
      <c r="B35" s="1062">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5"/>
      <c r="M35" s="2480"/>
      <c r="N35" s="2480"/>
      <c r="O35" s="2535"/>
      <c r="P35" s="3383"/>
      <c r="Q35" s="1259">
        <f t="shared" si="8"/>
        <v>111</v>
      </c>
      <c r="R35" s="667" t="s">
        <v>14</v>
      </c>
      <c r="S35" s="668">
        <f t="shared" si="10"/>
        <v>100</v>
      </c>
      <c r="T35" s="667" t="s">
        <v>14</v>
      </c>
      <c r="U35" s="668">
        <f t="shared" si="11"/>
        <v>100</v>
      </c>
      <c r="V35" s="667" t="s">
        <v>14</v>
      </c>
      <c r="W35" s="668">
        <f t="shared" si="12"/>
        <v>100</v>
      </c>
      <c r="X35" s="1261"/>
      <c r="Y35" s="3383"/>
      <c r="Z35" s="1260">
        <f t="shared" si="13"/>
        <v>111</v>
      </c>
      <c r="AA35" s="1260">
        <f t="shared" si="3"/>
        <v>1</v>
      </c>
      <c r="AB35" s="1260">
        <f t="shared" si="4"/>
        <v>1</v>
      </c>
      <c r="AC35" s="1260">
        <f t="shared" si="5"/>
        <v>1</v>
      </c>
    </row>
    <row r="36" spans="1:29" ht="15">
      <c r="A36" s="595"/>
      <c r="B36" s="1063">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5"/>
      <c r="M36" s="2480"/>
      <c r="N36" s="2480"/>
      <c r="O36" s="2535"/>
      <c r="P36" s="3437" t="s">
        <v>1696</v>
      </c>
      <c r="Q36" s="1259">
        <f t="shared" si="8"/>
        <v>111</v>
      </c>
      <c r="R36" s="667" t="s">
        <v>14</v>
      </c>
      <c r="S36" s="668">
        <f t="shared" si="10"/>
        <v>100</v>
      </c>
      <c r="T36" s="667" t="s">
        <v>14</v>
      </c>
      <c r="U36" s="668">
        <f t="shared" si="11"/>
        <v>100</v>
      </c>
      <c r="V36" s="667" t="s">
        <v>14</v>
      </c>
      <c r="W36" s="668">
        <f t="shared" si="12"/>
        <v>100</v>
      </c>
      <c r="X36" s="1261"/>
      <c r="Y36" s="3387" t="s">
        <v>1696</v>
      </c>
      <c r="Z36" s="1260">
        <f t="shared" si="13"/>
        <v>111</v>
      </c>
      <c r="AA36" s="1260">
        <f t="shared" si="3"/>
        <v>1</v>
      </c>
      <c r="AB36" s="1260">
        <f t="shared" si="4"/>
        <v>1</v>
      </c>
      <c r="AC36" s="1260">
        <f t="shared" si="5"/>
        <v>1</v>
      </c>
    </row>
    <row r="37" spans="1:29" s="408" customFormat="1" ht="15.75" thickBot="1">
      <c r="A37" s="596"/>
      <c r="B37" s="1064">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4"/>
      <c r="M37" s="2486"/>
      <c r="N37" s="2486"/>
      <c r="O37" s="2536"/>
      <c r="P37" s="3387"/>
      <c r="Q37" s="1259">
        <f t="shared" si="8"/>
        <v>111</v>
      </c>
      <c r="R37" s="669" t="s">
        <v>14</v>
      </c>
      <c r="S37" s="670">
        <f t="shared" si="10"/>
        <v>100</v>
      </c>
      <c r="T37" s="669" t="s">
        <v>14</v>
      </c>
      <c r="U37" s="670">
        <f t="shared" si="11"/>
        <v>100</v>
      </c>
      <c r="V37" s="669" t="s">
        <v>14</v>
      </c>
      <c r="W37" s="670">
        <f t="shared" si="12"/>
        <v>100</v>
      </c>
      <c r="X37" s="671"/>
      <c r="Y37" s="3387"/>
      <c r="Z37" s="672">
        <f t="shared" si="13"/>
        <v>111</v>
      </c>
      <c r="AA37" s="1260">
        <f t="shared" si="3"/>
        <v>1</v>
      </c>
      <c r="AB37" s="1260">
        <f t="shared" si="4"/>
        <v>1</v>
      </c>
      <c r="AC37" s="1260">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5"/>
      <c r="M38" s="2480"/>
      <c r="N38" s="2480"/>
      <c r="O38" s="2535"/>
      <c r="P38" s="3387"/>
      <c r="Q38" s="1259" t="str">
        <f>B38</f>
        <v>宗地面积</v>
      </c>
      <c r="R38" s="667" t="s">
        <v>14</v>
      </c>
      <c r="S38" s="668" t="e">
        <f t="shared" si="10"/>
        <v>#N/A</v>
      </c>
      <c r="T38" s="667" t="s">
        <v>14</v>
      </c>
      <c r="U38" s="668" t="e">
        <f t="shared" si="11"/>
        <v>#N/A</v>
      </c>
      <c r="V38" s="667" t="s">
        <v>14</v>
      </c>
      <c r="W38" s="668" t="e">
        <f t="shared" si="12"/>
        <v>#N/A</v>
      </c>
      <c r="X38" s="1261"/>
      <c r="Y38" s="3387"/>
      <c r="Z38" s="1260" t="str">
        <f t="shared" si="13"/>
        <v>宗地面积</v>
      </c>
      <c r="AA38" s="1260" t="e">
        <f t="shared" si="3"/>
        <v>#N/A</v>
      </c>
      <c r="AB38" s="1260" t="e">
        <f t="shared" si="4"/>
        <v>#N/A</v>
      </c>
      <c r="AC38" s="1260" t="e">
        <f t="shared" si="5"/>
        <v>#N/A</v>
      </c>
    </row>
    <row r="39" spans="1:29" ht="15">
      <c r="A39" s="409"/>
      <c r="B39" s="364" t="s">
        <v>1875</v>
      </c>
      <c r="C39" s="1756"/>
      <c r="D39" s="374">
        <v>100</v>
      </c>
      <c r="E39" s="1756"/>
      <c r="F39" s="374">
        <f>SUMIF(118:118,E39,119:119)-SUMIF(118:118,C39,119:119)+100</f>
        <v>100</v>
      </c>
      <c r="G39" s="1756"/>
      <c r="H39" s="374">
        <f>SUMIF(118:118,G39,119:119)-SUMIF(118:118,C39,119:119)+100</f>
        <v>100</v>
      </c>
      <c r="I39" s="1756"/>
      <c r="J39" s="374">
        <f>SUMIF(118:118,I39,119:119)-SUMIF(118:118,C39,119:119)+100</f>
        <v>100</v>
      </c>
      <c r="K39" s="538"/>
      <c r="L39" s="2485"/>
      <c r="M39" s="2480"/>
      <c r="N39" s="2480"/>
      <c r="O39" s="2535"/>
      <c r="P39" s="3387"/>
      <c r="Q39" s="1259" t="str">
        <f t="shared" ref="Q39:Q45" si="14">B39</f>
        <v>宗地形状</v>
      </c>
      <c r="R39" s="667" t="s">
        <v>14</v>
      </c>
      <c r="S39" s="668">
        <f t="shared" si="10"/>
        <v>100</v>
      </c>
      <c r="T39" s="667" t="s">
        <v>14</v>
      </c>
      <c r="U39" s="668">
        <f t="shared" si="11"/>
        <v>100</v>
      </c>
      <c r="V39" s="667" t="s">
        <v>14</v>
      </c>
      <c r="W39" s="668">
        <f t="shared" si="12"/>
        <v>100</v>
      </c>
      <c r="X39" s="1261"/>
      <c r="Y39" s="3387"/>
      <c r="Z39" s="1260" t="str">
        <f t="shared" si="13"/>
        <v>宗地形状</v>
      </c>
      <c r="AA39" s="1260">
        <f t="shared" si="3"/>
        <v>1</v>
      </c>
      <c r="AB39" s="1260">
        <f t="shared" si="4"/>
        <v>1</v>
      </c>
      <c r="AC39" s="1260">
        <f t="shared" si="5"/>
        <v>1</v>
      </c>
    </row>
    <row r="40" spans="1:29" ht="15">
      <c r="A40" s="409"/>
      <c r="B40" s="364" t="s">
        <v>1876</v>
      </c>
      <c r="C40" s="1756"/>
      <c r="D40" s="374">
        <v>100</v>
      </c>
      <c r="E40" s="1756"/>
      <c r="F40" s="374">
        <f>SUMIF(120:120,E40,121:121)-SUMIF(120:120,C40,121:121)+100</f>
        <v>100</v>
      </c>
      <c r="G40" s="1756"/>
      <c r="H40" s="374">
        <f>SUMIF(120:120,G40,121:121)-SUMIF(120:120,C40,121:121)+100</f>
        <v>100</v>
      </c>
      <c r="I40" s="1756"/>
      <c r="J40" s="374">
        <f>SUMIF(120:120,I40,121:121)-SUMIF(120:120,C40,121:121)+100</f>
        <v>100</v>
      </c>
      <c r="K40" s="538"/>
      <c r="L40" s="2485"/>
      <c r="M40" s="2480"/>
      <c r="N40" s="2480"/>
      <c r="O40" s="2535"/>
      <c r="P40" s="3387"/>
      <c r="Q40" s="1259" t="str">
        <f t="shared" si="14"/>
        <v>临街宽度及深度</v>
      </c>
      <c r="R40" s="667" t="s">
        <v>14</v>
      </c>
      <c r="S40" s="668">
        <f t="shared" si="10"/>
        <v>100</v>
      </c>
      <c r="T40" s="667" t="s">
        <v>14</v>
      </c>
      <c r="U40" s="668">
        <f t="shared" si="11"/>
        <v>100</v>
      </c>
      <c r="V40" s="667" t="s">
        <v>14</v>
      </c>
      <c r="W40" s="668">
        <f t="shared" si="12"/>
        <v>100</v>
      </c>
      <c r="X40" s="1261"/>
      <c r="Y40" s="3387"/>
      <c r="Z40" s="1260" t="str">
        <f t="shared" si="13"/>
        <v>临街宽度及深度</v>
      </c>
      <c r="AA40" s="1260">
        <f t="shared" si="3"/>
        <v>1</v>
      </c>
      <c r="AB40" s="1260">
        <f t="shared" si="4"/>
        <v>1</v>
      </c>
      <c r="AC40" s="1260">
        <f t="shared" si="5"/>
        <v>1</v>
      </c>
    </row>
    <row r="41" spans="1:29" s="102" customFormat="1" ht="15">
      <c r="A41" s="410"/>
      <c r="B41" s="364" t="s">
        <v>1877</v>
      </c>
      <c r="C41" s="1822"/>
      <c r="D41" s="119">
        <v>100</v>
      </c>
      <c r="E41" s="1822"/>
      <c r="F41" s="374">
        <f>SUMIF(122:122,E41,123:123)-SUMIF(122:122,C41,123:123)+100</f>
        <v>100</v>
      </c>
      <c r="G41" s="1822"/>
      <c r="H41" s="374">
        <f>SUMIF(122:122,G41,123:123)-SUMIF(122:122,C41,123:123)+100</f>
        <v>100</v>
      </c>
      <c r="I41" s="1822"/>
      <c r="J41" s="374">
        <f>SUMIF(122:122,I41,123:123)-SUMIF(122:122,C41,123:123)+100</f>
        <v>100</v>
      </c>
      <c r="K41" s="538"/>
      <c r="L41" s="2481"/>
      <c r="M41" s="2432"/>
      <c r="N41" s="2432"/>
      <c r="O41" s="2533"/>
      <c r="P41" s="3387"/>
      <c r="Q41" s="1259" t="str">
        <f t="shared" si="14"/>
        <v>宗地开发程度</v>
      </c>
      <c r="R41" s="664" t="s">
        <v>14</v>
      </c>
      <c r="S41" s="665">
        <f t="shared" si="10"/>
        <v>100</v>
      </c>
      <c r="T41" s="664" t="s">
        <v>14</v>
      </c>
      <c r="U41" s="665">
        <f t="shared" si="11"/>
        <v>100</v>
      </c>
      <c r="V41" s="664" t="s">
        <v>14</v>
      </c>
      <c r="W41" s="665">
        <f t="shared" si="12"/>
        <v>100</v>
      </c>
      <c r="X41" s="666"/>
      <c r="Y41" s="3387"/>
      <c r="Z41" s="50" t="str">
        <f t="shared" si="13"/>
        <v>宗地开发程度</v>
      </c>
      <c r="AA41" s="50">
        <f t="shared" si="3"/>
        <v>1</v>
      </c>
      <c r="AB41" s="50">
        <f t="shared" si="4"/>
        <v>1</v>
      </c>
      <c r="AC41" s="50">
        <f t="shared" si="5"/>
        <v>1</v>
      </c>
    </row>
    <row r="42" spans="1:29" ht="15">
      <c r="A42" s="409"/>
      <c r="B42" s="364" t="s">
        <v>1878</v>
      </c>
      <c r="C42" s="1756"/>
      <c r="D42" s="374">
        <v>100</v>
      </c>
      <c r="E42" s="1756"/>
      <c r="F42" s="374">
        <f>SUMIF(124:124,E42,125:125)-SUMIF(124:124,C42,125:125)+100</f>
        <v>100</v>
      </c>
      <c r="G42" s="1756"/>
      <c r="H42" s="374">
        <f>SUMIF(124:124,G42,125:125)-SUMIF(124:124,C42,125:125)+100</f>
        <v>100</v>
      </c>
      <c r="I42" s="1756"/>
      <c r="J42" s="374">
        <f>SUMIF(124:124,I42,125:125)-SUMIF(124:124,C42,125:125)+100</f>
        <v>100</v>
      </c>
      <c r="K42" s="538"/>
      <c r="L42" s="2485"/>
      <c r="M42" s="2480"/>
      <c r="N42" s="2480"/>
      <c r="O42" s="2535"/>
      <c r="P42" s="3387" t="s">
        <v>1696</v>
      </c>
      <c r="Q42" s="1259" t="str">
        <f t="shared" si="14"/>
        <v>工程地质条件</v>
      </c>
      <c r="R42" s="667" t="s">
        <v>14</v>
      </c>
      <c r="S42" s="668">
        <f t="shared" si="10"/>
        <v>100</v>
      </c>
      <c r="T42" s="667" t="s">
        <v>14</v>
      </c>
      <c r="U42" s="668">
        <f t="shared" si="11"/>
        <v>100</v>
      </c>
      <c r="V42" s="667" t="s">
        <v>14</v>
      </c>
      <c r="W42" s="668">
        <f t="shared" si="12"/>
        <v>100</v>
      </c>
      <c r="X42" s="1261"/>
      <c r="Y42" s="3387" t="s">
        <v>1696</v>
      </c>
      <c r="Z42" s="1260" t="str">
        <f t="shared" si="13"/>
        <v>工程地质条件</v>
      </c>
      <c r="AA42" s="1260">
        <f t="shared" si="3"/>
        <v>1</v>
      </c>
      <c r="AB42" s="1260">
        <f t="shared" si="4"/>
        <v>1</v>
      </c>
      <c r="AC42" s="1260">
        <f t="shared" si="5"/>
        <v>1</v>
      </c>
    </row>
    <row r="43" spans="1:29" ht="15">
      <c r="A43" s="409"/>
      <c r="B43" s="1063">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5"/>
      <c r="M43" s="2480"/>
      <c r="N43" s="2480"/>
      <c r="O43" s="2535"/>
      <c r="P43" s="3387"/>
      <c r="Q43" s="1259">
        <f t="shared" si="14"/>
        <v>111</v>
      </c>
      <c r="R43" s="667" t="s">
        <v>14</v>
      </c>
      <c r="S43" s="668">
        <f t="shared" si="10"/>
        <v>100</v>
      </c>
      <c r="T43" s="667" t="s">
        <v>14</v>
      </c>
      <c r="U43" s="668">
        <f t="shared" si="11"/>
        <v>100</v>
      </c>
      <c r="V43" s="667" t="s">
        <v>14</v>
      </c>
      <c r="W43" s="668">
        <f t="shared" si="12"/>
        <v>100</v>
      </c>
      <c r="X43" s="1261"/>
      <c r="Y43" s="3387"/>
      <c r="Z43" s="1260">
        <f t="shared" si="13"/>
        <v>111</v>
      </c>
      <c r="AA43" s="1260">
        <f t="shared" si="3"/>
        <v>1</v>
      </c>
      <c r="AB43" s="1260">
        <f t="shared" si="4"/>
        <v>1</v>
      </c>
      <c r="AC43" s="1260">
        <f t="shared" si="5"/>
        <v>1</v>
      </c>
    </row>
    <row r="44" spans="1:29" ht="15">
      <c r="A44" s="409"/>
      <c r="B44" s="1063">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5"/>
      <c r="M44" s="2480"/>
      <c r="N44" s="2480"/>
      <c r="O44" s="2535"/>
      <c r="P44" s="3387"/>
      <c r="Q44" s="1259">
        <f t="shared" si="14"/>
        <v>111</v>
      </c>
      <c r="R44" s="667" t="s">
        <v>14</v>
      </c>
      <c r="S44" s="668">
        <f t="shared" si="10"/>
        <v>100</v>
      </c>
      <c r="T44" s="667" t="s">
        <v>14</v>
      </c>
      <c r="U44" s="668">
        <f t="shared" si="11"/>
        <v>100</v>
      </c>
      <c r="V44" s="667" t="s">
        <v>14</v>
      </c>
      <c r="W44" s="668">
        <f t="shared" si="12"/>
        <v>100</v>
      </c>
      <c r="X44" s="1261"/>
      <c r="Y44" s="3387"/>
      <c r="Z44" s="1260">
        <f t="shared" si="13"/>
        <v>111</v>
      </c>
      <c r="AA44" s="1260">
        <f t="shared" si="3"/>
        <v>1</v>
      </c>
      <c r="AB44" s="1260">
        <f t="shared" si="4"/>
        <v>1</v>
      </c>
      <c r="AC44" s="1260">
        <f t="shared" si="5"/>
        <v>1</v>
      </c>
    </row>
    <row r="45" spans="1:29" s="408" customFormat="1" ht="15.75" thickBot="1">
      <c r="A45" s="406"/>
      <c r="B45" s="1063">
        <v>111</v>
      </c>
      <c r="C45" s="1823"/>
      <c r="D45" s="600">
        <v>100</v>
      </c>
      <c r="E45" s="594"/>
      <c r="F45" s="377">
        <f>SUMIF(130:130,E45,131:131)-SUMIF(130:130,C45,131:131)+100</f>
        <v>100</v>
      </c>
      <c r="G45" s="594"/>
      <c r="H45" s="377">
        <f>SUMIF(130:130,G45,131:131)-SUMIF(130:130,C45,131:131)+100</f>
        <v>100</v>
      </c>
      <c r="I45" s="594"/>
      <c r="J45" s="377">
        <f>SUMIF(130:130,I45,131:131)-SUMIF(130:130,C45,131:131)+100</f>
        <v>100</v>
      </c>
      <c r="K45" s="601"/>
      <c r="L45" s="2484"/>
      <c r="M45" s="2486"/>
      <c r="N45" s="2486"/>
      <c r="O45" s="2536"/>
      <c r="P45" s="3387"/>
      <c r="Q45" s="1259">
        <f t="shared" si="14"/>
        <v>111</v>
      </c>
      <c r="R45" s="669" t="s">
        <v>14</v>
      </c>
      <c r="S45" s="670">
        <f t="shared" si="10"/>
        <v>100</v>
      </c>
      <c r="T45" s="669" t="s">
        <v>14</v>
      </c>
      <c r="U45" s="670">
        <f t="shared" si="11"/>
        <v>100</v>
      </c>
      <c r="V45" s="669" t="s">
        <v>14</v>
      </c>
      <c r="W45" s="670">
        <f t="shared" si="12"/>
        <v>100</v>
      </c>
      <c r="X45" s="671"/>
      <c r="Y45" s="3387"/>
      <c r="Z45" s="672">
        <f t="shared" si="13"/>
        <v>111</v>
      </c>
      <c r="AA45" s="1260">
        <f t="shared" si="3"/>
        <v>1</v>
      </c>
      <c r="AB45" s="1260">
        <f t="shared" si="4"/>
        <v>1</v>
      </c>
      <c r="AC45" s="1260">
        <f t="shared" si="5"/>
        <v>1</v>
      </c>
    </row>
    <row r="46" spans="1:29" ht="15">
      <c r="A46" s="416" t="s">
        <v>1844</v>
      </c>
      <c r="B46" s="1824" t="s">
        <v>1879</v>
      </c>
      <c r="C46" s="602" t="s">
        <v>0</v>
      </c>
      <c r="D46" s="418"/>
      <c r="E46" s="419"/>
      <c r="F46" s="420"/>
      <c r="G46" s="421"/>
      <c r="H46" s="422"/>
      <c r="I46" s="419"/>
      <c r="J46" s="422"/>
      <c r="K46" s="674"/>
      <c r="L46" s="2487"/>
      <c r="M46" s="2480"/>
      <c r="N46" s="2480"/>
      <c r="O46" s="2480"/>
      <c r="P46" s="3380" t="str">
        <f>A46</f>
        <v>成交单价</v>
      </c>
      <c r="Q46" s="3380"/>
      <c r="R46" s="3381">
        <f>E46</f>
        <v>0</v>
      </c>
      <c r="S46" s="3381"/>
      <c r="T46" s="3381">
        <f>G46</f>
        <v>0</v>
      </c>
      <c r="U46" s="3381"/>
      <c r="V46" s="3381">
        <f>I46</f>
        <v>0</v>
      </c>
      <c r="W46" s="3381"/>
      <c r="X46" s="385"/>
      <c r="Y46" s="673"/>
      <c r="Z46" s="385"/>
      <c r="AA46" s="385"/>
      <c r="AB46" s="385"/>
      <c r="AC46" s="385"/>
    </row>
    <row r="47" spans="1:29" ht="15.75" thickBot="1">
      <c r="A47" s="423" t="s">
        <v>1793</v>
      </c>
      <c r="B47" s="603"/>
      <c r="C47" s="426" t="e">
        <f>R48</f>
        <v>#DIV/0!</v>
      </c>
      <c r="D47" s="2135" t="s">
        <v>2138</v>
      </c>
      <c r="E47" s="426" t="e">
        <f>R47</f>
        <v>#DIV/0!</v>
      </c>
      <c r="F47" s="2136"/>
      <c r="G47" s="425" t="e">
        <f>T47</f>
        <v>#DIV/0!</v>
      </c>
      <c r="H47" s="2136"/>
      <c r="I47" s="426" t="e">
        <f>V47</f>
        <v>#DIV/0!</v>
      </c>
      <c r="J47" s="2136"/>
      <c r="K47" s="2138">
        <f>F47+H47+J47</f>
        <v>0</v>
      </c>
      <c r="L47" s="2487"/>
      <c r="M47" s="2480"/>
      <c r="N47" s="2480"/>
      <c r="O47" s="2480"/>
      <c r="P47" s="3380" t="str">
        <f>A47</f>
        <v>比较价值（元/平方米）</v>
      </c>
      <c r="Q47" s="3380"/>
      <c r="R47" s="3439" t="e">
        <f>ROUND(PRODUCT(R46,AA7:AA45),0)</f>
        <v>#DIV/0!</v>
      </c>
      <c r="S47" s="3439"/>
      <c r="T47" s="3439" t="e">
        <f>ROUND(PRODUCT(T46,AB7:AB45),0)</f>
        <v>#DIV/0!</v>
      </c>
      <c r="U47" s="3439"/>
      <c r="V47" s="3439" t="e">
        <f>ROUND(PRODUCT(V46,AC7:AC45),0)</f>
        <v>#DIV/0!</v>
      </c>
      <c r="W47" s="343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87"/>
      <c r="M48" s="2480"/>
      <c r="N48" s="2480"/>
      <c r="O48" s="2480"/>
      <c r="P48" s="3377" t="str">
        <f>A48</f>
        <v>估价对象XX用房的比较价值（楼面单价，元/平方米）</v>
      </c>
      <c r="Q48" s="3378"/>
      <c r="R48" s="3440" t="e">
        <f>ROUND(IF(D47="简单平均",AVERAGE(R47:W47),R47*F47+T47*H47+V47*J47),0)</f>
        <v>#DIV/0!</v>
      </c>
      <c r="S48" s="3440"/>
      <c r="T48" s="3440"/>
      <c r="U48" s="3440"/>
      <c r="V48" s="3440"/>
      <c r="W48" s="3440"/>
      <c r="X48" s="385"/>
      <c r="Y48" s="385"/>
      <c r="Z48" s="385"/>
      <c r="AA48" s="385"/>
      <c r="AB48" s="385"/>
      <c r="AC48" s="385"/>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7" customFormat="1" ht="13.5" customHeight="1">
      <c r="A53" s="2490"/>
      <c r="B53" s="2490"/>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7" customFormat="1" ht="15" thickBot="1">
      <c r="A54" s="2490"/>
      <c r="B54" s="2493"/>
      <c r="C54" s="657"/>
      <c r="D54" s="655"/>
      <c r="E54" s="655"/>
      <c r="F54" s="655"/>
      <c r="G54" s="655"/>
      <c r="H54" s="655"/>
      <c r="I54" s="655"/>
      <c r="J54" s="655"/>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4" t="s">
        <v>1881</v>
      </c>
      <c r="B55" s="605" t="s">
        <v>1882</v>
      </c>
      <c r="C55" s="1825" t="s">
        <v>1883</v>
      </c>
      <c r="D55" s="1826" t="s">
        <v>1884</v>
      </c>
      <c r="E55" s="606" t="s">
        <v>1885</v>
      </c>
      <c r="F55" s="833" t="s">
        <v>1886</v>
      </c>
      <c r="G55" s="3395" t="s">
        <v>1887</v>
      </c>
      <c r="H55" s="3441"/>
      <c r="I55" s="127" t="s">
        <v>1888</v>
      </c>
      <c r="J55" s="1827">
        <f>项目基本情况!F35</f>
        <v>0</v>
      </c>
      <c r="K55" s="1828" t="s">
        <v>1889</v>
      </c>
      <c r="L55" s="2488"/>
      <c r="M55" s="2480"/>
      <c r="N55" s="2480"/>
      <c r="O55" s="2480"/>
      <c r="P55" s="2480"/>
      <c r="Q55" s="2480"/>
      <c r="R55" s="2480"/>
      <c r="S55" s="2480"/>
      <c r="T55" s="2480"/>
      <c r="U55" s="2480"/>
      <c r="V55" s="2480"/>
      <c r="W55" s="2480"/>
      <c r="X55" s="2480"/>
      <c r="Y55" s="2480"/>
      <c r="Z55" s="2480"/>
      <c r="AA55" s="2480"/>
      <c r="AB55" s="2480"/>
      <c r="AC55" s="2480"/>
    </row>
    <row r="56" spans="1:29" s="612" customFormat="1">
      <c r="A56" s="608" t="s">
        <v>1890</v>
      </c>
      <c r="B56" s="609" t="e">
        <f>C48</f>
        <v>#DIV/0!</v>
      </c>
      <c r="C56" s="610">
        <v>1</v>
      </c>
      <c r="D56" s="886">
        <v>1</v>
      </c>
      <c r="E56" s="610">
        <f>'数据-汇总表'!E8+'数据-汇总表'!E9</f>
        <v>154.79</v>
      </c>
      <c r="F56" s="829" t="e">
        <f t="shared" ref="F56:F64" si="15">ROUND(B56*E56/10000,0)</f>
        <v>#DIV/0!</v>
      </c>
      <c r="G56" s="3391"/>
      <c r="H56" s="3380"/>
      <c r="I56" s="834">
        <v>1</v>
      </c>
      <c r="J56" s="837">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2" customFormat="1">
      <c r="A57" s="613" t="s">
        <v>1891</v>
      </c>
      <c r="B57" s="210" t="e">
        <f>ROUND($C$48*C57*D57,0)</f>
        <v>#DIV/0!</v>
      </c>
      <c r="C57" s="163">
        <f t="shared" ref="C57:C64" si="16">IF($C$55="北京市系数",I57,J57)</f>
        <v>0.6</v>
      </c>
      <c r="D57" s="887">
        <v>0.25</v>
      </c>
      <c r="E57" s="614"/>
      <c r="F57" s="829" t="e">
        <f t="shared" si="15"/>
        <v>#DIV/0!</v>
      </c>
      <c r="G57" s="2743" t="s">
        <v>1892</v>
      </c>
      <c r="H57" s="830" t="str">
        <f>项目基本情况!B37</f>
        <v>四级</v>
      </c>
      <c r="I57" s="834">
        <f>SUMIF(修正!A59:A70,H57,修正!B59:B70)</f>
        <v>0.6</v>
      </c>
      <c r="J57" s="838"/>
      <c r="K57" s="2480"/>
      <c r="L57" s="2539"/>
      <c r="M57" s="2539"/>
      <c r="N57" s="2539"/>
      <c r="O57" s="2539"/>
      <c r="P57" s="2539"/>
      <c r="Q57" s="2539"/>
      <c r="R57" s="2539"/>
      <c r="S57" s="2539"/>
      <c r="T57" s="2539"/>
      <c r="U57" s="2539"/>
      <c r="V57" s="2539"/>
      <c r="W57" s="2539"/>
      <c r="X57" s="2539"/>
      <c r="Y57" s="2539"/>
      <c r="Z57" s="2539"/>
      <c r="AA57" s="2539"/>
      <c r="AB57" s="2539"/>
      <c r="AC57" s="2539"/>
    </row>
    <row r="58" spans="1:29" s="612" customFormat="1">
      <c r="A58" s="613" t="s">
        <v>1893</v>
      </c>
      <c r="B58" s="210" t="e">
        <f t="shared" ref="B58:B64" si="17">ROUND($C$48*C58*D58,0)</f>
        <v>#DIV/0!</v>
      </c>
      <c r="C58" s="163">
        <f t="shared" si="16"/>
        <v>0.3</v>
      </c>
      <c r="D58" s="887">
        <v>0.25</v>
      </c>
      <c r="E58" s="614"/>
      <c r="F58" s="829" t="e">
        <f t="shared" si="15"/>
        <v>#DIV/0!</v>
      </c>
      <c r="G58" s="2744"/>
      <c r="H58" s="830" t="str">
        <f>项目基本情况!B37</f>
        <v>四级</v>
      </c>
      <c r="I58" s="834">
        <f>SUMIF(修正!A59:A70,H58,修正!C59:C70)</f>
        <v>0.3</v>
      </c>
      <c r="J58" s="838"/>
      <c r="K58" s="2490"/>
      <c r="L58" s="2539"/>
      <c r="M58" s="2539"/>
      <c r="N58" s="2539"/>
      <c r="O58" s="2539"/>
      <c r="P58" s="2539"/>
      <c r="Q58" s="2539"/>
      <c r="R58" s="2539"/>
      <c r="S58" s="2539"/>
      <c r="T58" s="2539"/>
      <c r="U58" s="2539"/>
      <c r="V58" s="2539"/>
      <c r="W58" s="2539"/>
      <c r="X58" s="2539"/>
      <c r="Y58" s="2539"/>
      <c r="Z58" s="2539"/>
      <c r="AA58" s="2539"/>
      <c r="AB58" s="2539"/>
      <c r="AC58" s="2539"/>
    </row>
    <row r="59" spans="1:29" s="612" customFormat="1">
      <c r="A59" s="613" t="s">
        <v>1894</v>
      </c>
      <c r="B59" s="210" t="e">
        <f t="shared" si="17"/>
        <v>#DIV/0!</v>
      </c>
      <c r="C59" s="163">
        <f t="shared" si="16"/>
        <v>0.25</v>
      </c>
      <c r="D59" s="887">
        <v>0.25</v>
      </c>
      <c r="E59" s="614"/>
      <c r="F59" s="829" t="e">
        <f t="shared" si="15"/>
        <v>#DIV/0!</v>
      </c>
      <c r="G59" s="2744"/>
      <c r="H59" s="830" t="str">
        <f>项目基本情况!B37</f>
        <v>四级</v>
      </c>
      <c r="I59" s="834">
        <f>SUMIF(修正!A59:A70,H59,修正!D59:D70)</f>
        <v>0.25</v>
      </c>
      <c r="J59" s="838"/>
      <c r="K59" s="2480"/>
      <c r="L59" s="2539"/>
      <c r="M59" s="2539"/>
      <c r="N59" s="2539"/>
      <c r="O59" s="2539"/>
      <c r="P59" s="2539"/>
      <c r="Q59" s="2539"/>
      <c r="R59" s="2539"/>
      <c r="S59" s="2539"/>
      <c r="T59" s="2539"/>
      <c r="U59" s="2539"/>
      <c r="V59" s="2539"/>
      <c r="W59" s="2539"/>
      <c r="X59" s="2539"/>
      <c r="Y59" s="2539"/>
      <c r="Z59" s="2539"/>
      <c r="AA59" s="2539"/>
      <c r="AB59" s="2539"/>
      <c r="AC59" s="2539"/>
    </row>
    <row r="60" spans="1:29" s="612" customFormat="1">
      <c r="A60" s="613" t="s">
        <v>1895</v>
      </c>
      <c r="B60" s="210" t="e">
        <f t="shared" si="17"/>
        <v>#DIV/0!</v>
      </c>
      <c r="C60" s="163">
        <f t="shared" si="16"/>
        <v>0.25</v>
      </c>
      <c r="D60" s="887">
        <v>0.25</v>
      </c>
      <c r="E60" s="209">
        <f>'数据-汇总表'!E11</f>
        <v>0</v>
      </c>
      <c r="F60" s="829" t="e">
        <f t="shared" si="15"/>
        <v>#DIV/0!</v>
      </c>
      <c r="G60" s="1829" t="s">
        <v>1896</v>
      </c>
      <c r="H60" s="830" t="str">
        <f>项目基本情况!C37</f>
        <v>四级</v>
      </c>
      <c r="I60" s="834">
        <f>SUMIF(修正!A59:A70,H60,修正!E59:E70)</f>
        <v>0.25</v>
      </c>
      <c r="J60" s="838"/>
      <c r="K60" s="2480"/>
      <c r="L60" s="2539"/>
      <c r="M60" s="2539"/>
      <c r="N60" s="2539"/>
      <c r="O60" s="2539"/>
      <c r="P60" s="2539"/>
      <c r="Q60" s="2539"/>
      <c r="R60" s="2539"/>
      <c r="S60" s="2539"/>
      <c r="T60" s="2539"/>
      <c r="U60" s="2539"/>
      <c r="V60" s="2539"/>
      <c r="W60" s="2539"/>
      <c r="X60" s="2539"/>
      <c r="Y60" s="2539"/>
      <c r="Z60" s="2539"/>
      <c r="AA60" s="2539"/>
      <c r="AB60" s="2539"/>
      <c r="AC60" s="2539"/>
    </row>
    <row r="61" spans="1:29" s="612" customFormat="1">
      <c r="A61" s="613" t="s">
        <v>1897</v>
      </c>
      <c r="B61" s="210" t="e">
        <f t="shared" si="17"/>
        <v>#DIV/0!</v>
      </c>
      <c r="C61" s="163">
        <f t="shared" si="16"/>
        <v>0.25</v>
      </c>
      <c r="D61" s="887">
        <v>0.25</v>
      </c>
      <c r="E61" s="209">
        <f>'数据-汇总表'!E12</f>
        <v>0</v>
      </c>
      <c r="F61" s="829" t="e">
        <f t="shared" si="15"/>
        <v>#DIV/0!</v>
      </c>
      <c r="G61" s="835" t="s">
        <v>1898</v>
      </c>
      <c r="H61" s="830" t="str">
        <f>IF(G61="商业",项目基本情况!B37,IF(G61="办公",项目基本情况!C37,IF(G61="住宅",项目基本情况!D37,项目基本情况!E37)))</f>
        <v>四级</v>
      </c>
      <c r="I61" s="834">
        <f>SUMIF(修正!A59:A70,H61,修正!F59:F70)</f>
        <v>0.25</v>
      </c>
      <c r="J61" s="838"/>
      <c r="K61" s="2490"/>
      <c r="L61" s="2539"/>
      <c r="M61" s="2539"/>
      <c r="N61" s="2539"/>
      <c r="O61" s="2539"/>
      <c r="P61" s="2539"/>
      <c r="Q61" s="2539"/>
      <c r="R61" s="2539"/>
      <c r="S61" s="2539"/>
      <c r="T61" s="2539"/>
      <c r="U61" s="2539"/>
      <c r="V61" s="2539"/>
      <c r="W61" s="2539"/>
      <c r="X61" s="2539"/>
      <c r="Y61" s="2539"/>
      <c r="Z61" s="2539"/>
      <c r="AA61" s="2539"/>
      <c r="AB61" s="2539"/>
      <c r="AC61" s="2539"/>
    </row>
    <row r="62" spans="1:29" s="612" customFormat="1">
      <c r="A62" s="613" t="s">
        <v>1899</v>
      </c>
      <c r="B62" s="210" t="e">
        <f t="shared" si="17"/>
        <v>#DIV/0!</v>
      </c>
      <c r="C62" s="163">
        <f t="shared" si="16"/>
        <v>0</v>
      </c>
      <c r="D62" s="887">
        <v>0.25</v>
      </c>
      <c r="E62" s="209">
        <f>'数据-汇总表'!E13</f>
        <v>0</v>
      </c>
      <c r="F62" s="829" t="e">
        <f t="shared" si="15"/>
        <v>#DIV/0!</v>
      </c>
      <c r="G62" s="835" t="s">
        <v>1900</v>
      </c>
      <c r="H62" s="830">
        <f>IF(G62="商业",项目基本情况!B37,IF(G62="办公",项目基本情况!C37,IF(G62="住宅",项目基本情况!D37,项目基本情况!E37)))</f>
        <v>0</v>
      </c>
      <c r="I62" s="834">
        <f>SUMIF(修正!A59:A70,H62,修正!G59:G70)</f>
        <v>0</v>
      </c>
      <c r="J62" s="838"/>
      <c r="K62" s="2480"/>
      <c r="L62" s="2539"/>
      <c r="M62" s="2539"/>
      <c r="N62" s="2539"/>
      <c r="O62" s="2539"/>
      <c r="P62" s="2539"/>
      <c r="Q62" s="2539"/>
      <c r="R62" s="2539"/>
      <c r="S62" s="2539"/>
      <c r="T62" s="2539"/>
      <c r="U62" s="2539"/>
      <c r="V62" s="2539"/>
      <c r="W62" s="2539"/>
      <c r="X62" s="2539"/>
      <c r="Y62" s="2539"/>
      <c r="Z62" s="2539"/>
      <c r="AA62" s="2539"/>
      <c r="AB62" s="2539"/>
      <c r="AC62" s="2539"/>
    </row>
    <row r="63" spans="1:29" s="612" customFormat="1">
      <c r="A63" s="613" t="s">
        <v>1901</v>
      </c>
      <c r="B63" s="210" t="e">
        <f t="shared" si="17"/>
        <v>#DIV/0!</v>
      </c>
      <c r="C63" s="163">
        <f t="shared" si="16"/>
        <v>0.15</v>
      </c>
      <c r="D63" s="887">
        <v>0.25</v>
      </c>
      <c r="E63" s="209">
        <f>'数据-汇总表'!E14</f>
        <v>0</v>
      </c>
      <c r="F63" s="829" t="e">
        <f t="shared" si="15"/>
        <v>#DIV/0!</v>
      </c>
      <c r="G63" s="1829" t="s">
        <v>1892</v>
      </c>
      <c r="H63" s="830" t="str">
        <f>项目基本情况!B37</f>
        <v>四级</v>
      </c>
      <c r="I63" s="834">
        <f>SUMIF(修正!A59:A70,H63,修正!G59:G70)</f>
        <v>0.15</v>
      </c>
      <c r="J63" s="838"/>
      <c r="K63" s="2490"/>
      <c r="L63" s="2539"/>
      <c r="M63" s="2539"/>
      <c r="N63" s="2539"/>
      <c r="O63" s="2539"/>
      <c r="P63" s="2539"/>
      <c r="Q63" s="2539"/>
      <c r="R63" s="2539"/>
      <c r="S63" s="2539"/>
      <c r="T63" s="2539"/>
      <c r="U63" s="2539"/>
      <c r="V63" s="2539"/>
      <c r="W63" s="2539"/>
      <c r="X63" s="2539"/>
      <c r="Y63" s="2539"/>
      <c r="Z63" s="2539"/>
      <c r="AA63" s="2539"/>
      <c r="AB63" s="2539"/>
      <c r="AC63" s="2539"/>
    </row>
    <row r="64" spans="1:29" s="612" customFormat="1" ht="15" thickBot="1">
      <c r="A64" s="613" t="s">
        <v>1902</v>
      </c>
      <c r="B64" s="210" t="e">
        <f t="shared" si="17"/>
        <v>#DIV/0!</v>
      </c>
      <c r="C64" s="163">
        <f t="shared" si="16"/>
        <v>0.15</v>
      </c>
      <c r="D64" s="887">
        <v>0.25</v>
      </c>
      <c r="E64" s="209">
        <f>'数据-汇总表'!E15</f>
        <v>0</v>
      </c>
      <c r="F64" s="829" t="e">
        <f t="shared" si="15"/>
        <v>#DIV/0!</v>
      </c>
      <c r="G64" s="1830" t="s">
        <v>1896</v>
      </c>
      <c r="H64" s="840" t="str">
        <f>项目基本情况!C37</f>
        <v>四级</v>
      </c>
      <c r="I64" s="836">
        <f>SUMIF(修正!A59:A70,H64,修正!G59:G70)</f>
        <v>0.15</v>
      </c>
      <c r="J64" s="839"/>
      <c r="K64" s="2480"/>
      <c r="L64" s="2539"/>
      <c r="M64" s="2539"/>
      <c r="N64" s="2539"/>
      <c r="O64" s="2539"/>
      <c r="P64" s="2539"/>
      <c r="Q64" s="2539"/>
      <c r="R64" s="2539"/>
      <c r="S64" s="2539"/>
      <c r="T64" s="2539"/>
      <c r="U64" s="2539"/>
      <c r="V64" s="2539"/>
      <c r="W64" s="2539"/>
      <c r="X64" s="2539"/>
      <c r="Y64" s="2539"/>
      <c r="Z64" s="2539"/>
      <c r="AA64" s="2539"/>
      <c r="AB64" s="2539"/>
      <c r="AC64" s="2539"/>
    </row>
    <row r="65" spans="1:29" s="612" customFormat="1" ht="13.5" thickBot="1">
      <c r="A65" s="615" t="s">
        <v>1903</v>
      </c>
      <c r="B65" s="616" t="s">
        <v>22</v>
      </c>
      <c r="C65" s="616" t="s">
        <v>23</v>
      </c>
      <c r="D65" s="616" t="s">
        <v>392</v>
      </c>
      <c r="E65" s="616">
        <f>IF(B46="楼面地价",SUM(E56:E64),'数据-汇总表'!D3)</f>
        <v>154.79</v>
      </c>
      <c r="F65" s="617" t="e">
        <f>IF(B46="楼面地价",SUM(F56:F64),ROUND(C48*E65/10000,0))</f>
        <v>#DIV/0!</v>
      </c>
      <c r="G65" s="677"/>
      <c r="H65" s="677"/>
      <c r="I65" s="677"/>
      <c r="J65" s="677"/>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5"/>
      <c r="B66" s="656"/>
      <c r="C66" s="657"/>
      <c r="D66" s="385"/>
      <c r="E66" s="385"/>
      <c r="F66" s="385"/>
      <c r="G66" s="385"/>
      <c r="H66" s="385"/>
      <c r="I66" s="385"/>
      <c r="J66" s="857"/>
      <c r="K66" s="831"/>
      <c r="L66" s="832"/>
      <c r="M66" s="857"/>
      <c r="N66" s="857"/>
      <c r="O66" s="857"/>
      <c r="P66" s="2480"/>
      <c r="Q66" s="2480"/>
      <c r="R66" s="2480"/>
      <c r="S66" s="2480"/>
      <c r="T66" s="2480"/>
      <c r="U66" s="2480"/>
      <c r="V66" s="2480"/>
      <c r="W66" s="2480"/>
      <c r="X66" s="2480"/>
      <c r="Y66" s="2480"/>
      <c r="Z66" s="2480"/>
      <c r="AA66" s="2480"/>
      <c r="AB66" s="2480"/>
      <c r="AC66" s="2480"/>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0"/>
      <c r="Q67" s="2480"/>
      <c r="R67" s="2480"/>
      <c r="S67" s="2480"/>
      <c r="T67" s="2480"/>
      <c r="U67" s="2480"/>
      <c r="V67" s="2480"/>
      <c r="W67" s="2480"/>
      <c r="X67" s="2480"/>
      <c r="Y67" s="2480"/>
      <c r="Z67" s="2480"/>
      <c r="AA67" s="2480"/>
      <c r="AB67" s="2480"/>
      <c r="AC67" s="2480"/>
    </row>
    <row r="68" spans="1:29" ht="21.75" thickBot="1">
      <c r="A68" s="658" t="s">
        <v>1798</v>
      </c>
      <c r="B68" s="385"/>
      <c r="C68" s="659"/>
      <c r="D68" s="659"/>
      <c r="E68" s="659"/>
      <c r="F68" s="660"/>
      <c r="G68" s="660"/>
      <c r="H68" s="659"/>
      <c r="I68" s="659"/>
      <c r="J68" s="882"/>
      <c r="K68" s="883"/>
      <c r="L68" s="884"/>
      <c r="M68" s="882"/>
      <c r="N68" s="2530"/>
      <c r="O68" s="2530"/>
      <c r="P68" s="2530"/>
      <c r="Q68" s="2501"/>
      <c r="R68" s="2480"/>
      <c r="S68" s="2480"/>
      <c r="T68" s="2480"/>
      <c r="U68" s="2480"/>
      <c r="V68" s="2480"/>
      <c r="W68" s="2480"/>
      <c r="X68" s="2480"/>
      <c r="Y68" s="2480"/>
      <c r="Z68" s="2480"/>
      <c r="AA68" s="2480"/>
      <c r="AB68" s="2480"/>
      <c r="AC68" s="2480"/>
    </row>
    <row r="69" spans="1:29" s="442" customFormat="1" ht="15">
      <c r="A69" s="1626" t="s">
        <v>1904</v>
      </c>
      <c r="B69" s="1042"/>
      <c r="C69" s="1097" t="str">
        <f>YEAR(C67)&amp;"-"&amp;ROUNDUP(MONTH(C67)/3,0)</f>
        <v>2025-4</v>
      </c>
      <c r="D69" s="1097" t="str">
        <f>YEAR(D67)&amp;"-"&amp;ROUNDUP(MONTH(D67)/3,0)</f>
        <v>2025-3</v>
      </c>
      <c r="E69" s="1097" t="str">
        <f t="shared" ref="E69:O69" si="19">YEAR(E67)&amp;"-"&amp;ROUNDUP(MONTH(E67)/3,0)</f>
        <v>2025-2</v>
      </c>
      <c r="F69" s="1097" t="str">
        <f t="shared" si="19"/>
        <v>2025-1</v>
      </c>
      <c r="G69" s="1097" t="str">
        <f t="shared" si="19"/>
        <v>2024-4</v>
      </c>
      <c r="H69" s="1097" t="str">
        <f t="shared" si="19"/>
        <v>2024-3</v>
      </c>
      <c r="I69" s="1097" t="str">
        <f t="shared" si="19"/>
        <v>2024-2</v>
      </c>
      <c r="J69" s="1097" t="str">
        <f t="shared" si="19"/>
        <v>2024-1</v>
      </c>
      <c r="K69" s="1097" t="str">
        <f t="shared" si="19"/>
        <v>2023-4</v>
      </c>
      <c r="L69" s="1097" t="str">
        <f t="shared" si="19"/>
        <v>2023-3</v>
      </c>
      <c r="M69" s="1097" t="str">
        <f t="shared" si="19"/>
        <v>2023-2</v>
      </c>
      <c r="N69" s="1097" t="str">
        <f t="shared" si="19"/>
        <v>2023-1</v>
      </c>
      <c r="O69" s="1097" t="str">
        <f t="shared" si="19"/>
        <v>2022-4</v>
      </c>
      <c r="P69" s="2503"/>
      <c r="Q69" s="2503"/>
      <c r="R69" s="2503"/>
      <c r="S69" s="2503"/>
      <c r="T69" s="2503"/>
      <c r="U69" s="2503"/>
      <c r="V69" s="2503"/>
      <c r="W69" s="2503"/>
      <c r="X69" s="2503"/>
      <c r="Y69" s="2503"/>
      <c r="Z69" s="2503"/>
      <c r="AA69" s="2503"/>
      <c r="AB69" s="2503"/>
      <c r="AC69" s="2503"/>
    </row>
    <row r="70" spans="1:29" s="102" customFormat="1" ht="30" customHeight="1">
      <c r="A70" s="1831" t="s">
        <v>1905</v>
      </c>
      <c r="B70" s="280" t="str">
        <f>"北京市平均增长率"&amp;TEXT(SUMIF('基准地价修正-商业'!N25:N29,A70,'基准地价修正-商业'!P25:P29),"0.00%")</f>
        <v>北京市平均增长率0.00%</v>
      </c>
      <c r="C70" s="530">
        <v>100</v>
      </c>
      <c r="D70" s="6"/>
      <c r="E70" s="6"/>
      <c r="F70" s="6"/>
      <c r="G70" s="6"/>
      <c r="H70" s="6"/>
      <c r="I70" s="6"/>
      <c r="J70" s="6"/>
      <c r="K70" s="6"/>
      <c r="L70" s="6"/>
      <c r="M70" s="1062"/>
      <c r="N70" s="6"/>
      <c r="O70" s="1094"/>
      <c r="P70" s="2501"/>
      <c r="Q70" s="2432"/>
      <c r="R70" s="2432"/>
      <c r="S70" s="2432"/>
      <c r="T70" s="2432"/>
      <c r="U70" s="2432"/>
      <c r="V70" s="2432"/>
      <c r="W70" s="2432"/>
      <c r="X70" s="2432"/>
      <c r="Y70" s="2432"/>
      <c r="Z70" s="2432"/>
      <c r="AA70" s="2432"/>
      <c r="AB70" s="2432"/>
      <c r="AC70" s="2432"/>
    </row>
    <row r="71" spans="1:29" s="102" customFormat="1" ht="15.75" thickBot="1">
      <c r="A71" s="449" t="s">
        <v>1716</v>
      </c>
      <c r="B71" s="450"/>
      <c r="C71" s="451"/>
      <c r="D71" s="452"/>
      <c r="E71" s="452"/>
      <c r="F71" s="452"/>
      <c r="G71" s="452"/>
      <c r="H71" s="452"/>
      <c r="I71" s="452"/>
      <c r="J71" s="452"/>
      <c r="K71" s="452"/>
      <c r="L71" s="452"/>
      <c r="M71" s="453"/>
      <c r="N71" s="452"/>
      <c r="O71" s="885"/>
      <c r="P71" s="2501"/>
      <c r="Q71" s="2501"/>
      <c r="R71" s="2432"/>
      <c r="S71" s="2432"/>
      <c r="T71" s="2432"/>
      <c r="U71" s="2432"/>
      <c r="V71" s="2432"/>
      <c r="W71" s="2432"/>
      <c r="X71" s="2432"/>
      <c r="Y71" s="2432"/>
      <c r="Z71" s="2432"/>
      <c r="AA71" s="2432"/>
      <c r="AB71" s="2432"/>
      <c r="AC71" s="2432"/>
    </row>
    <row r="72" spans="1:29" s="102" customFormat="1" ht="15">
      <c r="A72" s="455" t="s">
        <v>1681</v>
      </c>
      <c r="B72" s="444"/>
      <c r="C72" s="456" t="s">
        <v>1776</v>
      </c>
      <c r="D72" s="31"/>
      <c r="E72" s="31"/>
      <c r="F72" s="31"/>
      <c r="G72" s="31"/>
      <c r="H72" s="31"/>
      <c r="I72" s="31"/>
      <c r="J72" s="31"/>
      <c r="K72" s="31"/>
      <c r="L72" s="457"/>
      <c r="M72" s="458"/>
      <c r="N72" s="2513"/>
      <c r="O72" s="2513"/>
      <c r="P72" s="2537"/>
      <c r="Q72" s="2501"/>
      <c r="R72" s="2432"/>
      <c r="S72" s="2432"/>
      <c r="T72" s="2432"/>
      <c r="U72" s="2432"/>
      <c r="V72" s="2432"/>
      <c r="W72" s="2432"/>
      <c r="X72" s="2432"/>
      <c r="Y72" s="2432"/>
      <c r="Z72" s="2432"/>
      <c r="AA72" s="2432"/>
      <c r="AB72" s="2432"/>
      <c r="AC72" s="2432"/>
    </row>
    <row r="73" spans="1:29" s="102" customFormat="1" ht="15.75" thickBot="1">
      <c r="A73" s="455"/>
      <c r="B73" s="444"/>
      <c r="C73" s="563">
        <v>100</v>
      </c>
      <c r="D73" s="446"/>
      <c r="E73" s="446"/>
      <c r="F73" s="446"/>
      <c r="G73" s="446"/>
      <c r="H73" s="446"/>
      <c r="I73" s="446"/>
      <c r="J73" s="446"/>
      <c r="K73" s="446"/>
      <c r="L73" s="446"/>
      <c r="M73" s="448"/>
      <c r="N73" s="2513"/>
      <c r="O73" s="2513"/>
      <c r="P73" s="2501"/>
      <c r="Q73" s="2501"/>
      <c r="R73" s="2432"/>
      <c r="S73" s="2432"/>
      <c r="T73" s="2432"/>
      <c r="U73" s="2432"/>
      <c r="V73" s="2432"/>
      <c r="W73" s="2432"/>
      <c r="X73" s="2432"/>
      <c r="Y73" s="2432"/>
      <c r="Z73" s="2432"/>
      <c r="AA73" s="2432"/>
      <c r="AB73" s="2432"/>
      <c r="AC73" s="2432"/>
    </row>
    <row r="74" spans="1:29">
      <c r="A74" s="379" t="s">
        <v>1719</v>
      </c>
      <c r="B74" s="460" t="s">
        <v>1685</v>
      </c>
      <c r="C74" s="462"/>
      <c r="D74" s="462"/>
      <c r="E74" s="462"/>
      <c r="F74" s="462"/>
      <c r="G74" s="462"/>
      <c r="H74" s="462"/>
      <c r="I74" s="462"/>
      <c r="J74" s="462"/>
      <c r="K74" s="463"/>
      <c r="L74" s="464"/>
      <c r="M74" s="465"/>
      <c r="N74" s="2514"/>
      <c r="O74" s="2514"/>
      <c r="P74" s="2513"/>
      <c r="Q74" s="2501"/>
      <c r="R74" s="2480"/>
      <c r="S74" s="2480"/>
      <c r="T74" s="2480"/>
      <c r="U74" s="2480"/>
      <c r="V74" s="2480"/>
      <c r="W74" s="2480"/>
      <c r="X74" s="2480"/>
      <c r="Y74" s="2480"/>
      <c r="Z74" s="2480"/>
      <c r="AA74" s="2480"/>
      <c r="AB74" s="2480"/>
      <c r="AC74" s="2480"/>
    </row>
    <row r="75" spans="1:29" ht="15.75" thickBot="1">
      <c r="A75" s="367"/>
      <c r="B75" s="466"/>
      <c r="C75" s="467"/>
      <c r="D75" s="467"/>
      <c r="E75" s="467"/>
      <c r="F75" s="467"/>
      <c r="G75" s="467"/>
      <c r="H75" s="467"/>
      <c r="I75" s="467"/>
      <c r="J75" s="467"/>
      <c r="K75" s="467"/>
      <c r="L75" s="467"/>
      <c r="M75" s="468"/>
      <c r="N75" s="2515"/>
      <c r="O75" s="2515"/>
      <c r="P75" s="2513"/>
      <c r="Q75" s="2501"/>
      <c r="R75" s="2480"/>
      <c r="S75" s="2480"/>
      <c r="T75" s="2480"/>
      <c r="U75" s="2480"/>
      <c r="V75" s="2480"/>
      <c r="W75" s="2480"/>
      <c r="X75" s="2480"/>
      <c r="Y75" s="2480"/>
      <c r="Z75" s="2480"/>
      <c r="AA75" s="2480"/>
      <c r="AB75" s="2480"/>
      <c r="AC75" s="2480"/>
    </row>
    <row r="76" spans="1:29" ht="27.75" thickTop="1">
      <c r="A76" s="367"/>
      <c r="B76" s="469" t="s">
        <v>1688</v>
      </c>
      <c r="C76" s="470"/>
      <c r="D76" s="470"/>
      <c r="E76" s="470"/>
      <c r="F76" s="470"/>
      <c r="G76" s="470"/>
      <c r="H76" s="470"/>
      <c r="I76" s="470"/>
      <c r="J76" s="470"/>
      <c r="K76" s="471"/>
      <c r="L76" s="472"/>
      <c r="M76" s="473"/>
      <c r="N76" s="2514"/>
      <c r="O76" s="2514"/>
      <c r="P76" s="2513"/>
      <c r="Q76" s="2501"/>
      <c r="R76" s="2480"/>
      <c r="S76" s="2480"/>
      <c r="T76" s="2480"/>
      <c r="U76" s="2480"/>
      <c r="V76" s="2480"/>
      <c r="W76" s="2480"/>
      <c r="X76" s="2480"/>
      <c r="Y76" s="2480"/>
      <c r="Z76" s="2480"/>
      <c r="AA76" s="2480"/>
      <c r="AB76" s="2480"/>
      <c r="AC76" s="2480"/>
    </row>
    <row r="77" spans="1:29" ht="15.75" thickBot="1">
      <c r="A77" s="367"/>
      <c r="B77" s="474"/>
      <c r="C77" s="475"/>
      <c r="D77" s="475"/>
      <c r="E77" s="475"/>
      <c r="F77" s="475"/>
      <c r="G77" s="475"/>
      <c r="H77" s="475"/>
      <c r="I77" s="475"/>
      <c r="J77" s="475"/>
      <c r="K77" s="475"/>
      <c r="L77" s="475"/>
      <c r="M77" s="476"/>
      <c r="N77" s="2515"/>
      <c r="O77" s="2515"/>
      <c r="P77" s="2513"/>
      <c r="Q77" s="2501"/>
      <c r="R77" s="2480"/>
      <c r="S77" s="2480"/>
      <c r="T77" s="2480"/>
      <c r="U77" s="2480"/>
      <c r="V77" s="2480"/>
      <c r="W77" s="2480"/>
      <c r="X77" s="2480"/>
      <c r="Y77" s="2480"/>
      <c r="Z77" s="2480"/>
      <c r="AA77" s="2480"/>
      <c r="AB77" s="2480"/>
      <c r="AC77" s="2480"/>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7"/>
      <c r="B79" s="479"/>
      <c r="C79" s="480"/>
      <c r="D79" s="480"/>
      <c r="E79" s="480"/>
      <c r="F79" s="480"/>
      <c r="G79" s="480"/>
      <c r="H79" s="480"/>
      <c r="I79" s="480"/>
      <c r="J79" s="480"/>
      <c r="K79" s="481"/>
      <c r="L79" s="482"/>
      <c r="M79" s="483"/>
      <c r="N79" s="2514"/>
      <c r="O79" s="2514"/>
      <c r="P79" s="2513"/>
      <c r="Q79" s="2501"/>
      <c r="R79" s="2480"/>
      <c r="S79" s="2480"/>
      <c r="T79" s="2480"/>
      <c r="U79" s="2480"/>
      <c r="V79" s="2480"/>
      <c r="W79" s="2480"/>
      <c r="X79" s="2480"/>
      <c r="Y79" s="2480"/>
      <c r="Z79" s="2480"/>
      <c r="AA79" s="2480"/>
      <c r="AB79" s="2480"/>
      <c r="AC79" s="2480"/>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5"/>
      <c r="O80" s="2515"/>
      <c r="P80" s="2513"/>
      <c r="Q80" s="2501"/>
      <c r="R80" s="2480"/>
      <c r="S80" s="2480"/>
      <c r="T80" s="2480"/>
      <c r="U80" s="2480"/>
      <c r="V80" s="2480"/>
      <c r="W80" s="2480"/>
      <c r="X80" s="2480"/>
      <c r="Y80" s="2480"/>
      <c r="Z80" s="2480"/>
      <c r="AA80" s="2480"/>
      <c r="AB80" s="2480"/>
      <c r="AC80" s="2480"/>
    </row>
    <row r="81" spans="1:29" s="408" customFormat="1" ht="15.75" thickTop="1">
      <c r="A81" s="484"/>
      <c r="B81" s="469" t="str">
        <f>B12</f>
        <v>配建</v>
      </c>
      <c r="C81" s="485"/>
      <c r="D81" s="485"/>
      <c r="E81" s="485"/>
      <c r="F81" s="485"/>
      <c r="G81" s="485"/>
      <c r="H81" s="486"/>
      <c r="I81" s="486"/>
      <c r="J81" s="486"/>
      <c r="K81" s="486"/>
      <c r="L81" s="487"/>
      <c r="M81" s="488"/>
      <c r="N81" s="2516"/>
      <c r="O81" s="2516"/>
      <c r="P81" s="2516"/>
      <c r="Q81" s="2508"/>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15"/>
      <c r="O82" s="2515"/>
      <c r="P82" s="2516"/>
      <c r="Q82" s="2508"/>
      <c r="R82" s="2486"/>
      <c r="S82" s="2486"/>
      <c r="T82" s="2486"/>
      <c r="U82" s="2486"/>
      <c r="V82" s="2486"/>
      <c r="W82" s="2486"/>
      <c r="X82" s="2486"/>
      <c r="Y82" s="2486"/>
      <c r="Z82" s="2486"/>
      <c r="AA82" s="2486"/>
      <c r="AB82" s="2486"/>
      <c r="AC82" s="2486"/>
    </row>
    <row r="83" spans="1:29" s="408" customFormat="1" ht="15.75" thickTop="1">
      <c r="A83" s="484"/>
      <c r="B83" s="469">
        <f>B13</f>
        <v>111</v>
      </c>
      <c r="C83" s="485"/>
      <c r="D83" s="485"/>
      <c r="E83" s="485"/>
      <c r="F83" s="485"/>
      <c r="G83" s="485"/>
      <c r="H83" s="486"/>
      <c r="I83" s="486"/>
      <c r="J83" s="486"/>
      <c r="K83" s="486"/>
      <c r="L83" s="487"/>
      <c r="M83" s="488"/>
      <c r="N83" s="2516"/>
      <c r="O83" s="2516"/>
      <c r="P83" s="2486"/>
      <c r="Q83" s="2510"/>
      <c r="R83" s="2486"/>
      <c r="S83" s="2486"/>
      <c r="T83" s="2486"/>
      <c r="U83" s="2486"/>
      <c r="V83" s="2486"/>
      <c r="W83" s="2486"/>
      <c r="X83" s="2486"/>
      <c r="Y83" s="2486"/>
      <c r="Z83" s="2486"/>
      <c r="AA83" s="2486"/>
      <c r="AB83" s="2486"/>
      <c r="AC83" s="2486"/>
    </row>
    <row r="84" spans="1:29" s="408" customFormat="1" ht="15.75" thickBot="1">
      <c r="A84" s="484"/>
      <c r="B84" s="474"/>
      <c r="C84" s="491"/>
      <c r="D84" s="491"/>
      <c r="E84" s="491"/>
      <c r="F84" s="491"/>
      <c r="G84" s="491"/>
      <c r="H84" s="493"/>
      <c r="I84" s="493"/>
      <c r="J84" s="493"/>
      <c r="K84" s="493"/>
      <c r="L84" s="493"/>
      <c r="M84" s="494"/>
      <c r="N84" s="2516"/>
      <c r="O84" s="2516"/>
      <c r="P84" s="2516"/>
      <c r="Q84" s="2508"/>
      <c r="R84" s="2486"/>
      <c r="S84" s="2486"/>
      <c r="T84" s="2486"/>
      <c r="U84" s="2486"/>
      <c r="V84" s="2486"/>
      <c r="W84" s="2486"/>
      <c r="X84" s="2486"/>
      <c r="Y84" s="2486"/>
      <c r="Z84" s="2486"/>
      <c r="AA84" s="2486"/>
      <c r="AB84" s="2486"/>
      <c r="AC84" s="2486"/>
    </row>
    <row r="85" spans="1:29" s="408" customFormat="1" ht="15.75" thickTop="1">
      <c r="A85" s="484"/>
      <c r="B85" s="477">
        <f>B14</f>
        <v>111</v>
      </c>
      <c r="C85" s="31"/>
      <c r="D85" s="31"/>
      <c r="E85" s="31"/>
      <c r="F85" s="31"/>
      <c r="G85" s="31"/>
      <c r="H85" s="495"/>
      <c r="I85" s="495"/>
      <c r="J85" s="495"/>
      <c r="K85" s="495"/>
      <c r="L85" s="496"/>
      <c r="M85" s="497"/>
      <c r="N85" s="2516"/>
      <c r="O85" s="2516"/>
      <c r="P85" s="2541"/>
      <c r="Q85" s="2508"/>
      <c r="R85" s="2486"/>
      <c r="S85" s="2486"/>
      <c r="T85" s="2486"/>
      <c r="U85" s="2486"/>
      <c r="V85" s="2486"/>
      <c r="W85" s="2486"/>
      <c r="X85" s="2486"/>
      <c r="Y85" s="2486"/>
      <c r="Z85" s="2486"/>
      <c r="AA85" s="2486"/>
      <c r="AB85" s="2486"/>
      <c r="AC85" s="2486"/>
    </row>
    <row r="86" spans="1:29" s="408" customFormat="1" ht="15.75" thickBot="1">
      <c r="A86" s="499"/>
      <c r="B86" s="500"/>
      <c r="C86" s="501"/>
      <c r="D86" s="501"/>
      <c r="E86" s="501"/>
      <c r="F86" s="501"/>
      <c r="G86" s="501"/>
      <c r="H86" s="502"/>
      <c r="I86" s="502"/>
      <c r="J86" s="502"/>
      <c r="K86" s="502"/>
      <c r="L86" s="502"/>
      <c r="M86" s="503"/>
      <c r="N86" s="2516"/>
      <c r="O86" s="2516"/>
      <c r="P86" s="2516"/>
      <c r="Q86" s="2508"/>
      <c r="R86" s="2486"/>
      <c r="S86" s="2486"/>
      <c r="T86" s="2486"/>
      <c r="U86" s="2486"/>
      <c r="V86" s="2486"/>
      <c r="W86" s="2486"/>
      <c r="X86" s="2486"/>
      <c r="Y86" s="2486"/>
      <c r="Z86" s="2486"/>
      <c r="AA86" s="2486"/>
      <c r="AB86" s="2486"/>
      <c r="AC86" s="2486"/>
    </row>
    <row r="87" spans="1:29">
      <c r="A87" s="379" t="s">
        <v>1690</v>
      </c>
      <c r="B87" s="460" t="s">
        <v>1720</v>
      </c>
      <c r="C87" s="504" t="s">
        <v>1721</v>
      </c>
      <c r="D87" s="504" t="s">
        <v>1722</v>
      </c>
      <c r="E87" s="504" t="s">
        <v>1723</v>
      </c>
      <c r="F87" s="504" t="s">
        <v>1724</v>
      </c>
      <c r="G87" s="504" t="s">
        <v>1725</v>
      </c>
      <c r="H87" s="461"/>
      <c r="I87" s="461"/>
      <c r="J87" s="461"/>
      <c r="K87" s="505"/>
      <c r="L87" s="506"/>
      <c r="M87" s="507"/>
      <c r="N87" s="2514"/>
      <c r="O87" s="2514"/>
      <c r="P87" s="2538"/>
      <c r="Q87" s="2501"/>
      <c r="R87" s="2480"/>
      <c r="S87" s="2480"/>
      <c r="T87" s="2480"/>
      <c r="U87" s="2480"/>
      <c r="V87" s="2480"/>
      <c r="W87" s="2480"/>
      <c r="X87" s="2480"/>
      <c r="Y87" s="2480"/>
      <c r="Z87" s="2480"/>
      <c r="AA87" s="2480"/>
      <c r="AB87" s="2480"/>
      <c r="AC87" s="2480"/>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5"/>
      <c r="O88" s="2515"/>
      <c r="P88" s="2513"/>
      <c r="Q88" s="2501"/>
      <c r="R88" s="2480"/>
      <c r="S88" s="2480"/>
      <c r="T88" s="2480"/>
      <c r="U88" s="2480"/>
      <c r="V88" s="2480"/>
      <c r="W88" s="2480"/>
      <c r="X88" s="2480"/>
      <c r="Y88" s="2480"/>
      <c r="Z88" s="2480"/>
      <c r="AA88" s="2480"/>
      <c r="AB88" s="2480"/>
      <c r="AC88" s="2480"/>
    </row>
    <row r="89" spans="1:29" ht="15.75" thickTop="1">
      <c r="A89" s="367"/>
      <c r="B89" s="469" t="s">
        <v>1906</v>
      </c>
      <c r="C89" s="509" t="s">
        <v>1721</v>
      </c>
      <c r="D89" s="509" t="s">
        <v>1722</v>
      </c>
      <c r="E89" s="509" t="s">
        <v>1723</v>
      </c>
      <c r="F89" s="509" t="s">
        <v>1724</v>
      </c>
      <c r="G89" s="509" t="s">
        <v>1725</v>
      </c>
      <c r="H89" s="470"/>
      <c r="I89" s="470"/>
      <c r="J89" s="470"/>
      <c r="K89" s="471"/>
      <c r="L89" s="472"/>
      <c r="M89" s="473"/>
      <c r="N89" s="2514"/>
      <c r="O89" s="2514"/>
      <c r="P89" s="2513"/>
      <c r="Q89" s="2501"/>
      <c r="R89" s="2480"/>
      <c r="S89" s="2480"/>
      <c r="T89" s="2480"/>
      <c r="U89" s="2480"/>
      <c r="V89" s="2480"/>
      <c r="W89" s="2480"/>
      <c r="X89" s="2480"/>
      <c r="Y89" s="2480"/>
      <c r="Z89" s="2480"/>
      <c r="AA89" s="2480"/>
      <c r="AB89" s="2480"/>
      <c r="AC89" s="2480"/>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5"/>
      <c r="O90" s="2515"/>
      <c r="P90" s="2513"/>
      <c r="Q90" s="2501"/>
      <c r="R90" s="2480"/>
      <c r="S90" s="2480"/>
      <c r="T90" s="2480"/>
      <c r="U90" s="2480"/>
      <c r="V90" s="2480"/>
      <c r="W90" s="2480"/>
      <c r="X90" s="2480"/>
      <c r="Y90" s="2480"/>
      <c r="Z90" s="2480"/>
      <c r="AA90" s="2480"/>
      <c r="AB90" s="2480"/>
      <c r="AC90" s="2480"/>
    </row>
    <row r="91" spans="1:29" ht="15.75" thickTop="1">
      <c r="A91" s="367"/>
      <c r="B91" s="469" t="s">
        <v>1821</v>
      </c>
      <c r="C91" s="509" t="s">
        <v>1721</v>
      </c>
      <c r="D91" s="509" t="s">
        <v>1722</v>
      </c>
      <c r="E91" s="509" t="s">
        <v>1723</v>
      </c>
      <c r="F91" s="509" t="s">
        <v>1724</v>
      </c>
      <c r="G91" s="509" t="s">
        <v>1725</v>
      </c>
      <c r="H91" s="470"/>
      <c r="I91" s="470"/>
      <c r="J91" s="470"/>
      <c r="K91" s="471"/>
      <c r="L91" s="472"/>
      <c r="M91" s="473"/>
      <c r="N91" s="2514"/>
      <c r="O91" s="2514"/>
      <c r="P91" s="2513"/>
      <c r="Q91" s="2501"/>
      <c r="R91" s="2480"/>
      <c r="S91" s="2480"/>
      <c r="T91" s="2480"/>
      <c r="U91" s="2480"/>
      <c r="V91" s="2480"/>
      <c r="W91" s="2480"/>
      <c r="X91" s="2480"/>
      <c r="Y91" s="2480"/>
      <c r="Z91" s="2480"/>
      <c r="AA91" s="2480"/>
      <c r="AB91" s="2480"/>
      <c r="AC91" s="2480"/>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5"/>
      <c r="O92" s="2515"/>
      <c r="P92" s="2513"/>
      <c r="Q92" s="2501"/>
      <c r="R92" s="2480"/>
      <c r="S92" s="2480"/>
      <c r="T92" s="2480"/>
      <c r="U92" s="2480"/>
      <c r="V92" s="2480"/>
      <c r="W92" s="2480"/>
      <c r="X92" s="2480"/>
      <c r="Y92" s="2480"/>
      <c r="Z92" s="2480"/>
      <c r="AA92" s="2480"/>
      <c r="AB92" s="2480"/>
      <c r="AC92" s="2480"/>
    </row>
    <row r="93" spans="1:29" ht="15.75" thickTop="1">
      <c r="A93" s="367"/>
      <c r="B93" s="469" t="s">
        <v>1726</v>
      </c>
      <c r="C93" s="509" t="s">
        <v>1721</v>
      </c>
      <c r="D93" s="509" t="s">
        <v>1722</v>
      </c>
      <c r="E93" s="509" t="s">
        <v>1723</v>
      </c>
      <c r="F93" s="509" t="s">
        <v>1724</v>
      </c>
      <c r="G93" s="509" t="s">
        <v>1725</v>
      </c>
      <c r="H93" s="470"/>
      <c r="I93" s="470"/>
      <c r="J93" s="470"/>
      <c r="K93" s="471"/>
      <c r="L93" s="472"/>
      <c r="M93" s="473"/>
      <c r="N93" s="2514"/>
      <c r="O93" s="2514"/>
      <c r="P93" s="2513"/>
      <c r="Q93" s="2501"/>
      <c r="R93" s="2480"/>
      <c r="S93" s="2480"/>
      <c r="T93" s="2480"/>
      <c r="U93" s="2480"/>
      <c r="V93" s="2480"/>
      <c r="W93" s="2480"/>
      <c r="X93" s="2480"/>
      <c r="Y93" s="2480"/>
      <c r="Z93" s="2480"/>
      <c r="AA93" s="2480"/>
      <c r="AB93" s="2480"/>
      <c r="AC93" s="2480"/>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5"/>
      <c r="O94" s="2515"/>
      <c r="P94" s="2513"/>
      <c r="Q94" s="2501"/>
      <c r="R94" s="2480"/>
      <c r="S94" s="2480"/>
      <c r="T94" s="2480"/>
      <c r="U94" s="2480"/>
      <c r="V94" s="2480"/>
      <c r="W94" s="2480"/>
      <c r="X94" s="2480"/>
      <c r="Y94" s="2480"/>
      <c r="Z94" s="2480"/>
      <c r="AA94" s="2480"/>
      <c r="AB94" s="2480"/>
      <c r="AC94" s="2480"/>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3"/>
      <c r="O95" s="2513"/>
      <c r="P95" s="2513"/>
      <c r="Q95" s="2501"/>
      <c r="R95" s="2432"/>
      <c r="S95" s="2432"/>
      <c r="T95" s="2432"/>
      <c r="U95" s="2432"/>
      <c r="V95" s="2432"/>
      <c r="W95" s="2432"/>
      <c r="X95" s="2432"/>
      <c r="Y95" s="2432"/>
      <c r="Z95" s="2432"/>
      <c r="AA95" s="2432"/>
      <c r="AB95" s="2432"/>
      <c r="AC95" s="2432"/>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5"/>
      <c r="O96" s="2515"/>
      <c r="P96" s="2513"/>
      <c r="Q96" s="2501"/>
      <c r="R96" s="2432"/>
      <c r="S96" s="2432"/>
      <c r="T96" s="2432"/>
      <c r="U96" s="2432"/>
      <c r="V96" s="2432"/>
      <c r="W96" s="2432"/>
      <c r="X96" s="2432"/>
      <c r="Y96" s="2432"/>
      <c r="Z96" s="2432"/>
      <c r="AA96" s="2432"/>
      <c r="AB96" s="2432"/>
      <c r="AC96" s="2432"/>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3"/>
      <c r="O97" s="2513"/>
      <c r="P97" s="2513"/>
      <c r="Q97" s="2501"/>
      <c r="R97" s="2432"/>
      <c r="S97" s="2432"/>
      <c r="T97" s="2432"/>
      <c r="U97" s="2432"/>
      <c r="V97" s="2432"/>
      <c r="W97" s="2432"/>
      <c r="X97" s="2432"/>
      <c r="Y97" s="2432"/>
      <c r="Z97" s="2432"/>
      <c r="AA97" s="2432"/>
      <c r="AB97" s="2432"/>
      <c r="AC97" s="2432"/>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5"/>
      <c r="O98" s="2515"/>
      <c r="P98" s="2513"/>
      <c r="Q98" s="2501"/>
      <c r="R98" s="2432"/>
      <c r="S98" s="2432"/>
      <c r="T98" s="2432"/>
      <c r="U98" s="2432"/>
      <c r="V98" s="2432"/>
      <c r="W98" s="2432"/>
      <c r="X98" s="2432"/>
      <c r="Y98" s="2432"/>
      <c r="Z98" s="2432"/>
      <c r="AA98" s="2432"/>
      <c r="AB98" s="2432"/>
      <c r="AC98" s="2432"/>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6"/>
      <c r="O99" s="2516"/>
      <c r="P99" s="2516"/>
      <c r="Q99" s="2508"/>
      <c r="R99" s="2486"/>
      <c r="S99" s="2486"/>
      <c r="T99" s="2486"/>
      <c r="U99" s="2486"/>
      <c r="V99" s="2486"/>
      <c r="W99" s="2486"/>
      <c r="X99" s="2486"/>
      <c r="Y99" s="2486"/>
      <c r="Z99" s="2486"/>
      <c r="AA99" s="2486"/>
      <c r="AB99" s="2486"/>
      <c r="AC99" s="2486"/>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6"/>
      <c r="O100" s="2516"/>
      <c r="P100" s="2516"/>
      <c r="Q100" s="2508"/>
      <c r="R100" s="2486"/>
      <c r="S100" s="2486"/>
      <c r="T100" s="2486"/>
      <c r="U100" s="2486"/>
      <c r="V100" s="2486"/>
      <c r="W100" s="2486"/>
      <c r="X100" s="2486"/>
      <c r="Y100" s="2486"/>
      <c r="Z100" s="2486"/>
      <c r="AA100" s="2486"/>
      <c r="AB100" s="2486"/>
      <c r="AC100" s="2486"/>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1"/>
      <c r="N101" s="2516"/>
      <c r="O101" s="2516"/>
      <c r="P101" s="2516"/>
      <c r="Q101" s="2508"/>
      <c r="R101" s="2486"/>
      <c r="S101" s="2486"/>
      <c r="T101" s="2486"/>
      <c r="U101" s="2486"/>
      <c r="V101" s="2486"/>
      <c r="W101" s="2486"/>
      <c r="X101" s="2486"/>
      <c r="Y101" s="2486"/>
      <c r="Z101" s="2486"/>
      <c r="AA101" s="2486"/>
      <c r="AB101" s="2486"/>
      <c r="AC101" s="2486"/>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1"/>
      <c r="N102" s="2516"/>
      <c r="O102" s="2516"/>
      <c r="P102" s="2516"/>
      <c r="Q102" s="2508"/>
      <c r="R102" s="2486"/>
      <c r="S102" s="2486"/>
      <c r="T102" s="2486"/>
      <c r="U102" s="2486"/>
      <c r="V102" s="2486"/>
      <c r="W102" s="2486"/>
      <c r="X102" s="2486"/>
      <c r="Y102" s="2486"/>
      <c r="Z102" s="2486"/>
      <c r="AA102" s="2486"/>
      <c r="AB102" s="2486"/>
      <c r="AC102" s="2486"/>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4"/>
      <c r="O103" s="2514"/>
      <c r="P103" s="2513"/>
      <c r="Q103" s="2501"/>
      <c r="R103" s="2480"/>
      <c r="S103" s="2480"/>
      <c r="T103" s="2480"/>
      <c r="U103" s="2480"/>
      <c r="V103" s="2480"/>
      <c r="W103" s="2480"/>
      <c r="X103" s="2480"/>
      <c r="Y103" s="2480"/>
      <c r="Z103" s="2480"/>
      <c r="AA103" s="2480"/>
      <c r="AB103" s="2480"/>
      <c r="AC103" s="2480"/>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7"/>
      <c r="B105" s="469" t="s">
        <v>1815</v>
      </c>
      <c r="C105" s="485"/>
      <c r="D105" s="485"/>
      <c r="E105" s="485"/>
      <c r="F105" s="485"/>
      <c r="G105" s="485"/>
      <c r="H105" s="513"/>
      <c r="I105" s="513"/>
      <c r="J105" s="513"/>
      <c r="K105" s="514"/>
      <c r="L105" s="515"/>
      <c r="M105" s="516"/>
      <c r="N105" s="2514"/>
      <c r="O105" s="2514"/>
      <c r="P105" s="2513"/>
      <c r="Q105" s="2501"/>
      <c r="R105" s="2480"/>
      <c r="S105" s="2480"/>
      <c r="T105" s="2480"/>
      <c r="U105" s="2480"/>
      <c r="V105" s="2480"/>
      <c r="W105" s="2480"/>
      <c r="X105" s="2480"/>
      <c r="Y105" s="2480"/>
      <c r="Z105" s="2480"/>
      <c r="AA105" s="2480"/>
      <c r="AB105" s="2480"/>
      <c r="AC105" s="2480"/>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7"/>
      <c r="B107" s="469" t="s">
        <v>1873</v>
      </c>
      <c r="C107" s="513"/>
      <c r="D107" s="513"/>
      <c r="E107" s="513"/>
      <c r="F107" s="513"/>
      <c r="G107" s="513"/>
      <c r="H107" s="513"/>
      <c r="I107" s="513"/>
      <c r="J107" s="513"/>
      <c r="K107" s="514"/>
      <c r="L107" s="515"/>
      <c r="M107" s="516"/>
      <c r="N107" s="2514"/>
      <c r="O107" s="2514"/>
      <c r="P107" s="2513"/>
      <c r="Q107" s="2501"/>
      <c r="R107" s="2480"/>
      <c r="S107" s="2480"/>
      <c r="T107" s="2480"/>
      <c r="U107" s="2480"/>
      <c r="V107" s="2480"/>
      <c r="W107" s="2480"/>
      <c r="X107" s="2480"/>
      <c r="Y107" s="2480"/>
      <c r="Z107" s="2480"/>
      <c r="AA107" s="2480"/>
      <c r="AB107" s="2480"/>
      <c r="AC107" s="2480"/>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7"/>
      <c r="B109" s="477">
        <f>B35</f>
        <v>111</v>
      </c>
      <c r="C109" s="485"/>
      <c r="D109" s="485"/>
      <c r="E109" s="485"/>
      <c r="F109" s="485"/>
      <c r="G109" s="517"/>
      <c r="H109" s="517"/>
      <c r="I109" s="517"/>
      <c r="J109" s="517"/>
      <c r="K109" s="518"/>
      <c r="L109" s="519"/>
      <c r="M109" s="520"/>
      <c r="N109" s="2514"/>
      <c r="O109" s="2514"/>
      <c r="P109" s="2513"/>
      <c r="Q109" s="2501"/>
      <c r="R109" s="2480"/>
      <c r="S109" s="2480"/>
      <c r="T109" s="2480"/>
      <c r="U109" s="2480"/>
      <c r="V109" s="2480"/>
      <c r="W109" s="2480"/>
      <c r="X109" s="2480"/>
      <c r="Y109" s="2480"/>
      <c r="Z109" s="2480"/>
      <c r="AA109" s="2480"/>
      <c r="AB109" s="2480"/>
      <c r="AC109" s="2480"/>
    </row>
    <row r="110" spans="1:29" ht="15.75" thickBot="1">
      <c r="A110" s="367"/>
      <c r="B110" s="500"/>
      <c r="C110" s="491"/>
      <c r="D110" s="491"/>
      <c r="E110" s="491"/>
      <c r="F110" s="491"/>
      <c r="G110" s="521"/>
      <c r="H110" s="521"/>
      <c r="I110" s="521"/>
      <c r="J110" s="521"/>
      <c r="K110" s="521"/>
      <c r="L110" s="521"/>
      <c r="M110" s="522"/>
      <c r="N110" s="2515"/>
      <c r="O110" s="2515"/>
      <c r="P110" s="2513"/>
      <c r="Q110" s="2501"/>
      <c r="R110" s="2480"/>
      <c r="S110" s="2480"/>
      <c r="T110" s="2480"/>
      <c r="U110" s="2480"/>
      <c r="V110" s="2480"/>
      <c r="W110" s="2480"/>
      <c r="X110" s="2480"/>
      <c r="Y110" s="2480"/>
      <c r="Z110" s="2480"/>
      <c r="AA110" s="2480"/>
      <c r="AB110" s="2480"/>
      <c r="AC110" s="2480"/>
    </row>
    <row r="111" spans="1:29" ht="15" thickTop="1">
      <c r="A111" s="595"/>
      <c r="B111" s="469">
        <f>B36</f>
        <v>111</v>
      </c>
      <c r="C111" s="31"/>
      <c r="D111" s="31"/>
      <c r="E111" s="31"/>
      <c r="F111" s="31"/>
      <c r="G111" s="513"/>
      <c r="H111" s="513"/>
      <c r="I111" s="513"/>
      <c r="J111" s="513"/>
      <c r="K111" s="514"/>
      <c r="L111" s="515"/>
      <c r="M111" s="516"/>
      <c r="N111" s="2514"/>
      <c r="O111" s="2514"/>
      <c r="P111" s="2513"/>
      <c r="Q111" s="2501"/>
      <c r="R111" s="2480"/>
      <c r="S111" s="2480"/>
      <c r="T111" s="2480"/>
      <c r="U111" s="2480"/>
      <c r="V111" s="2480"/>
      <c r="W111" s="2480"/>
      <c r="X111" s="2480"/>
      <c r="Y111" s="2480"/>
      <c r="Z111" s="2480"/>
      <c r="AA111" s="2480"/>
      <c r="AB111" s="2480"/>
      <c r="AC111" s="2480"/>
    </row>
    <row r="112" spans="1:29" ht="15.75" thickBot="1">
      <c r="A112" s="367"/>
      <c r="B112" s="474"/>
      <c r="C112" s="501"/>
      <c r="D112" s="501"/>
      <c r="E112" s="501"/>
      <c r="F112" s="501"/>
      <c r="G112" s="467"/>
      <c r="H112" s="467"/>
      <c r="I112" s="467"/>
      <c r="J112" s="467"/>
      <c r="K112" s="467"/>
      <c r="L112" s="467"/>
      <c r="M112" s="468"/>
      <c r="N112" s="2515"/>
      <c r="O112" s="2515"/>
      <c r="P112" s="2513"/>
      <c r="Q112" s="2501"/>
      <c r="R112" s="2480"/>
      <c r="S112" s="2480"/>
      <c r="T112" s="2480"/>
      <c r="U112" s="2480"/>
      <c r="V112" s="2480"/>
      <c r="W112" s="2480"/>
      <c r="X112" s="2480"/>
      <c r="Y112" s="2480"/>
      <c r="Z112" s="2480"/>
      <c r="AA112" s="2480"/>
      <c r="AB112" s="2480"/>
      <c r="AC112" s="2480"/>
    </row>
    <row r="113" spans="1:29" s="408" customFormat="1" ht="15" thickTop="1">
      <c r="A113" s="406"/>
      <c r="B113" s="523">
        <f>B37</f>
        <v>111</v>
      </c>
      <c r="C113" s="6"/>
      <c r="D113" s="6"/>
      <c r="E113" s="6"/>
      <c r="F113" s="6"/>
      <c r="G113" s="6"/>
      <c r="H113" s="6"/>
      <c r="I113" s="6"/>
      <c r="J113" s="524"/>
      <c r="K113" s="524"/>
      <c r="L113" s="525"/>
      <c r="M113" s="526"/>
      <c r="N113" s="2516"/>
      <c r="O113" s="2516"/>
      <c r="P113" s="2516"/>
      <c r="Q113" s="2508"/>
      <c r="R113" s="2486"/>
      <c r="S113" s="2486"/>
      <c r="T113" s="2486"/>
      <c r="U113" s="2486"/>
      <c r="V113" s="2486"/>
      <c r="W113" s="2486"/>
      <c r="X113" s="2486"/>
      <c r="Y113" s="2486"/>
      <c r="Z113" s="2486"/>
      <c r="AA113" s="2486"/>
      <c r="AB113" s="2486"/>
      <c r="AC113" s="2486"/>
    </row>
    <row r="114" spans="1:29" s="408" customFormat="1" ht="15.75" thickBot="1">
      <c r="A114" s="484"/>
      <c r="B114" s="477"/>
      <c r="C114" s="446"/>
      <c r="D114" s="597"/>
      <c r="E114" s="597"/>
      <c r="F114" s="597"/>
      <c r="G114" s="597"/>
      <c r="H114" s="597"/>
      <c r="I114" s="597"/>
      <c r="J114" s="597"/>
      <c r="K114" s="597"/>
      <c r="L114" s="597"/>
      <c r="M114" s="619"/>
      <c r="N114" s="2515"/>
      <c r="O114" s="2515"/>
      <c r="P114" s="2516"/>
      <c r="Q114" s="2508"/>
      <c r="R114" s="2486"/>
      <c r="S114" s="2486"/>
      <c r="T114" s="2486"/>
      <c r="U114" s="2486"/>
      <c r="V114" s="2486"/>
      <c r="W114" s="2486"/>
      <c r="X114" s="2486"/>
      <c r="Y114" s="2486"/>
      <c r="Z114" s="2486"/>
      <c r="AA114" s="2486"/>
      <c r="AB114" s="2486"/>
      <c r="AC114" s="2486"/>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7"/>
      <c r="B116" s="477"/>
      <c r="C116" s="6"/>
      <c r="D116" s="6"/>
      <c r="E116" s="6"/>
      <c r="F116" s="6"/>
      <c r="G116" s="6"/>
      <c r="H116" s="6"/>
      <c r="I116" s="6"/>
      <c r="J116" s="524"/>
      <c r="K116" s="524"/>
      <c r="L116" s="525"/>
      <c r="M116" s="526"/>
      <c r="N116" s="2514"/>
      <c r="O116" s="2514"/>
      <c r="P116" s="2513"/>
      <c r="Q116" s="2501"/>
      <c r="R116" s="2480"/>
      <c r="S116" s="2480"/>
      <c r="T116" s="2480"/>
      <c r="U116" s="2480"/>
      <c r="V116" s="2480"/>
      <c r="W116" s="2480"/>
      <c r="X116" s="2480"/>
      <c r="Y116" s="2480"/>
      <c r="Z116" s="2480"/>
      <c r="AA116" s="2480"/>
      <c r="AB116" s="2480"/>
      <c r="AC116" s="2480"/>
    </row>
    <row r="117" spans="1:29" ht="15.75" thickBot="1">
      <c r="A117" s="367"/>
      <c r="B117" s="474"/>
      <c r="C117" s="501"/>
      <c r="D117" s="521"/>
      <c r="E117" s="521"/>
      <c r="F117" s="521"/>
      <c r="G117" s="521"/>
      <c r="H117" s="521"/>
      <c r="I117" s="521"/>
      <c r="J117" s="521"/>
      <c r="K117" s="521"/>
      <c r="L117" s="521"/>
      <c r="M117" s="522"/>
      <c r="N117" s="2515"/>
      <c r="O117" s="2515"/>
      <c r="P117" s="2513"/>
      <c r="Q117" s="2501"/>
      <c r="R117" s="2480"/>
      <c r="S117" s="2480"/>
      <c r="T117" s="2480"/>
      <c r="U117" s="2480"/>
      <c r="V117" s="2480"/>
      <c r="W117" s="2480"/>
      <c r="X117" s="2480"/>
      <c r="Y117" s="2480"/>
      <c r="Z117" s="2480"/>
      <c r="AA117" s="2480"/>
      <c r="AB117" s="2480"/>
      <c r="AC117" s="2480"/>
    </row>
    <row r="118" spans="1:29" ht="15" thickTop="1">
      <c r="A118" s="409"/>
      <c r="B118" s="469" t="s">
        <v>1914</v>
      </c>
      <c r="C118" s="513"/>
      <c r="D118" s="513"/>
      <c r="E118" s="513"/>
      <c r="F118" s="513"/>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9"/>
      <c r="B120" s="469" t="s">
        <v>1915</v>
      </c>
      <c r="C120" s="485"/>
      <c r="D120" s="485"/>
      <c r="E120" s="485"/>
      <c r="F120" s="513"/>
      <c r="G120" s="513"/>
      <c r="H120" s="513"/>
      <c r="I120" s="513"/>
      <c r="J120" s="513"/>
      <c r="K120" s="514"/>
      <c r="L120" s="515"/>
      <c r="M120" s="516"/>
      <c r="N120" s="2514"/>
      <c r="O120" s="2514"/>
      <c r="P120" s="2513"/>
      <c r="Q120" s="2501"/>
      <c r="R120" s="2480"/>
      <c r="S120" s="2480"/>
      <c r="T120" s="2480"/>
      <c r="U120" s="2480"/>
      <c r="V120" s="2480"/>
      <c r="W120" s="2480"/>
      <c r="X120" s="2480"/>
      <c r="Y120" s="2480"/>
      <c r="Z120" s="2480"/>
      <c r="AA120" s="2480"/>
      <c r="AB120" s="2480"/>
      <c r="AC120" s="2480"/>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5"/>
      <c r="O121" s="2515"/>
      <c r="P121" s="2513"/>
      <c r="Q121" s="2501"/>
      <c r="R121" s="2480"/>
      <c r="S121" s="2480"/>
      <c r="T121" s="2480"/>
      <c r="U121" s="2480"/>
      <c r="V121" s="2480"/>
      <c r="W121" s="2480"/>
      <c r="X121" s="2480"/>
      <c r="Y121" s="2480"/>
      <c r="Z121" s="2480"/>
      <c r="AA121" s="2480"/>
      <c r="AB121" s="2480"/>
      <c r="AC121" s="2480"/>
    </row>
    <row r="122" spans="1:29" s="408" customFormat="1" ht="15" thickTop="1">
      <c r="A122" s="406"/>
      <c r="B122" s="469" t="s">
        <v>1916</v>
      </c>
      <c r="C122" s="485"/>
      <c r="D122" s="485"/>
      <c r="E122" s="485"/>
      <c r="F122" s="485"/>
      <c r="G122" s="485"/>
      <c r="H122" s="513"/>
      <c r="I122" s="513"/>
      <c r="J122" s="513"/>
      <c r="K122" s="514"/>
      <c r="L122" s="515"/>
      <c r="M122" s="516"/>
      <c r="N122" s="2516"/>
      <c r="O122" s="2516"/>
      <c r="P122" s="2516"/>
      <c r="Q122" s="2508"/>
      <c r="R122" s="2486"/>
      <c r="S122" s="2486"/>
      <c r="T122" s="2486"/>
      <c r="U122" s="2486"/>
      <c r="V122" s="2486"/>
      <c r="W122" s="2486"/>
      <c r="X122" s="2486"/>
      <c r="Y122" s="2486"/>
      <c r="Z122" s="2486"/>
      <c r="AA122" s="2486"/>
      <c r="AB122" s="2486"/>
      <c r="AC122" s="2486"/>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9"/>
      <c r="B124" s="469" t="s">
        <v>1917</v>
      </c>
      <c r="C124" s="485"/>
      <c r="D124" s="485"/>
      <c r="E124" s="513"/>
      <c r="F124" s="513"/>
      <c r="G124" s="513"/>
      <c r="H124" s="513"/>
      <c r="I124" s="513"/>
      <c r="J124" s="513"/>
      <c r="K124" s="514"/>
      <c r="L124" s="515"/>
      <c r="M124" s="516"/>
      <c r="N124" s="2514"/>
      <c r="O124" s="2514"/>
      <c r="P124" s="2513"/>
      <c r="Q124" s="2501"/>
      <c r="R124" s="2480"/>
      <c r="S124" s="2480"/>
      <c r="T124" s="2480"/>
      <c r="U124" s="2480"/>
      <c r="V124" s="2480"/>
      <c r="W124" s="2480"/>
      <c r="X124" s="2480"/>
      <c r="Y124" s="2480"/>
      <c r="Z124" s="2480"/>
      <c r="AA124" s="2480"/>
      <c r="AB124" s="2480"/>
      <c r="AC124" s="2480"/>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9"/>
      <c r="B126" s="469">
        <f>B43</f>
        <v>111</v>
      </c>
      <c r="C126" s="485"/>
      <c r="D126" s="485"/>
      <c r="E126" s="485"/>
      <c r="F126" s="485"/>
      <c r="G126" s="485"/>
      <c r="H126" s="513"/>
      <c r="I126" s="513"/>
      <c r="J126" s="513"/>
      <c r="K126" s="514"/>
      <c r="L126" s="515"/>
      <c r="M126" s="516"/>
      <c r="N126" s="2514"/>
      <c r="O126" s="2514"/>
      <c r="P126" s="2513"/>
      <c r="Q126" s="2501"/>
      <c r="R126" s="2480"/>
      <c r="S126" s="2480"/>
      <c r="T126" s="2480"/>
      <c r="U126" s="2480"/>
      <c r="V126" s="2480"/>
      <c r="W126" s="2480"/>
      <c r="X126" s="2480"/>
      <c r="Y126" s="2480"/>
      <c r="Z126" s="2480"/>
      <c r="AA126" s="2480"/>
      <c r="AB126" s="2480"/>
      <c r="AC126" s="2480"/>
    </row>
    <row r="127" spans="1:29" ht="15.75" thickBot="1">
      <c r="A127" s="367"/>
      <c r="B127" s="474"/>
      <c r="C127" s="491"/>
      <c r="D127" s="491"/>
      <c r="E127" s="491"/>
      <c r="F127" s="491"/>
      <c r="G127" s="467"/>
      <c r="H127" s="467"/>
      <c r="I127" s="467"/>
      <c r="J127" s="467"/>
      <c r="K127" s="467"/>
      <c r="L127" s="467"/>
      <c r="M127" s="468"/>
      <c r="N127" s="2515"/>
      <c r="O127" s="2515"/>
      <c r="P127" s="2513"/>
      <c r="Q127" s="2501"/>
      <c r="R127" s="2480"/>
      <c r="S127" s="2480"/>
      <c r="T127" s="2480"/>
      <c r="U127" s="2480"/>
      <c r="V127" s="2480"/>
      <c r="W127" s="2480"/>
      <c r="X127" s="2480"/>
      <c r="Y127" s="2480"/>
      <c r="Z127" s="2480"/>
      <c r="AA127" s="2480"/>
      <c r="AB127" s="2480"/>
      <c r="AC127" s="2480"/>
    </row>
    <row r="128" spans="1:29" ht="15" thickTop="1">
      <c r="A128" s="409"/>
      <c r="B128" s="469">
        <f>B44</f>
        <v>111</v>
      </c>
      <c r="C128" s="31"/>
      <c r="D128" s="31"/>
      <c r="E128" s="31"/>
      <c r="F128" s="31"/>
      <c r="G128" s="513"/>
      <c r="H128" s="513"/>
      <c r="I128" s="513"/>
      <c r="J128" s="513"/>
      <c r="K128" s="514"/>
      <c r="L128" s="515"/>
      <c r="M128" s="516"/>
      <c r="N128" s="2514"/>
      <c r="O128" s="2514"/>
      <c r="P128" s="2513"/>
      <c r="Q128" s="2501"/>
      <c r="R128" s="2480"/>
      <c r="S128" s="2480"/>
      <c r="T128" s="2480"/>
      <c r="U128" s="2480"/>
      <c r="V128" s="2480"/>
      <c r="W128" s="2480"/>
      <c r="X128" s="2480"/>
      <c r="Y128" s="2480"/>
      <c r="Z128" s="2480"/>
      <c r="AA128" s="2480"/>
      <c r="AB128" s="2480"/>
      <c r="AC128" s="2480"/>
    </row>
    <row r="129" spans="1:29" ht="15.75" thickBot="1">
      <c r="A129" s="367"/>
      <c r="B129" s="474"/>
      <c r="C129" s="501"/>
      <c r="D129" s="501"/>
      <c r="E129" s="501"/>
      <c r="F129" s="501"/>
      <c r="G129" s="467"/>
      <c r="H129" s="467"/>
      <c r="I129" s="467"/>
      <c r="J129" s="467"/>
      <c r="K129" s="467"/>
      <c r="L129" s="467"/>
      <c r="M129" s="468"/>
      <c r="N129" s="2515"/>
      <c r="O129" s="2515"/>
      <c r="P129" s="2513"/>
      <c r="Q129" s="2501"/>
      <c r="R129" s="2480"/>
      <c r="S129" s="2480"/>
      <c r="T129" s="2480"/>
      <c r="U129" s="2480"/>
      <c r="V129" s="2480"/>
      <c r="W129" s="2480"/>
      <c r="X129" s="2480"/>
      <c r="Y129" s="2480"/>
      <c r="Z129" s="2480"/>
      <c r="AA129" s="2480"/>
      <c r="AB129" s="2480"/>
      <c r="AC129" s="2480"/>
    </row>
    <row r="130" spans="1:29" s="408" customFormat="1" ht="15" thickTop="1">
      <c r="A130" s="406"/>
      <c r="B130" s="469">
        <f>B45</f>
        <v>111</v>
      </c>
      <c r="C130" s="31"/>
      <c r="D130" s="31"/>
      <c r="E130" s="31"/>
      <c r="F130" s="31"/>
      <c r="G130" s="486"/>
      <c r="H130" s="486"/>
      <c r="I130" s="486"/>
      <c r="J130" s="486"/>
      <c r="K130" s="486"/>
      <c r="L130" s="487"/>
      <c r="M130" s="488"/>
      <c r="N130" s="2516"/>
      <c r="O130" s="2516"/>
      <c r="P130" s="2516"/>
      <c r="Q130" s="2508"/>
      <c r="R130" s="2486"/>
      <c r="S130" s="2486"/>
      <c r="T130" s="2486"/>
      <c r="U130" s="2486"/>
      <c r="V130" s="2486"/>
      <c r="W130" s="2486"/>
      <c r="X130" s="2486"/>
      <c r="Y130" s="2486"/>
      <c r="Z130" s="2486"/>
      <c r="AA130" s="2486"/>
      <c r="AB130" s="2486"/>
      <c r="AC130" s="2486"/>
    </row>
    <row r="131" spans="1:29" s="408" customFormat="1" ht="15.75" thickBot="1">
      <c r="A131" s="499"/>
      <c r="B131" s="620"/>
      <c r="C131" s="501"/>
      <c r="D131" s="501"/>
      <c r="E131" s="501"/>
      <c r="F131" s="501"/>
      <c r="G131" s="521"/>
      <c r="H131" s="521"/>
      <c r="I131" s="521"/>
      <c r="J131" s="521"/>
      <c r="K131" s="521"/>
      <c r="L131" s="521"/>
      <c r="M131" s="522"/>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1"/>
      <c r="D2" s="851"/>
      <c r="E2" s="851"/>
      <c r="F2" s="852"/>
      <c r="G2" s="851"/>
      <c r="H2" s="851"/>
      <c r="I2" s="851"/>
      <c r="J2" s="851"/>
      <c r="K2" s="853"/>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7"/>
      <c r="E3" s="851"/>
      <c r="F3" s="852"/>
      <c r="G3" s="851"/>
      <c r="H3" s="851"/>
      <c r="I3" s="851"/>
      <c r="J3" s="851"/>
      <c r="K3" s="853"/>
      <c r="L3" s="2496"/>
      <c r="M3" s="2497"/>
      <c r="N3" s="2497"/>
      <c r="O3" s="2497"/>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79"/>
      <c r="M4" s="2480"/>
      <c r="N4" s="2480"/>
      <c r="O4" s="2480"/>
      <c r="P4" s="3399" t="s">
        <v>1775</v>
      </c>
      <c r="Q4" s="3400"/>
      <c r="R4" s="3405" t="s">
        <v>1771</v>
      </c>
      <c r="S4" s="3406"/>
      <c r="T4" s="3405" t="s">
        <v>1772</v>
      </c>
      <c r="U4" s="3406"/>
      <c r="V4" s="3381" t="s">
        <v>1773</v>
      </c>
      <c r="W4" s="3381"/>
      <c r="X4" s="1261"/>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2479"/>
      <c r="M5" s="2480"/>
      <c r="N5" s="2480"/>
      <c r="O5" s="2480"/>
      <c r="P5" s="3401"/>
      <c r="Q5" s="3402"/>
      <c r="R5" s="3407"/>
      <c r="S5" s="3408"/>
      <c r="T5" s="3407"/>
      <c r="U5" s="3408"/>
      <c r="V5" s="3381"/>
      <c r="W5" s="3381"/>
      <c r="X5" s="1261"/>
      <c r="Y5" s="3407"/>
      <c r="Z5" s="3408"/>
      <c r="AA5" s="3393"/>
      <c r="AB5" s="3393"/>
      <c r="AC5" s="3393"/>
    </row>
    <row r="6" spans="1:29" ht="15.75" thickBot="1">
      <c r="A6" s="350"/>
      <c r="B6" s="351"/>
      <c r="C6" s="3442" t="s">
        <v>1919</v>
      </c>
      <c r="D6" s="3443"/>
      <c r="E6" s="3444" t="s">
        <v>1919</v>
      </c>
      <c r="F6" s="3445"/>
      <c r="G6" s="3442" t="s">
        <v>1919</v>
      </c>
      <c r="H6" s="3443"/>
      <c r="I6" s="3442" t="s">
        <v>1919</v>
      </c>
      <c r="J6" s="3443"/>
      <c r="K6" s="537" t="s">
        <v>1678</v>
      </c>
      <c r="L6" s="2479"/>
      <c r="M6" s="2480"/>
      <c r="N6" s="2480"/>
      <c r="O6" s="2480"/>
      <c r="P6" s="3403"/>
      <c r="Q6" s="3404"/>
      <c r="R6" s="3407"/>
      <c r="S6" s="3408"/>
      <c r="T6" s="3409"/>
      <c r="U6" s="3410"/>
      <c r="V6" s="3381"/>
      <c r="W6" s="3381"/>
      <c r="X6" s="1261"/>
      <c r="Y6" s="3409"/>
      <c r="Z6" s="3410"/>
      <c r="AA6" s="3394"/>
      <c r="AB6" s="3394"/>
      <c r="AC6" s="3394"/>
    </row>
    <row r="7" spans="1:29" s="102" customFormat="1" ht="15.75" thickBot="1">
      <c r="A7" s="352" t="s">
        <v>1679</v>
      </c>
      <c r="B7" s="353"/>
      <c r="C7" s="354">
        <f>'数据-取费表'!B2</f>
        <v>45940</v>
      </c>
      <c r="D7" s="355">
        <v>100</v>
      </c>
      <c r="E7" s="356"/>
      <c r="F7" s="357">
        <f>SUMIF(65:65,YEAR(E7)&amp;"-"&amp;INT((MONTH(E7)+2)/3),66:66)</f>
        <v>0</v>
      </c>
      <c r="G7" s="1816"/>
      <c r="H7" s="355">
        <f>SUMIF(65:65,YEAR(G7)&amp;"-"&amp;INT((MONTH(G7)+2)/3),66:66)</f>
        <v>0</v>
      </c>
      <c r="I7" s="1816"/>
      <c r="J7" s="355">
        <f>SUMIF(65:65,YEAR(I7)&amp;"-"&amp;INT((MONTH(I7)+2)/3),66:66)</f>
        <v>0</v>
      </c>
      <c r="K7" s="38"/>
      <c r="L7" s="2481"/>
      <c r="M7" s="2432"/>
      <c r="N7" s="2432"/>
      <c r="O7" s="2432"/>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1"/>
      <c r="M8" s="2432"/>
      <c r="N8" s="2432"/>
      <c r="O8" s="2432"/>
      <c r="P8" s="3415" t="s">
        <v>1683</v>
      </c>
      <c r="Q8" s="3416"/>
      <c r="R8" s="664" t="s">
        <v>14</v>
      </c>
      <c r="S8" s="665">
        <f t="shared" si="0"/>
        <v>0</v>
      </c>
      <c r="T8" s="664" t="s">
        <v>14</v>
      </c>
      <c r="U8" s="665">
        <f t="shared" si="1"/>
        <v>0</v>
      </c>
      <c r="V8" s="664" t="s">
        <v>14</v>
      </c>
      <c r="W8" s="665">
        <f t="shared" si="2"/>
        <v>0</v>
      </c>
      <c r="X8" s="666"/>
      <c r="Y8" s="3415" t="s">
        <v>1683</v>
      </c>
      <c r="Z8" s="3416"/>
      <c r="AA8" s="50" t="e">
        <f t="shared" ref="AA8:AA40" si="3">D8/F8</f>
        <v>#DIV/0!</v>
      </c>
      <c r="AB8" s="50" t="e">
        <f t="shared" ref="AB8:AB40" si="4">D8/H8</f>
        <v>#DIV/0!</v>
      </c>
      <c r="AC8" s="50" t="e">
        <f t="shared" ref="AC8:AC40" si="5">D8/J8</f>
        <v>#DIV/0!</v>
      </c>
    </row>
    <row r="9" spans="1:29" s="102" customFormat="1">
      <c r="A9" s="359"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81"/>
      <c r="M9" s="2432"/>
      <c r="N9" s="2432"/>
      <c r="O9" s="2533"/>
      <c r="P9" s="338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2"/>
      <c r="M10" s="2483"/>
      <c r="N10" s="2483"/>
      <c r="O10" s="2534"/>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4"/>
      <c r="M11" s="2480"/>
      <c r="N11" s="2480"/>
      <c r="O11" s="2535"/>
      <c r="P11" s="3380"/>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1"/>
      <c r="M12" s="2432"/>
      <c r="N12" s="2432"/>
      <c r="O12" s="2533"/>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5"/>
      <c r="M13" s="2480"/>
      <c r="N13" s="2480"/>
      <c r="O13" s="2535"/>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5">
        <v>111</v>
      </c>
      <c r="C14" s="376"/>
      <c r="D14" s="377">
        <v>100</v>
      </c>
      <c r="E14" s="480"/>
      <c r="F14" s="377">
        <f>SUMIF(81:81,E14,82:82)-SUMIF(81:81,C14,82:82)+100</f>
        <v>100</v>
      </c>
      <c r="G14" s="594"/>
      <c r="H14" s="377">
        <f>SUMIF(81:81,G14,82:82)-SUMIF(81:81,C14,82:82)+100</f>
        <v>100</v>
      </c>
      <c r="I14" s="480"/>
      <c r="J14" s="377">
        <f>SUMIF(81:81,I14,82:82)-SUMIF(81:81,C14,82:82)+100</f>
        <v>100</v>
      </c>
      <c r="K14" s="592"/>
      <c r="L14" s="2485"/>
      <c r="M14" s="2480"/>
      <c r="N14" s="2480"/>
      <c r="O14" s="2535"/>
      <c r="P14" s="338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57">
      <c r="A15" s="379" t="s">
        <v>1690</v>
      </c>
      <c r="B15" s="554" t="s">
        <v>1920</v>
      </c>
      <c r="C15" s="1813"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5"/>
      <c r="M15" s="2480"/>
      <c r="N15" s="2480"/>
      <c r="O15" s="2535"/>
      <c r="P15" s="3382" t="s">
        <v>1691</v>
      </c>
      <c r="Q15" s="1259" t="str">
        <f t="shared" si="6"/>
        <v>产业集聚程度</v>
      </c>
      <c r="R15" s="667" t="s">
        <v>14</v>
      </c>
      <c r="S15" s="668">
        <f t="shared" si="0"/>
        <v>100</v>
      </c>
      <c r="T15" s="667" t="s">
        <v>14</v>
      </c>
      <c r="U15" s="668">
        <f t="shared" si="1"/>
        <v>100</v>
      </c>
      <c r="V15" s="667" t="s">
        <v>14</v>
      </c>
      <c r="W15" s="668">
        <f t="shared" si="2"/>
        <v>100</v>
      </c>
      <c r="X15" s="1261"/>
      <c r="Y15" s="3382" t="s">
        <v>1691</v>
      </c>
      <c r="Z15" s="1260" t="str">
        <f t="shared" si="7"/>
        <v>产业集聚程度</v>
      </c>
      <c r="AA15" s="1260">
        <f t="shared" si="3"/>
        <v>1</v>
      </c>
      <c r="AB15" s="1260">
        <f t="shared" si="4"/>
        <v>1</v>
      </c>
      <c r="AC15" s="1260">
        <f t="shared" si="5"/>
        <v>1</v>
      </c>
    </row>
    <row r="16" spans="1:29" ht="15">
      <c r="A16" s="367"/>
      <c r="B16" s="555"/>
      <c r="C16" s="386"/>
      <c r="D16" s="387"/>
      <c r="E16" s="1754"/>
      <c r="F16" s="387"/>
      <c r="G16" s="1754"/>
      <c r="H16" s="389"/>
      <c r="I16" s="1754"/>
      <c r="J16" s="387"/>
      <c r="K16" s="592"/>
      <c r="L16" s="2485"/>
      <c r="M16" s="2480"/>
      <c r="N16" s="2480"/>
      <c r="O16" s="2535"/>
      <c r="P16" s="3383"/>
      <c r="Q16" s="1259"/>
      <c r="R16" s="667"/>
      <c r="S16" s="668"/>
      <c r="T16" s="667"/>
      <c r="U16" s="668"/>
      <c r="V16" s="667"/>
      <c r="W16" s="668"/>
      <c r="X16" s="1261"/>
      <c r="Y16" s="3383"/>
      <c r="Z16" s="1260"/>
      <c r="AA16" s="1260">
        <v>1</v>
      </c>
      <c r="AB16" s="1260">
        <v>1</v>
      </c>
      <c r="AC16" s="1260">
        <v>1</v>
      </c>
    </row>
    <row r="17" spans="1:29" ht="85.5">
      <c r="A17" s="367"/>
      <c r="B17" s="556" t="s">
        <v>1833</v>
      </c>
      <c r="C17" s="1750"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5"/>
      <c r="M17" s="2480"/>
      <c r="N17" s="2480"/>
      <c r="O17" s="2535"/>
      <c r="P17" s="3383"/>
      <c r="Q17" s="1259" t="str">
        <f>B17</f>
        <v>交通便捷度</v>
      </c>
      <c r="R17" s="667" t="s">
        <v>14</v>
      </c>
      <c r="S17" s="668">
        <f>F17</f>
        <v>100</v>
      </c>
      <c r="T17" s="667" t="s">
        <v>14</v>
      </c>
      <c r="U17" s="668">
        <f>H17</f>
        <v>100</v>
      </c>
      <c r="V17" s="667" t="s">
        <v>14</v>
      </c>
      <c r="W17" s="668">
        <f>J17</f>
        <v>100</v>
      </c>
      <c r="X17" s="1261"/>
      <c r="Y17" s="3383"/>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2"/>
      <c r="L18" s="2485"/>
      <c r="M18" s="2480"/>
      <c r="N18" s="2480"/>
      <c r="O18" s="2535"/>
      <c r="P18" s="3383"/>
      <c r="Q18" s="1259"/>
      <c r="R18" s="667"/>
      <c r="S18" s="668"/>
      <c r="T18" s="667"/>
      <c r="U18" s="668"/>
      <c r="V18" s="667"/>
      <c r="W18" s="668"/>
      <c r="X18" s="1261"/>
      <c r="Y18" s="3383"/>
      <c r="Z18" s="1260"/>
      <c r="AA18" s="1260">
        <v>1</v>
      </c>
      <c r="AB18" s="1260">
        <v>1</v>
      </c>
      <c r="AC18" s="1260">
        <v>1</v>
      </c>
    </row>
    <row r="19" spans="1:29" ht="15">
      <c r="A19" s="367"/>
      <c r="B19" s="556" t="s">
        <v>1871</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5"/>
      <c r="M19" s="2480"/>
      <c r="N19" s="2480"/>
      <c r="O19" s="2535"/>
      <c r="P19" s="3383"/>
      <c r="Q19" s="1259" t="str">
        <f t="shared" ref="Q19:Q33" si="8">B19</f>
        <v>区域土地利用方向</v>
      </c>
      <c r="R19" s="667" t="s">
        <v>14</v>
      </c>
      <c r="S19" s="668">
        <f>F19</f>
        <v>100</v>
      </c>
      <c r="T19" s="667" t="s">
        <v>14</v>
      </c>
      <c r="U19" s="668">
        <f>H19</f>
        <v>100</v>
      </c>
      <c r="V19" s="667" t="s">
        <v>14</v>
      </c>
      <c r="W19" s="668">
        <f>J19</f>
        <v>100</v>
      </c>
      <c r="X19" s="1261"/>
      <c r="Y19" s="3383"/>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4"/>
      <c r="L20" s="2485"/>
      <c r="M20" s="2480"/>
      <c r="N20" s="2480"/>
      <c r="O20" s="2535"/>
      <c r="P20" s="3383"/>
      <c r="Q20" s="1259"/>
      <c r="R20" s="667"/>
      <c r="S20" s="668"/>
      <c r="T20" s="667"/>
      <c r="U20" s="668"/>
      <c r="V20" s="667"/>
      <c r="W20" s="668"/>
      <c r="X20" s="1261"/>
      <c r="Y20" s="3383"/>
      <c r="Z20" s="1260"/>
      <c r="AA20" s="1260"/>
      <c r="AB20" s="1260"/>
      <c r="AC20" s="1260"/>
    </row>
    <row r="21" spans="1:29" ht="71.25">
      <c r="A21" s="348"/>
      <c r="B21" s="556" t="s">
        <v>1921</v>
      </c>
      <c r="C21" s="1750"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5"/>
      <c r="M21" s="2480"/>
      <c r="N21" s="2480"/>
      <c r="O21" s="2535"/>
      <c r="P21" s="3383"/>
      <c r="Q21" s="1259" t="str">
        <f t="shared" si="8"/>
        <v>环境状况</v>
      </c>
      <c r="R21" s="667" t="s">
        <v>14</v>
      </c>
      <c r="S21" s="668">
        <f>F21</f>
        <v>100</v>
      </c>
      <c r="T21" s="667" t="s">
        <v>14</v>
      </c>
      <c r="U21" s="668">
        <f>H21</f>
        <v>100</v>
      </c>
      <c r="V21" s="667" t="s">
        <v>14</v>
      </c>
      <c r="W21" s="668">
        <f>J21</f>
        <v>100</v>
      </c>
      <c r="X21" s="1261"/>
      <c r="Y21" s="3383"/>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2"/>
      <c r="L22" s="2485"/>
      <c r="M22" s="2480"/>
      <c r="N22" s="2480"/>
      <c r="O22" s="2535"/>
      <c r="P22" s="3383"/>
      <c r="Q22" s="1259"/>
      <c r="R22" s="667"/>
      <c r="S22" s="668"/>
      <c r="T22" s="667"/>
      <c r="U22" s="668"/>
      <c r="V22" s="667"/>
      <c r="W22" s="668"/>
      <c r="X22" s="1261"/>
      <c r="Y22" s="3383"/>
      <c r="Z22" s="1260"/>
      <c r="AA22" s="1260">
        <v>1</v>
      </c>
      <c r="AB22" s="1260">
        <v>1</v>
      </c>
      <c r="AC22" s="1260">
        <v>1</v>
      </c>
    </row>
    <row r="23" spans="1:29" s="102" customFormat="1" ht="42.75">
      <c r="A23" s="443"/>
      <c r="B23" s="557" t="s">
        <v>1778</v>
      </c>
      <c r="C23" s="1750"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1"/>
      <c r="M23" s="2432"/>
      <c r="N23" s="2432"/>
      <c r="O23" s="2533"/>
      <c r="P23" s="3383"/>
      <c r="Q23" s="530" t="str">
        <f t="shared" si="8"/>
        <v>公共配套设施</v>
      </c>
      <c r="R23" s="664" t="s">
        <v>14</v>
      </c>
      <c r="S23" s="665">
        <f>F23</f>
        <v>100</v>
      </c>
      <c r="T23" s="664" t="s">
        <v>14</v>
      </c>
      <c r="U23" s="665">
        <f>H23</f>
        <v>100</v>
      </c>
      <c r="V23" s="664" t="s">
        <v>14</v>
      </c>
      <c r="W23" s="665">
        <f>J23</f>
        <v>100</v>
      </c>
      <c r="X23" s="666"/>
      <c r="Y23" s="3383"/>
      <c r="Z23" s="50" t="str">
        <f>Q23</f>
        <v>公共配套设施</v>
      </c>
      <c r="AA23" s="1260">
        <f>D23/F23</f>
        <v>1</v>
      </c>
      <c r="AB23" s="1260">
        <f>D23/H23</f>
        <v>1</v>
      </c>
      <c r="AC23" s="1260">
        <f>D23/J23</f>
        <v>1</v>
      </c>
    </row>
    <row r="24" spans="1:29" s="102" customFormat="1" ht="15">
      <c r="A24" s="443"/>
      <c r="B24" s="401"/>
      <c r="C24" s="1820"/>
      <c r="D24" s="387"/>
      <c r="E24" s="1754"/>
      <c r="F24" s="387"/>
      <c r="G24" s="1754"/>
      <c r="H24" s="387"/>
      <c r="I24" s="386"/>
      <c r="J24" s="387"/>
      <c r="K24" s="592"/>
      <c r="L24" s="2481"/>
      <c r="M24" s="2432"/>
      <c r="N24" s="2432"/>
      <c r="O24" s="2533"/>
      <c r="P24" s="3383"/>
      <c r="Q24" s="530"/>
      <c r="R24" s="664"/>
      <c r="S24" s="665"/>
      <c r="T24" s="664"/>
      <c r="U24" s="665"/>
      <c r="V24" s="664"/>
      <c r="W24" s="665"/>
      <c r="X24" s="666"/>
      <c r="Y24" s="3383"/>
      <c r="Z24" s="50"/>
      <c r="AA24" s="50">
        <v>1</v>
      </c>
      <c r="AB24" s="50">
        <v>1</v>
      </c>
      <c r="AC24" s="50">
        <v>1</v>
      </c>
    </row>
    <row r="25" spans="1:29" s="102" customFormat="1" ht="28.5">
      <c r="A25" s="443"/>
      <c r="B25" s="557" t="s">
        <v>1779</v>
      </c>
      <c r="C25" s="1750"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1"/>
      <c r="M25" s="2432"/>
      <c r="N25" s="2432"/>
      <c r="O25" s="2533"/>
      <c r="P25" s="3383"/>
      <c r="Q25" s="530" t="str">
        <f t="shared" ref="Q25" si="9">B25</f>
        <v>基础设施水平</v>
      </c>
      <c r="R25" s="664" t="s">
        <v>14</v>
      </c>
      <c r="S25" s="665">
        <f>F25</f>
        <v>100</v>
      </c>
      <c r="T25" s="664" t="s">
        <v>14</v>
      </c>
      <c r="U25" s="665">
        <f>H25</f>
        <v>100</v>
      </c>
      <c r="V25" s="664" t="s">
        <v>14</v>
      </c>
      <c r="W25" s="665">
        <f>J25</f>
        <v>100</v>
      </c>
      <c r="X25" s="666"/>
      <c r="Y25" s="3383"/>
      <c r="Z25" s="50" t="str">
        <f>Q25</f>
        <v>基础设施水平</v>
      </c>
      <c r="AA25" s="1260">
        <f>D25/F25</f>
        <v>1</v>
      </c>
      <c r="AB25" s="1260">
        <f>D25/H25</f>
        <v>1</v>
      </c>
      <c r="AC25" s="1260">
        <f>D25/J25</f>
        <v>1</v>
      </c>
    </row>
    <row r="26" spans="1:29" s="102" customFormat="1" ht="15">
      <c r="A26" s="443"/>
      <c r="B26" s="401"/>
      <c r="C26" s="1820"/>
      <c r="D26" s="387"/>
      <c r="E26" s="1821"/>
      <c r="F26" s="387"/>
      <c r="G26" s="1821"/>
      <c r="H26" s="387"/>
      <c r="I26" s="1821"/>
      <c r="J26" s="387"/>
      <c r="K26" s="592"/>
      <c r="L26" s="2481"/>
      <c r="M26" s="2432"/>
      <c r="N26" s="2432"/>
      <c r="O26" s="2533"/>
      <c r="P26" s="3383"/>
      <c r="Q26" s="530"/>
      <c r="R26" s="664"/>
      <c r="S26" s="665"/>
      <c r="T26" s="664"/>
      <c r="U26" s="665"/>
      <c r="V26" s="664"/>
      <c r="W26" s="665"/>
      <c r="X26" s="666"/>
      <c r="Y26" s="338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5"/>
      <c r="M27" s="2480"/>
      <c r="N27" s="2480"/>
      <c r="O27" s="2535"/>
      <c r="P27" s="3383"/>
      <c r="Q27" s="1259" t="str">
        <f t="shared" si="8"/>
        <v>临街状况</v>
      </c>
      <c r="R27" s="667" t="s">
        <v>14</v>
      </c>
      <c r="S27" s="668">
        <f t="shared" ref="S27:S40" si="10">F27</f>
        <v>100</v>
      </c>
      <c r="T27" s="667" t="s">
        <v>14</v>
      </c>
      <c r="U27" s="668">
        <f t="shared" ref="U27:U40" si="11">H27</f>
        <v>100</v>
      </c>
      <c r="V27" s="667" t="s">
        <v>14</v>
      </c>
      <c r="W27" s="668">
        <f t="shared" ref="W27:W40" si="12">J27</f>
        <v>100</v>
      </c>
      <c r="X27" s="1261"/>
      <c r="Y27" s="3383"/>
      <c r="Z27" s="1260" t="str">
        <f t="shared" ref="Z27:Z40" si="13">Q27</f>
        <v>临街状况</v>
      </c>
      <c r="AA27" s="1260">
        <f t="shared" si="3"/>
        <v>1</v>
      </c>
      <c r="AB27" s="1260">
        <f t="shared" si="4"/>
        <v>1</v>
      </c>
      <c r="AC27" s="1260">
        <f t="shared" si="5"/>
        <v>1</v>
      </c>
    </row>
    <row r="28" spans="1:29" ht="27">
      <c r="A28" s="367"/>
      <c r="B28" s="557" t="s">
        <v>1815</v>
      </c>
      <c r="C28" s="1832">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5"/>
      <c r="M28" s="2480"/>
      <c r="N28" s="2480"/>
      <c r="O28" s="2535"/>
      <c r="P28" s="3383"/>
      <c r="Q28" s="1259" t="str">
        <f t="shared" si="8"/>
        <v>毗邻道路的类型与等级</v>
      </c>
      <c r="R28" s="667" t="s">
        <v>14</v>
      </c>
      <c r="S28" s="668">
        <f t="shared" si="10"/>
        <v>100</v>
      </c>
      <c r="T28" s="667" t="s">
        <v>14</v>
      </c>
      <c r="U28" s="668">
        <f t="shared" si="11"/>
        <v>100</v>
      </c>
      <c r="V28" s="667" t="s">
        <v>14</v>
      </c>
      <c r="W28" s="668">
        <f t="shared" si="12"/>
        <v>100</v>
      </c>
      <c r="X28" s="1261"/>
      <c r="Y28" s="3383"/>
      <c r="Z28" s="1260" t="str">
        <f t="shared" si="13"/>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5"/>
      <c r="M29" s="2480"/>
      <c r="N29" s="2480"/>
      <c r="O29" s="2535"/>
      <c r="P29" s="3383"/>
      <c r="Q29" s="1259"/>
      <c r="R29" s="667"/>
      <c r="S29" s="668"/>
      <c r="T29" s="667"/>
      <c r="U29" s="668"/>
      <c r="V29" s="667"/>
      <c r="W29" s="668"/>
      <c r="X29" s="1261"/>
      <c r="Y29" s="3383"/>
      <c r="Z29" s="1260"/>
      <c r="AA29" s="1260">
        <v>1</v>
      </c>
      <c r="AB29" s="1260">
        <v>1</v>
      </c>
      <c r="AC29" s="1260">
        <v>1</v>
      </c>
    </row>
    <row r="30" spans="1:29" ht="15">
      <c r="A30" s="367"/>
      <c r="B30" s="119" t="s">
        <v>1873</v>
      </c>
      <c r="C30" s="1065">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5"/>
      <c r="M30" s="2480"/>
      <c r="N30" s="2480"/>
      <c r="O30" s="2535"/>
      <c r="P30" s="3383"/>
      <c r="Q30" s="1259" t="str">
        <f t="shared" si="8"/>
        <v>土地级别</v>
      </c>
      <c r="R30" s="667" t="s">
        <v>14</v>
      </c>
      <c r="S30" s="668">
        <f t="shared" si="10"/>
        <v>100</v>
      </c>
      <c r="T30" s="667" t="s">
        <v>14</v>
      </c>
      <c r="U30" s="668">
        <f t="shared" si="11"/>
        <v>100</v>
      </c>
      <c r="V30" s="667" t="s">
        <v>14</v>
      </c>
      <c r="W30" s="668">
        <f t="shared" si="12"/>
        <v>100</v>
      </c>
      <c r="X30" s="1261"/>
      <c r="Y30" s="3383"/>
      <c r="Z30" s="1260" t="str">
        <f t="shared" si="13"/>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5"/>
      <c r="M31" s="2480"/>
      <c r="N31" s="2480"/>
      <c r="O31" s="2535"/>
      <c r="P31" s="3383"/>
      <c r="Q31" s="1259">
        <f t="shared" si="8"/>
        <v>111</v>
      </c>
      <c r="R31" s="667" t="s">
        <v>14</v>
      </c>
      <c r="S31" s="668">
        <f t="shared" si="10"/>
        <v>100</v>
      </c>
      <c r="T31" s="667" t="s">
        <v>14</v>
      </c>
      <c r="U31" s="668">
        <f t="shared" si="11"/>
        <v>100</v>
      </c>
      <c r="V31" s="667" t="s">
        <v>14</v>
      </c>
      <c r="W31" s="668">
        <f t="shared" si="12"/>
        <v>100</v>
      </c>
      <c r="X31" s="1261"/>
      <c r="Y31" s="3383"/>
      <c r="Z31" s="1260">
        <f t="shared" si="13"/>
        <v>111</v>
      </c>
      <c r="AA31" s="1260">
        <f t="shared" si="3"/>
        <v>1</v>
      </c>
      <c r="AB31" s="1260">
        <f t="shared" si="4"/>
        <v>1</v>
      </c>
      <c r="AC31" s="1260">
        <f t="shared" si="5"/>
        <v>1</v>
      </c>
    </row>
    <row r="32" spans="1:29" ht="15">
      <c r="A32" s="595"/>
      <c r="B32" s="1833">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5"/>
      <c r="M32" s="2480"/>
      <c r="N32" s="2480"/>
      <c r="O32" s="2535"/>
      <c r="P32" s="3437" t="s">
        <v>1696</v>
      </c>
      <c r="Q32" s="1259">
        <f t="shared" si="8"/>
        <v>111</v>
      </c>
      <c r="R32" s="667" t="s">
        <v>14</v>
      </c>
      <c r="S32" s="668">
        <f t="shared" si="10"/>
        <v>100</v>
      </c>
      <c r="T32" s="667" t="s">
        <v>14</v>
      </c>
      <c r="U32" s="668">
        <f t="shared" si="11"/>
        <v>100</v>
      </c>
      <c r="V32" s="667" t="s">
        <v>14</v>
      </c>
      <c r="W32" s="668">
        <f t="shared" si="12"/>
        <v>100</v>
      </c>
      <c r="X32" s="1261"/>
      <c r="Y32" s="3387" t="s">
        <v>1696</v>
      </c>
      <c r="Z32" s="1260">
        <f t="shared" si="13"/>
        <v>111</v>
      </c>
      <c r="AA32" s="1260">
        <f t="shared" si="3"/>
        <v>1</v>
      </c>
      <c r="AB32" s="1260">
        <f t="shared" si="4"/>
        <v>1</v>
      </c>
      <c r="AC32" s="1260">
        <f t="shared" si="5"/>
        <v>1</v>
      </c>
    </row>
    <row r="33" spans="1:31" s="408" customFormat="1" ht="15.75" thickBot="1">
      <c r="A33" s="596"/>
      <c r="B33" s="1834">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4"/>
      <c r="M33" s="2486"/>
      <c r="N33" s="2486"/>
      <c r="O33" s="2536"/>
      <c r="P33" s="3387"/>
      <c r="Q33" s="1259">
        <f t="shared" si="8"/>
        <v>111</v>
      </c>
      <c r="R33" s="669" t="s">
        <v>14</v>
      </c>
      <c r="S33" s="670">
        <f t="shared" si="10"/>
        <v>100</v>
      </c>
      <c r="T33" s="669" t="s">
        <v>14</v>
      </c>
      <c r="U33" s="670">
        <f t="shared" si="11"/>
        <v>100</v>
      </c>
      <c r="V33" s="669" t="s">
        <v>14</v>
      </c>
      <c r="W33" s="670">
        <f t="shared" si="12"/>
        <v>100</v>
      </c>
      <c r="X33" s="671"/>
      <c r="Y33" s="3387"/>
      <c r="Z33" s="672">
        <f t="shared" si="13"/>
        <v>111</v>
      </c>
      <c r="AA33" s="1260">
        <f t="shared" si="3"/>
        <v>1</v>
      </c>
      <c r="AB33" s="1260">
        <f t="shared" si="4"/>
        <v>1</v>
      </c>
      <c r="AC33" s="1260">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5"/>
      <c r="M34" s="2480"/>
      <c r="N34" s="2480"/>
      <c r="O34" s="2535"/>
      <c r="P34" s="3387"/>
      <c r="Q34" s="1259" t="str">
        <f>B34</f>
        <v>宗地面积</v>
      </c>
      <c r="R34" s="667" t="s">
        <v>14</v>
      </c>
      <c r="S34" s="668" t="e">
        <f t="shared" si="10"/>
        <v>#N/A</v>
      </c>
      <c r="T34" s="667" t="s">
        <v>14</v>
      </c>
      <c r="U34" s="668" t="e">
        <f t="shared" si="11"/>
        <v>#N/A</v>
      </c>
      <c r="V34" s="667" t="s">
        <v>14</v>
      </c>
      <c r="W34" s="668" t="e">
        <f t="shared" si="12"/>
        <v>#N/A</v>
      </c>
      <c r="X34" s="1261"/>
      <c r="Y34" s="3387"/>
      <c r="Z34" s="1260" t="str">
        <f t="shared" si="13"/>
        <v>宗地面积</v>
      </c>
      <c r="AA34" s="1260" t="e">
        <f t="shared" si="3"/>
        <v>#N/A</v>
      </c>
      <c r="AB34" s="1260" t="e">
        <f t="shared" si="4"/>
        <v>#N/A</v>
      </c>
      <c r="AC34" s="1260" t="e">
        <f t="shared" si="5"/>
        <v>#N/A</v>
      </c>
    </row>
    <row r="35" spans="1:31" ht="15">
      <c r="A35" s="409"/>
      <c r="B35" s="364" t="s">
        <v>1875</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5"/>
      <c r="M35" s="2480"/>
      <c r="N35" s="2480"/>
      <c r="O35" s="2535"/>
      <c r="P35" s="3387"/>
      <c r="Q35" s="1259" t="str">
        <f t="shared" ref="Q35:Q40" si="14">B35</f>
        <v>宗地形状</v>
      </c>
      <c r="R35" s="667" t="s">
        <v>14</v>
      </c>
      <c r="S35" s="668">
        <f t="shared" si="10"/>
        <v>100</v>
      </c>
      <c r="T35" s="667" t="s">
        <v>14</v>
      </c>
      <c r="U35" s="668">
        <f t="shared" si="11"/>
        <v>100</v>
      </c>
      <c r="V35" s="667" t="s">
        <v>14</v>
      </c>
      <c r="W35" s="668">
        <f t="shared" si="12"/>
        <v>100</v>
      </c>
      <c r="X35" s="1261"/>
      <c r="Y35" s="3387"/>
      <c r="Z35" s="1260" t="str">
        <f t="shared" si="13"/>
        <v>宗地形状</v>
      </c>
      <c r="AA35" s="1260">
        <f t="shared" si="3"/>
        <v>1</v>
      </c>
      <c r="AB35" s="1260">
        <f t="shared" si="4"/>
        <v>1</v>
      </c>
      <c r="AC35" s="1260">
        <f t="shared" si="5"/>
        <v>1</v>
      </c>
    </row>
    <row r="36" spans="1:31" s="102" customFormat="1" ht="15">
      <c r="A36" s="410"/>
      <c r="B36" s="364" t="s">
        <v>1877</v>
      </c>
      <c r="C36" s="1822"/>
      <c r="D36" s="119">
        <v>100</v>
      </c>
      <c r="E36" s="1822"/>
      <c r="F36" s="374">
        <f>SUMIF(112:112,E36,113:113)-SUMIF(112:112,C36,113:113)+100</f>
        <v>100</v>
      </c>
      <c r="G36" s="1822"/>
      <c r="H36" s="374">
        <f>SUMIF(112:112,G36,113:113)-SUMIF(112:112,C36,113:113)+100</f>
        <v>100</v>
      </c>
      <c r="I36" s="1822"/>
      <c r="J36" s="374">
        <f>SUMIF(112:112,I36,113:113)-SUMIF(112:112,C36,113:113)+100</f>
        <v>100</v>
      </c>
      <c r="K36" s="538"/>
      <c r="L36" s="2481"/>
      <c r="M36" s="2432"/>
      <c r="N36" s="2432"/>
      <c r="O36" s="2533"/>
      <c r="P36" s="3387"/>
      <c r="Q36" s="1259" t="str">
        <f t="shared" si="14"/>
        <v>宗地开发程度</v>
      </c>
      <c r="R36" s="664" t="s">
        <v>14</v>
      </c>
      <c r="S36" s="665">
        <f t="shared" si="10"/>
        <v>100</v>
      </c>
      <c r="T36" s="664" t="s">
        <v>14</v>
      </c>
      <c r="U36" s="665">
        <f t="shared" si="11"/>
        <v>100</v>
      </c>
      <c r="V36" s="664" t="s">
        <v>14</v>
      </c>
      <c r="W36" s="665">
        <f t="shared" si="12"/>
        <v>100</v>
      </c>
      <c r="X36" s="666"/>
      <c r="Y36" s="3387"/>
      <c r="Z36" s="50" t="str">
        <f t="shared" si="13"/>
        <v>宗地开发程度</v>
      </c>
      <c r="AA36" s="50">
        <f t="shared" si="3"/>
        <v>1</v>
      </c>
      <c r="AB36" s="50">
        <f t="shared" si="4"/>
        <v>1</v>
      </c>
      <c r="AC36" s="50">
        <f t="shared" si="5"/>
        <v>1</v>
      </c>
    </row>
    <row r="37" spans="1:31" ht="15">
      <c r="A37" s="409"/>
      <c r="B37" s="364" t="s">
        <v>1878</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5"/>
      <c r="M37" s="2480"/>
      <c r="N37" s="2480"/>
      <c r="O37" s="2535"/>
      <c r="P37" s="3387" t="s">
        <v>1696</v>
      </c>
      <c r="Q37" s="1259" t="str">
        <f t="shared" si="14"/>
        <v>工程地质条件</v>
      </c>
      <c r="R37" s="667" t="s">
        <v>14</v>
      </c>
      <c r="S37" s="668">
        <f t="shared" si="10"/>
        <v>100</v>
      </c>
      <c r="T37" s="667" t="s">
        <v>14</v>
      </c>
      <c r="U37" s="668">
        <f t="shared" si="11"/>
        <v>100</v>
      </c>
      <c r="V37" s="667" t="s">
        <v>14</v>
      </c>
      <c r="W37" s="668">
        <f t="shared" si="12"/>
        <v>100</v>
      </c>
      <c r="X37" s="1261"/>
      <c r="Y37" s="3387" t="s">
        <v>1696</v>
      </c>
      <c r="Z37" s="1260" t="str">
        <f t="shared" si="13"/>
        <v>工程地质条件</v>
      </c>
      <c r="AA37" s="1260">
        <f t="shared" si="3"/>
        <v>1</v>
      </c>
      <c r="AB37" s="1260">
        <f t="shared" si="4"/>
        <v>1</v>
      </c>
      <c r="AC37" s="1260">
        <f t="shared" si="5"/>
        <v>1</v>
      </c>
    </row>
    <row r="38" spans="1:31" ht="15">
      <c r="A38" s="409"/>
      <c r="B38" s="1063">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5"/>
      <c r="M38" s="2480"/>
      <c r="N38" s="2480"/>
      <c r="O38" s="2535"/>
      <c r="P38" s="3387"/>
      <c r="Q38" s="1259">
        <f t="shared" si="14"/>
        <v>111</v>
      </c>
      <c r="R38" s="667" t="s">
        <v>14</v>
      </c>
      <c r="S38" s="668">
        <f t="shared" si="10"/>
        <v>100</v>
      </c>
      <c r="T38" s="667" t="s">
        <v>14</v>
      </c>
      <c r="U38" s="668">
        <f t="shared" si="11"/>
        <v>100</v>
      </c>
      <c r="V38" s="667" t="s">
        <v>14</v>
      </c>
      <c r="W38" s="668">
        <f t="shared" si="12"/>
        <v>100</v>
      </c>
      <c r="X38" s="1261"/>
      <c r="Y38" s="3387"/>
      <c r="Z38" s="1260">
        <f t="shared" si="13"/>
        <v>111</v>
      </c>
      <c r="AA38" s="1260">
        <f t="shared" si="3"/>
        <v>1</v>
      </c>
      <c r="AB38" s="1260">
        <f t="shared" si="4"/>
        <v>1</v>
      </c>
      <c r="AC38" s="1260">
        <f t="shared" si="5"/>
        <v>1</v>
      </c>
    </row>
    <row r="39" spans="1:31" ht="15">
      <c r="A39" s="409"/>
      <c r="B39" s="1063">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5"/>
      <c r="M39" s="2480"/>
      <c r="N39" s="2480"/>
      <c r="O39" s="2535"/>
      <c r="P39" s="3387"/>
      <c r="Q39" s="1259">
        <f t="shared" si="14"/>
        <v>111</v>
      </c>
      <c r="R39" s="667" t="s">
        <v>14</v>
      </c>
      <c r="S39" s="668">
        <f t="shared" si="10"/>
        <v>100</v>
      </c>
      <c r="T39" s="667" t="s">
        <v>14</v>
      </c>
      <c r="U39" s="668">
        <f t="shared" si="11"/>
        <v>100</v>
      </c>
      <c r="V39" s="667" t="s">
        <v>14</v>
      </c>
      <c r="W39" s="668">
        <f t="shared" si="12"/>
        <v>100</v>
      </c>
      <c r="X39" s="1261"/>
      <c r="Y39" s="3387"/>
      <c r="Z39" s="1260">
        <f t="shared" si="13"/>
        <v>111</v>
      </c>
      <c r="AA39" s="1260">
        <f t="shared" si="3"/>
        <v>1</v>
      </c>
      <c r="AB39" s="1260">
        <f t="shared" si="4"/>
        <v>1</v>
      </c>
      <c r="AC39" s="1260">
        <f t="shared" si="5"/>
        <v>1</v>
      </c>
    </row>
    <row r="40" spans="1:31" s="408" customFormat="1" ht="15.75" thickBot="1">
      <c r="A40" s="406"/>
      <c r="B40" s="1063">
        <v>111</v>
      </c>
      <c r="C40" s="1823"/>
      <c r="D40" s="120">
        <v>100</v>
      </c>
      <c r="E40" s="594"/>
      <c r="F40" s="377">
        <f>SUMIF(120:120,E40,121:121)-SUMIF(120:120,C40,121:121)+100</f>
        <v>100</v>
      </c>
      <c r="G40" s="594"/>
      <c r="H40" s="377">
        <f>SUMIF(120:120,G40,121:121)-SUMIF(120:120,C40,121:121)+100</f>
        <v>100</v>
      </c>
      <c r="I40" s="480"/>
      <c r="J40" s="377">
        <f>SUMIF(120:120,I40,121:121)-SUMIF(120:120,C40,121:121)+100</f>
        <v>100</v>
      </c>
      <c r="K40" s="601"/>
      <c r="L40" s="2484"/>
      <c r="M40" s="2486"/>
      <c r="N40" s="2486"/>
      <c r="O40" s="2536"/>
      <c r="P40" s="3387"/>
      <c r="Q40" s="1259">
        <f t="shared" si="14"/>
        <v>111</v>
      </c>
      <c r="R40" s="669" t="s">
        <v>14</v>
      </c>
      <c r="S40" s="670">
        <f t="shared" si="10"/>
        <v>100</v>
      </c>
      <c r="T40" s="669" t="s">
        <v>14</v>
      </c>
      <c r="U40" s="670">
        <f t="shared" si="11"/>
        <v>100</v>
      </c>
      <c r="V40" s="669" t="s">
        <v>14</v>
      </c>
      <c r="W40" s="670">
        <f t="shared" si="12"/>
        <v>100</v>
      </c>
      <c r="X40" s="671"/>
      <c r="Y40" s="3387"/>
      <c r="Z40" s="672">
        <f t="shared" si="13"/>
        <v>111</v>
      </c>
      <c r="AA40" s="1260">
        <f t="shared" si="3"/>
        <v>1</v>
      </c>
      <c r="AB40" s="1260">
        <f t="shared" si="4"/>
        <v>1</v>
      </c>
      <c r="AC40" s="1260">
        <f t="shared" si="5"/>
        <v>1</v>
      </c>
    </row>
    <row r="41" spans="1:31" ht="15">
      <c r="A41" s="416" t="s">
        <v>1844</v>
      </c>
      <c r="B41" s="1824" t="s">
        <v>1922</v>
      </c>
      <c r="C41" s="602" t="s">
        <v>0</v>
      </c>
      <c r="D41" s="418"/>
      <c r="E41" s="419"/>
      <c r="F41" s="420"/>
      <c r="G41" s="421"/>
      <c r="H41" s="422"/>
      <c r="I41" s="419"/>
      <c r="J41" s="422"/>
      <c r="K41" s="674"/>
      <c r="L41" s="2487"/>
      <c r="M41" s="2480"/>
      <c r="N41" s="2480"/>
      <c r="O41" s="2480"/>
      <c r="P41" s="3380" t="str">
        <f>A41</f>
        <v>成交单价</v>
      </c>
      <c r="Q41" s="3380"/>
      <c r="R41" s="3381">
        <f>E41</f>
        <v>0</v>
      </c>
      <c r="S41" s="3381"/>
      <c r="T41" s="3381">
        <f>G41</f>
        <v>0</v>
      </c>
      <c r="U41" s="3381"/>
      <c r="V41" s="3381">
        <f>I41</f>
        <v>0</v>
      </c>
      <c r="W41" s="3381"/>
      <c r="X41" s="385"/>
      <c r="Y41" s="673"/>
      <c r="Z41" s="385"/>
      <c r="AA41" s="385"/>
      <c r="AB41" s="385"/>
      <c r="AC41" s="385"/>
    </row>
    <row r="42" spans="1:31" ht="15.75" thickBot="1">
      <c r="A42" s="423" t="s">
        <v>1793</v>
      </c>
      <c r="B42" s="603"/>
      <c r="C42" s="426" t="e">
        <f>R43</f>
        <v>#DIV/0!</v>
      </c>
      <c r="D42" s="2135" t="s">
        <v>2138</v>
      </c>
      <c r="E42" s="426" t="e">
        <f>R42</f>
        <v>#DIV/0!</v>
      </c>
      <c r="F42" s="2136"/>
      <c r="G42" s="425" t="e">
        <f>T42</f>
        <v>#DIV/0!</v>
      </c>
      <c r="H42" s="2136"/>
      <c r="I42" s="426" t="e">
        <f>V42</f>
        <v>#DIV/0!</v>
      </c>
      <c r="J42" s="2136"/>
      <c r="K42" s="2138">
        <f>F42+H42+J42</f>
        <v>0</v>
      </c>
      <c r="L42" s="2487"/>
      <c r="M42" s="2480"/>
      <c r="N42" s="2480"/>
      <c r="O42" s="2480"/>
      <c r="P42" s="3380" t="str">
        <f>A42</f>
        <v>比较价值（元/平方米）</v>
      </c>
      <c r="Q42" s="3380"/>
      <c r="R42" s="3439" t="e">
        <f>ROUND(PRODUCT(R41,AA7:AA40),0)</f>
        <v>#DIV/0!</v>
      </c>
      <c r="S42" s="3439"/>
      <c r="T42" s="3439" t="e">
        <f>ROUND(PRODUCT(T41,AB7:AB40),0)</f>
        <v>#DIV/0!</v>
      </c>
      <c r="U42" s="3439"/>
      <c r="V42" s="3439" t="e">
        <f>ROUND(PRODUCT(V41,AC7:AC40),0)</f>
        <v>#DIV/0!</v>
      </c>
      <c r="W42" s="343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87"/>
      <c r="M43" s="2480"/>
      <c r="N43" s="2480"/>
      <c r="O43" s="2480"/>
      <c r="P43" s="3377" t="str">
        <f>A43</f>
        <v>估价对象XX用房的比较价值（楼面单价，元/平方米）</v>
      </c>
      <c r="Q43" s="3378"/>
      <c r="R43" s="3440" t="e">
        <f>ROUND(IF(D42="简单平均",AVERAGE(R42:W42),R42*F42+T42*H42+V42*J42),0)</f>
        <v>#DIV/0!</v>
      </c>
      <c r="S43" s="3440"/>
      <c r="T43" s="3440"/>
      <c r="U43" s="3440"/>
      <c r="V43" s="3440"/>
      <c r="W43" s="3440"/>
      <c r="X43" s="385"/>
      <c r="Y43" s="385"/>
      <c r="Z43" s="385"/>
      <c r="AA43" s="385"/>
      <c r="AB43" s="385"/>
      <c r="AC43" s="385"/>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7" customFormat="1" ht="13.5" customHeight="1">
      <c r="A48" s="2490"/>
      <c r="B48" s="2490"/>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7" customFormat="1" ht="15" thickBot="1">
      <c r="A49" s="2490"/>
      <c r="B49" s="2493"/>
      <c r="C49" s="657"/>
      <c r="D49" s="655"/>
      <c r="E49" s="655"/>
      <c r="F49" s="655"/>
      <c r="G49" s="655"/>
      <c r="H49" s="655"/>
      <c r="I49" s="655"/>
      <c r="J49" s="655"/>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4" t="s">
        <v>1881</v>
      </c>
      <c r="B50" s="605" t="s">
        <v>1882</v>
      </c>
      <c r="C50" s="1825" t="s">
        <v>1883</v>
      </c>
      <c r="D50" s="1826" t="s">
        <v>1884</v>
      </c>
      <c r="E50" s="606" t="s">
        <v>1885</v>
      </c>
      <c r="F50" s="607" t="s">
        <v>1886</v>
      </c>
      <c r="G50" s="3395" t="s">
        <v>1887</v>
      </c>
      <c r="H50" s="3441"/>
      <c r="I50" s="1260" t="s">
        <v>1923</v>
      </c>
      <c r="J50" s="1260">
        <f>项目基本情况!F35</f>
        <v>0</v>
      </c>
      <c r="K50" s="1828"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2" customFormat="1">
      <c r="A51" s="608" t="s">
        <v>1890</v>
      </c>
      <c r="B51" s="609" t="e">
        <f>C43</f>
        <v>#DIV/0!</v>
      </c>
      <c r="C51" s="610">
        <v>1</v>
      </c>
      <c r="D51" s="886">
        <v>1</v>
      </c>
      <c r="E51" s="610">
        <f>'数据-汇总表'!E8+'数据-汇总表'!E9</f>
        <v>154.79</v>
      </c>
      <c r="F51" s="611" t="e">
        <f t="shared" ref="F51:F60" si="15">ROUND(B51*E51/10000,0)</f>
        <v>#DIV/0!</v>
      </c>
      <c r="G51" s="3391"/>
      <c r="H51" s="3380"/>
      <c r="I51" s="723">
        <v>1</v>
      </c>
      <c r="J51" s="723">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2" customFormat="1">
      <c r="A52" s="613" t="s">
        <v>1891</v>
      </c>
      <c r="B52" s="210" t="e">
        <f>ROUND($C$43*C52*D52,0)</f>
        <v>#DIV/0!</v>
      </c>
      <c r="C52" s="163">
        <f t="shared" ref="C52:C60" si="16">IF($C$50="北京市系数",I52,J52)</f>
        <v>0.6</v>
      </c>
      <c r="D52" s="887">
        <v>0.25</v>
      </c>
      <c r="E52" s="614"/>
      <c r="F52" s="611" t="e">
        <f t="shared" si="15"/>
        <v>#DIV/0!</v>
      </c>
      <c r="G52" s="2743" t="s">
        <v>1892</v>
      </c>
      <c r="H52" s="830" t="str">
        <f>项目基本情况!B37</f>
        <v>四级</v>
      </c>
      <c r="I52" s="723">
        <f>SUMIF(修正!A59:A70,H52,修正!B59:B70)</f>
        <v>0.6</v>
      </c>
      <c r="J52" s="724"/>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2" customFormat="1">
      <c r="A53" s="613" t="s">
        <v>1893</v>
      </c>
      <c r="B53" s="210" t="e">
        <f t="shared" ref="B53:B60" si="17">ROUND($C$43*C53*D53,0)</f>
        <v>#DIV/0!</v>
      </c>
      <c r="C53" s="163">
        <f t="shared" si="16"/>
        <v>0.3</v>
      </c>
      <c r="D53" s="887">
        <v>0.25</v>
      </c>
      <c r="E53" s="614"/>
      <c r="F53" s="611" t="e">
        <f t="shared" si="15"/>
        <v>#DIV/0!</v>
      </c>
      <c r="G53" s="2744"/>
      <c r="H53" s="830" t="str">
        <f>项目基本情况!B37</f>
        <v>四级</v>
      </c>
      <c r="I53" s="723">
        <f>SUMIF(修正!A59:A70,H53,修正!C59:C70)</f>
        <v>0.3</v>
      </c>
      <c r="J53" s="724"/>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2" customFormat="1">
      <c r="A54" s="613" t="s">
        <v>1894</v>
      </c>
      <c r="B54" s="210" t="e">
        <f t="shared" si="17"/>
        <v>#DIV/0!</v>
      </c>
      <c r="C54" s="163">
        <f t="shared" si="16"/>
        <v>0.25</v>
      </c>
      <c r="D54" s="887">
        <v>0.25</v>
      </c>
      <c r="E54" s="614"/>
      <c r="F54" s="611" t="e">
        <f t="shared" si="15"/>
        <v>#DIV/0!</v>
      </c>
      <c r="G54" s="2744"/>
      <c r="H54" s="830" t="str">
        <f>项目基本情况!B37</f>
        <v>四级</v>
      </c>
      <c r="I54" s="723">
        <f>SUMIF(修正!A59:A70,H54,修正!D59:D70)</f>
        <v>0.25</v>
      </c>
      <c r="J54" s="724"/>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2" customFormat="1" hidden="1">
      <c r="A55" s="613"/>
      <c r="B55" s="210"/>
      <c r="C55" s="163"/>
      <c r="D55" s="887"/>
      <c r="E55" s="614"/>
      <c r="F55" s="611"/>
      <c r="G55" s="2745"/>
      <c r="H55" s="830"/>
      <c r="I55" s="723"/>
      <c r="J55" s="724"/>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2" customFormat="1">
      <c r="A56" s="613" t="s">
        <v>1895</v>
      </c>
      <c r="B56" s="210" t="e">
        <f t="shared" si="17"/>
        <v>#DIV/0!</v>
      </c>
      <c r="C56" s="163">
        <f t="shared" si="16"/>
        <v>0.25</v>
      </c>
      <c r="D56" s="887">
        <v>0.25</v>
      </c>
      <c r="E56" s="209">
        <f>'数据-汇总表'!E11</f>
        <v>0</v>
      </c>
      <c r="F56" s="611" t="e">
        <f t="shared" si="15"/>
        <v>#DIV/0!</v>
      </c>
      <c r="G56" s="1829" t="s">
        <v>1896</v>
      </c>
      <c r="H56" s="830" t="str">
        <f>项目基本情况!C37</f>
        <v>四级</v>
      </c>
      <c r="I56" s="723">
        <f>SUMIF(修正!A59:A70,H56,修正!E59:E70)</f>
        <v>0.25</v>
      </c>
      <c r="J56" s="724"/>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2" customFormat="1">
      <c r="A57" s="613" t="s">
        <v>1897</v>
      </c>
      <c r="B57" s="210" t="e">
        <f t="shared" si="17"/>
        <v>#DIV/0!</v>
      </c>
      <c r="C57" s="163">
        <f t="shared" si="16"/>
        <v>0.25</v>
      </c>
      <c r="D57" s="887">
        <v>0.25</v>
      </c>
      <c r="E57" s="209">
        <f>'数据-汇总表'!E12</f>
        <v>0</v>
      </c>
      <c r="F57" s="611" t="e">
        <f t="shared" si="15"/>
        <v>#DIV/0!</v>
      </c>
      <c r="G57" s="835" t="s">
        <v>1898</v>
      </c>
      <c r="H57" s="830" t="str">
        <f>IF(G57="商业",项目基本情况!B37,IF(G57="办公",项目基本情况!C37,IF(G57="住宅",项目基本情况!D37,项目基本情况!E37)))</f>
        <v>四级</v>
      </c>
      <c r="I57" s="723">
        <f>SUMIF(修正!A59:A70,H57,修正!F59:F70)</f>
        <v>0.25</v>
      </c>
      <c r="J57" s="724"/>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2" customFormat="1">
      <c r="A58" s="613" t="s">
        <v>1899</v>
      </c>
      <c r="B58" s="210" t="e">
        <f t="shared" si="17"/>
        <v>#DIV/0!</v>
      </c>
      <c r="C58" s="163">
        <f t="shared" si="16"/>
        <v>0</v>
      </c>
      <c r="D58" s="887">
        <v>0.25</v>
      </c>
      <c r="E58" s="209">
        <f>'数据-汇总表'!E13</f>
        <v>0</v>
      </c>
      <c r="F58" s="611" t="e">
        <f t="shared" si="15"/>
        <v>#DIV/0!</v>
      </c>
      <c r="G58" s="835" t="s">
        <v>1900</v>
      </c>
      <c r="H58" s="830">
        <f>IF(G58="商业",项目基本情况!B37,IF(G58="办公",项目基本情况!C37,IF(G58="住宅",项目基本情况!D37,项目基本情况!E37)))</f>
        <v>0</v>
      </c>
      <c r="I58" s="723">
        <f>SUMIF(修正!A59:A70,H58,修正!G59:G70)</f>
        <v>0</v>
      </c>
      <c r="J58" s="724"/>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2" customFormat="1">
      <c r="A59" s="613" t="s">
        <v>1901</v>
      </c>
      <c r="B59" s="210" t="e">
        <f t="shared" si="17"/>
        <v>#DIV/0!</v>
      </c>
      <c r="C59" s="163">
        <f t="shared" si="16"/>
        <v>0.15</v>
      </c>
      <c r="D59" s="887">
        <v>0.25</v>
      </c>
      <c r="E59" s="209">
        <f>'数据-汇总表'!E14</f>
        <v>0</v>
      </c>
      <c r="F59" s="611" t="e">
        <f t="shared" si="15"/>
        <v>#DIV/0!</v>
      </c>
      <c r="G59" s="1829" t="s">
        <v>1892</v>
      </c>
      <c r="H59" s="830" t="str">
        <f>项目基本情况!B37</f>
        <v>四级</v>
      </c>
      <c r="I59" s="723">
        <f>SUMIF(修正!A59:A70,H59,修正!G59:G70)</f>
        <v>0.15</v>
      </c>
      <c r="J59" s="724"/>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2" customFormat="1" ht="15" thickBot="1">
      <c r="A60" s="613" t="s">
        <v>1902</v>
      </c>
      <c r="B60" s="210" t="e">
        <f t="shared" si="17"/>
        <v>#DIV/0!</v>
      </c>
      <c r="C60" s="163">
        <f t="shared" si="16"/>
        <v>0.15</v>
      </c>
      <c r="D60" s="887">
        <v>0.25</v>
      </c>
      <c r="E60" s="209">
        <f>'数据-汇总表'!E15</f>
        <v>0</v>
      </c>
      <c r="F60" s="611" t="e">
        <f t="shared" si="15"/>
        <v>#DIV/0!</v>
      </c>
      <c r="G60" s="1830" t="s">
        <v>1896</v>
      </c>
      <c r="H60" s="840" t="str">
        <f>项目基本情况!C37</f>
        <v>四级</v>
      </c>
      <c r="I60" s="723">
        <f>SUMIF(修正!A59:A70,H60,修正!G59:G70)</f>
        <v>0.15</v>
      </c>
      <c r="J60" s="724"/>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1"/>
      <c r="H61" s="881"/>
      <c r="I61" s="881"/>
      <c r="J61" s="881"/>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7"/>
      <c r="B62" s="871"/>
      <c r="C62" s="873"/>
      <c r="D62" s="857"/>
      <c r="E62" s="857"/>
      <c r="F62" s="857"/>
      <c r="G62" s="857"/>
      <c r="H62" s="857"/>
      <c r="I62" s="857"/>
      <c r="J62" s="857"/>
      <c r="K62" s="831"/>
      <c r="L62" s="832"/>
      <c r="M62" s="857"/>
      <c r="N62" s="857"/>
      <c r="O62" s="857"/>
      <c r="P62" s="2480"/>
      <c r="Q62" s="2480"/>
      <c r="R62" s="2480"/>
      <c r="S62" s="2480"/>
      <c r="T62" s="2480"/>
      <c r="U62" s="2480"/>
      <c r="V62" s="2480"/>
      <c r="W62" s="2480"/>
      <c r="X62" s="2480"/>
      <c r="Y62" s="2480"/>
      <c r="Z62" s="2480"/>
      <c r="AA62" s="2480"/>
      <c r="AB62" s="2480"/>
      <c r="AC62" s="2480"/>
      <c r="AD62" s="2480"/>
      <c r="AE62" s="2480"/>
    </row>
    <row r="63" spans="1:31">
      <c r="A63" s="857"/>
      <c r="B63" s="871"/>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0"/>
      <c r="Q63" s="2480"/>
      <c r="R63" s="2480"/>
      <c r="S63" s="2480"/>
      <c r="T63" s="2480"/>
      <c r="U63" s="2480"/>
      <c r="V63" s="2480"/>
      <c r="W63" s="2480"/>
      <c r="X63" s="2480"/>
      <c r="Y63" s="2480"/>
      <c r="Z63" s="2480"/>
      <c r="AA63" s="2480"/>
      <c r="AB63" s="2480"/>
      <c r="AC63" s="2480"/>
      <c r="AD63" s="2480"/>
      <c r="AE63" s="2480"/>
    </row>
    <row r="64" spans="1:31" ht="21.75" thickBot="1">
      <c r="A64" s="658" t="s">
        <v>1798</v>
      </c>
      <c r="B64" s="385"/>
      <c r="C64" s="659"/>
      <c r="D64" s="659"/>
      <c r="E64" s="659"/>
      <c r="F64" s="660"/>
      <c r="G64" s="660"/>
      <c r="H64" s="659"/>
      <c r="I64" s="659"/>
      <c r="J64" s="659"/>
      <c r="K64" s="661"/>
      <c r="L64" s="662"/>
      <c r="M64" s="659"/>
      <c r="N64" s="659"/>
      <c r="O64" s="882"/>
      <c r="P64" s="2530"/>
      <c r="Q64" s="2501"/>
      <c r="R64" s="2480"/>
      <c r="S64" s="2480"/>
      <c r="T64" s="2480"/>
      <c r="U64" s="2480"/>
      <c r="V64" s="2480"/>
      <c r="W64" s="2480"/>
      <c r="X64" s="2480"/>
      <c r="Y64" s="2480"/>
      <c r="Z64" s="2480"/>
      <c r="AA64" s="2480"/>
      <c r="AB64" s="2480"/>
      <c r="AC64" s="2480"/>
      <c r="AD64" s="2480"/>
      <c r="AE64" s="2480"/>
    </row>
    <row r="65" spans="1:31" s="442" customFormat="1" ht="15">
      <c r="A65" s="1626" t="s">
        <v>1904</v>
      </c>
      <c r="B65" s="1042"/>
      <c r="C65" s="1097" t="str">
        <f>YEAR(C63)&amp;"-"&amp;ROUNDUP(MONTH(C63)/3,0)</f>
        <v>2025-4</v>
      </c>
      <c r="D65" s="1097" t="str">
        <f t="shared" ref="D65:O65" si="19">YEAR(D63)&amp;"-"&amp;ROUNDUP(MONTH(D63)/3,0)</f>
        <v>2025-3</v>
      </c>
      <c r="E65" s="1097" t="str">
        <f t="shared" si="19"/>
        <v>2025-2</v>
      </c>
      <c r="F65" s="1097" t="str">
        <f t="shared" si="19"/>
        <v>2025-1</v>
      </c>
      <c r="G65" s="1097" t="str">
        <f t="shared" si="19"/>
        <v>2024-4</v>
      </c>
      <c r="H65" s="1097" t="str">
        <f t="shared" si="19"/>
        <v>2024-3</v>
      </c>
      <c r="I65" s="1097" t="str">
        <f t="shared" si="19"/>
        <v>2024-2</v>
      </c>
      <c r="J65" s="1097" t="str">
        <f t="shared" si="19"/>
        <v>2024-1</v>
      </c>
      <c r="K65" s="1097" t="str">
        <f t="shared" si="19"/>
        <v>2023-4</v>
      </c>
      <c r="L65" s="1097" t="str">
        <f t="shared" si="19"/>
        <v>2023-3</v>
      </c>
      <c r="M65" s="1097" t="str">
        <f t="shared" si="19"/>
        <v>2023-2</v>
      </c>
      <c r="N65" s="1097" t="str">
        <f t="shared" si="19"/>
        <v>2023-1</v>
      </c>
      <c r="O65" s="1097" t="str">
        <f t="shared" si="19"/>
        <v>2022-4</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5" t="s">
        <v>1924</v>
      </c>
      <c r="B66" s="280" t="str">
        <f>"北京市平均增长率"&amp;TEXT('基准地价修正-商业'!P28,"0.00%")</f>
        <v>北京市平均增长率0.00%</v>
      </c>
      <c r="C66" s="530">
        <v>100</v>
      </c>
      <c r="D66" s="6"/>
      <c r="E66" s="6"/>
      <c r="F66" s="6"/>
      <c r="G66" s="6"/>
      <c r="H66" s="6"/>
      <c r="I66" s="6"/>
      <c r="J66" s="6"/>
      <c r="K66" s="6"/>
      <c r="L66" s="6"/>
      <c r="M66" s="1062"/>
      <c r="N66" s="1062"/>
      <c r="O66" s="1095"/>
      <c r="P66" s="2501"/>
      <c r="Q66" s="2432"/>
      <c r="R66" s="2432"/>
      <c r="S66" s="2432"/>
      <c r="T66" s="2432"/>
      <c r="U66" s="2432"/>
      <c r="V66" s="2432"/>
      <c r="W66" s="2432"/>
      <c r="X66" s="2432"/>
      <c r="Y66" s="2432"/>
      <c r="Z66" s="2432"/>
      <c r="AA66" s="2432"/>
      <c r="AB66" s="2432"/>
      <c r="AC66" s="2432"/>
      <c r="AD66" s="2432"/>
      <c r="AE66" s="2432"/>
    </row>
    <row r="67" spans="1:31" s="102" customFormat="1" ht="15.75" thickBot="1">
      <c r="A67" s="449" t="s">
        <v>1716</v>
      </c>
      <c r="B67" s="450"/>
      <c r="C67" s="451"/>
      <c r="D67" s="452"/>
      <c r="E67" s="452"/>
      <c r="F67" s="452"/>
      <c r="G67" s="452"/>
      <c r="H67" s="452"/>
      <c r="I67" s="452"/>
      <c r="J67" s="452"/>
      <c r="K67" s="452"/>
      <c r="L67" s="452"/>
      <c r="M67" s="453"/>
      <c r="N67" s="453"/>
      <c r="O67" s="454"/>
      <c r="P67" s="2501"/>
      <c r="Q67" s="2501"/>
      <c r="R67" s="2432"/>
      <c r="S67" s="2432"/>
      <c r="T67" s="2432"/>
      <c r="U67" s="2432"/>
      <c r="V67" s="2432"/>
      <c r="W67" s="2432"/>
      <c r="X67" s="2432"/>
      <c r="Y67" s="2432"/>
      <c r="Z67" s="2432"/>
      <c r="AA67" s="2432"/>
      <c r="AB67" s="2432"/>
      <c r="AC67" s="2432"/>
      <c r="AD67" s="2432"/>
      <c r="AE67" s="2432"/>
    </row>
    <row r="68" spans="1:31" s="102" customFormat="1" ht="15">
      <c r="A68" s="455" t="s">
        <v>1681</v>
      </c>
      <c r="B68" s="444"/>
      <c r="C68" s="456" t="s">
        <v>1776</v>
      </c>
      <c r="D68" s="31"/>
      <c r="E68" s="31"/>
      <c r="F68" s="31"/>
      <c r="G68" s="31"/>
      <c r="H68" s="31"/>
      <c r="I68" s="31"/>
      <c r="J68" s="31"/>
      <c r="K68" s="31"/>
      <c r="L68" s="457"/>
      <c r="M68" s="458"/>
      <c r="N68" s="2513"/>
      <c r="O68" s="2513"/>
      <c r="P68" s="2537"/>
      <c r="Q68" s="2501"/>
      <c r="R68" s="2432"/>
      <c r="S68" s="2432"/>
      <c r="T68" s="2432"/>
      <c r="U68" s="2432"/>
      <c r="V68" s="2432"/>
      <c r="W68" s="2432"/>
      <c r="X68" s="2432"/>
      <c r="Y68" s="2432"/>
      <c r="Z68" s="2432"/>
      <c r="AA68" s="2432"/>
      <c r="AB68" s="2432"/>
      <c r="AC68" s="2432"/>
      <c r="AD68" s="2432"/>
      <c r="AE68" s="2432"/>
    </row>
    <row r="69" spans="1:31" s="102" customFormat="1" ht="15.75" thickBot="1">
      <c r="A69" s="455"/>
      <c r="B69" s="444"/>
      <c r="C69" s="563">
        <v>100</v>
      </c>
      <c r="D69" s="446"/>
      <c r="E69" s="446"/>
      <c r="F69" s="446"/>
      <c r="G69" s="446"/>
      <c r="H69" s="446"/>
      <c r="I69" s="446"/>
      <c r="J69" s="446"/>
      <c r="K69" s="446"/>
      <c r="L69" s="446"/>
      <c r="M69" s="448"/>
      <c r="N69" s="2513"/>
      <c r="O69" s="2513"/>
      <c r="P69" s="2501"/>
      <c r="Q69" s="2501"/>
      <c r="R69" s="2432"/>
      <c r="S69" s="2432"/>
      <c r="T69" s="2432"/>
      <c r="U69" s="2432"/>
      <c r="V69" s="2432"/>
      <c r="W69" s="2432"/>
      <c r="X69" s="2432"/>
      <c r="Y69" s="2432"/>
      <c r="Z69" s="2432"/>
      <c r="AA69" s="2432"/>
      <c r="AB69" s="2432"/>
      <c r="AC69" s="2432"/>
      <c r="AD69" s="2432"/>
      <c r="AE69" s="2432"/>
    </row>
    <row r="70" spans="1:31">
      <c r="A70" s="379" t="s">
        <v>1719</v>
      </c>
      <c r="B70" s="460" t="s">
        <v>1685</v>
      </c>
      <c r="C70" s="462"/>
      <c r="D70" s="462"/>
      <c r="E70" s="462"/>
      <c r="F70" s="462"/>
      <c r="G70" s="462"/>
      <c r="H70" s="462"/>
      <c r="I70" s="462"/>
      <c r="J70" s="462"/>
      <c r="K70" s="463"/>
      <c r="L70" s="464"/>
      <c r="M70" s="465"/>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7"/>
      <c r="B71" s="466"/>
      <c r="C71" s="467"/>
      <c r="D71" s="467"/>
      <c r="E71" s="467"/>
      <c r="F71" s="467"/>
      <c r="G71" s="467"/>
      <c r="H71" s="467"/>
      <c r="I71" s="467"/>
      <c r="J71" s="467"/>
      <c r="K71" s="467"/>
      <c r="L71" s="467"/>
      <c r="M71" s="468"/>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7"/>
      <c r="B72" s="469" t="s">
        <v>1688</v>
      </c>
      <c r="C72" s="470"/>
      <c r="D72" s="470"/>
      <c r="E72" s="470"/>
      <c r="F72" s="470"/>
      <c r="G72" s="470"/>
      <c r="H72" s="470"/>
      <c r="I72" s="470"/>
      <c r="J72" s="470"/>
      <c r="K72" s="471"/>
      <c r="L72" s="472"/>
      <c r="M72" s="473"/>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7"/>
      <c r="B73" s="474"/>
      <c r="C73" s="475"/>
      <c r="D73" s="475"/>
      <c r="E73" s="475"/>
      <c r="F73" s="475"/>
      <c r="G73" s="475"/>
      <c r="H73" s="475"/>
      <c r="I73" s="475"/>
      <c r="J73" s="475"/>
      <c r="K73" s="475"/>
      <c r="L73" s="475"/>
      <c r="M73" s="476"/>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7"/>
      <c r="B75" s="479"/>
      <c r="C75" s="480"/>
      <c r="D75" s="480"/>
      <c r="E75" s="480"/>
      <c r="F75" s="480"/>
      <c r="G75" s="480"/>
      <c r="H75" s="480"/>
      <c r="I75" s="480"/>
      <c r="J75" s="480"/>
      <c r="K75" s="481"/>
      <c r="L75" s="482"/>
      <c r="M75" s="483"/>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8" customFormat="1" ht="15.75" thickTop="1">
      <c r="A77" s="484"/>
      <c r="B77" s="469">
        <f>B12</f>
        <v>111</v>
      </c>
      <c r="C77" s="485"/>
      <c r="D77" s="485"/>
      <c r="E77" s="485"/>
      <c r="F77" s="485"/>
      <c r="G77" s="485"/>
      <c r="H77" s="486"/>
      <c r="I77" s="486"/>
      <c r="J77" s="486"/>
      <c r="K77" s="486"/>
      <c r="L77" s="487"/>
      <c r="M77" s="488"/>
      <c r="N77" s="2516"/>
      <c r="O77" s="2516"/>
      <c r="P77" s="2516"/>
      <c r="Q77" s="2508"/>
      <c r="R77" s="2486"/>
      <c r="S77" s="2486"/>
      <c r="T77" s="2486"/>
      <c r="U77" s="2486"/>
      <c r="V77" s="2486"/>
      <c r="W77" s="2486"/>
      <c r="X77" s="2486"/>
      <c r="Y77" s="2486"/>
      <c r="Z77" s="2486"/>
      <c r="AA77" s="2486"/>
      <c r="AB77" s="2486"/>
      <c r="AC77" s="2486"/>
      <c r="AD77" s="2486"/>
      <c r="AE77" s="2486"/>
    </row>
    <row r="78" spans="1:31" s="408" customFormat="1" ht="15.75" thickBot="1">
      <c r="A78" s="484"/>
      <c r="B78" s="474"/>
      <c r="C78" s="491"/>
      <c r="D78" s="467"/>
      <c r="E78" s="467"/>
      <c r="F78" s="467"/>
      <c r="G78" s="467"/>
      <c r="H78" s="467"/>
      <c r="I78" s="467"/>
      <c r="J78" s="467"/>
      <c r="K78" s="467"/>
      <c r="L78" s="467"/>
      <c r="M78" s="468"/>
      <c r="N78" s="2515"/>
      <c r="O78" s="2515"/>
      <c r="P78" s="2516"/>
      <c r="Q78" s="2508"/>
      <c r="R78" s="2486"/>
      <c r="S78" s="2486"/>
      <c r="T78" s="2486"/>
      <c r="U78" s="2486"/>
      <c r="V78" s="2486"/>
      <c r="W78" s="2486"/>
      <c r="X78" s="2486"/>
      <c r="Y78" s="2486"/>
      <c r="Z78" s="2486"/>
      <c r="AA78" s="2486"/>
      <c r="AB78" s="2486"/>
      <c r="AC78" s="2486"/>
      <c r="AD78" s="2486"/>
      <c r="AE78" s="2486"/>
    </row>
    <row r="79" spans="1:31" s="408" customFormat="1" ht="15.75" thickTop="1">
      <c r="A79" s="484"/>
      <c r="B79" s="469">
        <f>B13</f>
        <v>111</v>
      </c>
      <c r="C79" s="485"/>
      <c r="D79" s="485"/>
      <c r="E79" s="485"/>
      <c r="F79" s="485"/>
      <c r="G79" s="485"/>
      <c r="H79" s="486"/>
      <c r="I79" s="486"/>
      <c r="J79" s="486"/>
      <c r="K79" s="486"/>
      <c r="L79" s="487"/>
      <c r="M79" s="488"/>
      <c r="N79" s="2516"/>
      <c r="O79" s="2516"/>
      <c r="P79" s="2486"/>
      <c r="Q79" s="2510"/>
      <c r="R79" s="2486"/>
      <c r="S79" s="2486"/>
      <c r="T79" s="2486"/>
      <c r="U79" s="2486"/>
      <c r="V79" s="2486"/>
      <c r="W79" s="2486"/>
      <c r="X79" s="2486"/>
      <c r="Y79" s="2486"/>
      <c r="Z79" s="2486"/>
      <c r="AA79" s="2486"/>
      <c r="AB79" s="2486"/>
      <c r="AC79" s="2486"/>
      <c r="AD79" s="2486"/>
      <c r="AE79" s="2486"/>
    </row>
    <row r="80" spans="1:31" s="408" customFormat="1" ht="15.75" thickBot="1">
      <c r="A80" s="484"/>
      <c r="B80" s="474"/>
      <c r="C80" s="491"/>
      <c r="D80" s="491"/>
      <c r="E80" s="491"/>
      <c r="F80" s="491"/>
      <c r="G80" s="491"/>
      <c r="H80" s="493"/>
      <c r="I80" s="493"/>
      <c r="J80" s="493"/>
      <c r="K80" s="493"/>
      <c r="L80" s="493"/>
      <c r="M80" s="494"/>
      <c r="N80" s="2516"/>
      <c r="O80" s="2516"/>
      <c r="P80" s="2516"/>
      <c r="Q80" s="2508"/>
      <c r="R80" s="2486"/>
      <c r="S80" s="2486"/>
      <c r="T80" s="2486"/>
      <c r="U80" s="2486"/>
      <c r="V80" s="2486"/>
      <c r="W80" s="2486"/>
      <c r="X80" s="2486"/>
      <c r="Y80" s="2486"/>
      <c r="Z80" s="2486"/>
      <c r="AA80" s="2486"/>
      <c r="AB80" s="2486"/>
      <c r="AC80" s="2486"/>
      <c r="AD80" s="2486"/>
      <c r="AE80" s="2486"/>
    </row>
    <row r="81" spans="1:31" s="408" customFormat="1" ht="15.75" thickTop="1">
      <c r="A81" s="484"/>
      <c r="B81" s="477">
        <f>B14</f>
        <v>111</v>
      </c>
      <c r="C81" s="31"/>
      <c r="D81" s="31"/>
      <c r="E81" s="31"/>
      <c r="F81" s="31"/>
      <c r="G81" s="31"/>
      <c r="H81" s="495"/>
      <c r="I81" s="495"/>
      <c r="J81" s="495"/>
      <c r="K81" s="495"/>
      <c r="L81" s="496"/>
      <c r="M81" s="497"/>
      <c r="N81" s="2516"/>
      <c r="O81" s="2516"/>
      <c r="P81" s="2541"/>
      <c r="Q81" s="2508"/>
      <c r="R81" s="2486"/>
      <c r="S81" s="2486"/>
      <c r="T81" s="2486"/>
      <c r="U81" s="2486"/>
      <c r="V81" s="2486"/>
      <c r="W81" s="2486"/>
      <c r="X81" s="2486"/>
      <c r="Y81" s="2486"/>
      <c r="Z81" s="2486"/>
      <c r="AA81" s="2486"/>
      <c r="AB81" s="2486"/>
      <c r="AC81" s="2486"/>
      <c r="AD81" s="2486"/>
      <c r="AE81" s="2486"/>
    </row>
    <row r="82" spans="1:31" s="408" customFormat="1" ht="15.75" thickBot="1">
      <c r="A82" s="499"/>
      <c r="B82" s="500"/>
      <c r="C82" s="501"/>
      <c r="D82" s="501"/>
      <c r="E82" s="501"/>
      <c r="F82" s="501"/>
      <c r="G82" s="501"/>
      <c r="H82" s="502"/>
      <c r="I82" s="502"/>
      <c r="J82" s="502"/>
      <c r="K82" s="502"/>
      <c r="L82" s="502"/>
      <c r="M82" s="503"/>
      <c r="N82" s="2516"/>
      <c r="O82" s="2516"/>
      <c r="P82" s="2516"/>
      <c r="Q82" s="2508"/>
      <c r="R82" s="2486"/>
      <c r="S82" s="2486"/>
      <c r="T82" s="2486"/>
      <c r="U82" s="2486"/>
      <c r="V82" s="2486"/>
      <c r="W82" s="2486"/>
      <c r="X82" s="2486"/>
      <c r="Y82" s="2486"/>
      <c r="Z82" s="2486"/>
      <c r="AA82" s="2486"/>
      <c r="AB82" s="2486"/>
      <c r="AC82" s="2486"/>
      <c r="AD82" s="2486"/>
      <c r="AE82" s="2486"/>
    </row>
    <row r="83" spans="1:31">
      <c r="A83" s="379" t="s">
        <v>1690</v>
      </c>
      <c r="B83" s="460" t="s">
        <v>1829</v>
      </c>
      <c r="C83" s="504" t="s">
        <v>1721</v>
      </c>
      <c r="D83" s="504" t="s">
        <v>1722</v>
      </c>
      <c r="E83" s="504" t="s">
        <v>1723</v>
      </c>
      <c r="F83" s="504" t="s">
        <v>1724</v>
      </c>
      <c r="G83" s="504" t="s">
        <v>1725</v>
      </c>
      <c r="H83" s="461"/>
      <c r="I83" s="461"/>
      <c r="J83" s="461"/>
      <c r="K83" s="505"/>
      <c r="L83" s="506"/>
      <c r="M83" s="507"/>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7"/>
      <c r="B85" s="469" t="s">
        <v>1726</v>
      </c>
      <c r="C85" s="509" t="s">
        <v>1721</v>
      </c>
      <c r="D85" s="509" t="s">
        <v>1722</v>
      </c>
      <c r="E85" s="509" t="s">
        <v>1723</v>
      </c>
      <c r="F85" s="509" t="s">
        <v>1724</v>
      </c>
      <c r="G85" s="509" t="s">
        <v>1725</v>
      </c>
      <c r="H85" s="470"/>
      <c r="I85" s="470"/>
      <c r="J85" s="470"/>
      <c r="K85" s="471"/>
      <c r="L85" s="472"/>
      <c r="M85" s="473"/>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3"/>
      <c r="O87" s="2513"/>
      <c r="P87" s="2513"/>
      <c r="Q87" s="2501"/>
      <c r="R87" s="2432"/>
      <c r="S87" s="2432"/>
      <c r="T87" s="2432"/>
      <c r="U87" s="2432"/>
      <c r="V87" s="2432"/>
      <c r="W87" s="2432"/>
      <c r="X87" s="2432"/>
      <c r="Y87" s="2432"/>
      <c r="Z87" s="2432"/>
      <c r="AA87" s="2432"/>
      <c r="AB87" s="2432"/>
      <c r="AC87" s="2432"/>
      <c r="AD87" s="2432"/>
      <c r="AE87" s="2432"/>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5"/>
      <c r="O88" s="2515"/>
      <c r="P88" s="2513"/>
      <c r="Q88" s="2501"/>
      <c r="R88" s="2432"/>
      <c r="S88" s="2432"/>
      <c r="T88" s="2432"/>
      <c r="U88" s="2432"/>
      <c r="V88" s="2432"/>
      <c r="W88" s="2432"/>
      <c r="X88" s="2432"/>
      <c r="Y88" s="2432"/>
      <c r="Z88" s="2432"/>
      <c r="AA88" s="2432"/>
      <c r="AB88" s="2432"/>
      <c r="AC88" s="2432"/>
      <c r="AD88" s="2432"/>
      <c r="AE88" s="2432"/>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3"/>
      <c r="O89" s="2513"/>
      <c r="P89" s="2513"/>
      <c r="Q89" s="2501"/>
      <c r="R89" s="2432"/>
      <c r="S89" s="2432"/>
      <c r="T89" s="2432"/>
      <c r="U89" s="2432"/>
      <c r="V89" s="2432"/>
      <c r="W89" s="2432"/>
      <c r="X89" s="2432"/>
      <c r="Y89" s="2432"/>
      <c r="Z89" s="2432"/>
      <c r="AA89" s="2432"/>
      <c r="AB89" s="2432"/>
      <c r="AC89" s="2432"/>
      <c r="AD89" s="2432"/>
      <c r="AE89" s="2432"/>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5"/>
      <c r="O90" s="2515"/>
      <c r="P90" s="2513"/>
      <c r="Q90" s="2501"/>
      <c r="R90" s="2432"/>
      <c r="S90" s="2432"/>
      <c r="T90" s="2432"/>
      <c r="U90" s="2432"/>
      <c r="V90" s="2432"/>
      <c r="W90" s="2432"/>
      <c r="X90" s="2432"/>
      <c r="Y90" s="2432"/>
      <c r="Z90" s="2432"/>
      <c r="AA90" s="2432"/>
      <c r="AB90" s="2432"/>
      <c r="AC90" s="2432"/>
      <c r="AD90" s="2432"/>
      <c r="AE90" s="2432"/>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6"/>
      <c r="O91" s="2516"/>
      <c r="P91" s="2516"/>
      <c r="Q91" s="2508"/>
      <c r="R91" s="2486"/>
      <c r="S91" s="2486"/>
      <c r="T91" s="2486"/>
      <c r="U91" s="2486"/>
      <c r="V91" s="2486"/>
      <c r="W91" s="2486"/>
      <c r="X91" s="2486"/>
      <c r="Y91" s="2486"/>
      <c r="Z91" s="2486"/>
      <c r="AA91" s="2486"/>
      <c r="AB91" s="2486"/>
      <c r="AC91" s="2486"/>
      <c r="AD91" s="2486"/>
      <c r="AE91" s="2486"/>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6"/>
      <c r="O92" s="2516"/>
      <c r="P92" s="2516"/>
      <c r="Q92" s="2508"/>
      <c r="R92" s="2486"/>
      <c r="S92" s="2486"/>
      <c r="T92" s="2486"/>
      <c r="U92" s="2486"/>
      <c r="V92" s="2486"/>
      <c r="W92" s="2486"/>
      <c r="X92" s="2486"/>
      <c r="Y92" s="2486"/>
      <c r="Z92" s="2486"/>
      <c r="AA92" s="2486"/>
      <c r="AB92" s="2486"/>
      <c r="AC92" s="2486"/>
      <c r="AD92" s="2486"/>
      <c r="AE92" s="2486"/>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6"/>
      <c r="O93" s="2516"/>
      <c r="P93" s="2516"/>
      <c r="Q93" s="2508"/>
      <c r="R93" s="2486"/>
      <c r="S93" s="2486"/>
      <c r="T93" s="2486"/>
      <c r="U93" s="2486"/>
      <c r="V93" s="2486"/>
      <c r="W93" s="2486"/>
      <c r="X93" s="2486"/>
      <c r="Y93" s="2486"/>
      <c r="Z93" s="2486"/>
      <c r="AA93" s="2486"/>
      <c r="AB93" s="2486"/>
      <c r="AC93" s="2486"/>
      <c r="AD93" s="2486"/>
      <c r="AE93" s="2486"/>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1"/>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7"/>
      <c r="B97" s="469" t="s">
        <v>1815</v>
      </c>
      <c r="C97" s="485"/>
      <c r="D97" s="485"/>
      <c r="E97" s="485"/>
      <c r="F97" s="485"/>
      <c r="G97" s="485"/>
      <c r="H97" s="513"/>
      <c r="I97" s="513"/>
      <c r="J97" s="513"/>
      <c r="K97" s="514"/>
      <c r="L97" s="515"/>
      <c r="M97" s="516"/>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7"/>
      <c r="B99" s="469" t="s">
        <v>1873</v>
      </c>
      <c r="C99" s="513"/>
      <c r="D99" s="513"/>
      <c r="E99" s="513"/>
      <c r="F99" s="513"/>
      <c r="G99" s="513"/>
      <c r="H99" s="513"/>
      <c r="I99" s="513"/>
      <c r="J99" s="513"/>
      <c r="K99" s="514"/>
      <c r="L99" s="515"/>
      <c r="M99" s="516"/>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7"/>
      <c r="B101" s="477">
        <f>B31</f>
        <v>111</v>
      </c>
      <c r="C101" s="485"/>
      <c r="D101" s="485"/>
      <c r="E101" s="485"/>
      <c r="F101" s="485"/>
      <c r="G101" s="517"/>
      <c r="H101" s="517"/>
      <c r="I101" s="517"/>
      <c r="J101" s="517"/>
      <c r="K101" s="518"/>
      <c r="L101" s="519"/>
      <c r="M101" s="520"/>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7"/>
      <c r="B102" s="500"/>
      <c r="C102" s="491"/>
      <c r="D102" s="467"/>
      <c r="E102" s="467"/>
      <c r="F102" s="467"/>
      <c r="G102" s="521"/>
      <c r="H102" s="521"/>
      <c r="I102" s="521"/>
      <c r="J102" s="521"/>
      <c r="K102" s="521"/>
      <c r="L102" s="521"/>
      <c r="M102" s="522"/>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5"/>
      <c r="B103" s="469">
        <f>B32</f>
        <v>111</v>
      </c>
      <c r="C103" s="485"/>
      <c r="D103" s="485"/>
      <c r="E103" s="485"/>
      <c r="F103" s="485"/>
      <c r="G103" s="513"/>
      <c r="H103" s="513"/>
      <c r="I103" s="513"/>
      <c r="J103" s="513"/>
      <c r="K103" s="514"/>
      <c r="L103" s="515"/>
      <c r="M103" s="516"/>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7"/>
      <c r="B104" s="474"/>
      <c r="C104" s="491"/>
      <c r="D104" s="491"/>
      <c r="E104" s="491"/>
      <c r="F104" s="491"/>
      <c r="G104" s="467"/>
      <c r="H104" s="467"/>
      <c r="I104" s="467"/>
      <c r="J104" s="467"/>
      <c r="K104" s="467"/>
      <c r="L104" s="467"/>
      <c r="M104" s="468"/>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8" customFormat="1" ht="15" thickTop="1">
      <c r="A105" s="406"/>
      <c r="B105" s="523">
        <f>B33</f>
        <v>111</v>
      </c>
      <c r="C105" s="31"/>
      <c r="D105" s="31"/>
      <c r="E105" s="31"/>
      <c r="F105" s="31"/>
      <c r="G105" s="6"/>
      <c r="H105" s="6"/>
      <c r="I105" s="6"/>
      <c r="J105" s="524"/>
      <c r="K105" s="524"/>
      <c r="L105" s="525"/>
      <c r="M105" s="526"/>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8" customFormat="1" ht="15.75" thickBot="1">
      <c r="A106" s="484"/>
      <c r="B106" s="477"/>
      <c r="C106" s="501"/>
      <c r="D106" s="501"/>
      <c r="E106" s="501"/>
      <c r="F106" s="501"/>
      <c r="G106" s="597"/>
      <c r="H106" s="597"/>
      <c r="I106" s="597"/>
      <c r="J106" s="597"/>
      <c r="K106" s="597"/>
      <c r="L106" s="597"/>
      <c r="M106" s="619"/>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7"/>
      <c r="B108" s="477"/>
      <c r="C108" s="6"/>
      <c r="D108" s="6"/>
      <c r="E108" s="6"/>
      <c r="F108" s="6"/>
      <c r="G108" s="6"/>
      <c r="H108" s="6"/>
      <c r="I108" s="6"/>
      <c r="J108" s="524"/>
      <c r="K108" s="524"/>
      <c r="L108" s="525"/>
      <c r="M108" s="526"/>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7"/>
      <c r="B109" s="474"/>
      <c r="C109" s="501"/>
      <c r="D109" s="521"/>
      <c r="E109" s="521"/>
      <c r="F109" s="521"/>
      <c r="G109" s="521"/>
      <c r="H109" s="521"/>
      <c r="I109" s="521"/>
      <c r="J109" s="521"/>
      <c r="K109" s="521"/>
      <c r="L109" s="521"/>
      <c r="M109" s="522"/>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9"/>
      <c r="B110" s="469" t="s">
        <v>1914</v>
      </c>
      <c r="C110" s="513"/>
      <c r="D110" s="513"/>
      <c r="E110" s="513"/>
      <c r="F110" s="513"/>
      <c r="G110" s="513"/>
      <c r="H110" s="513"/>
      <c r="I110" s="513"/>
      <c r="J110" s="513"/>
      <c r="K110" s="514"/>
      <c r="L110" s="515"/>
      <c r="M110" s="516"/>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8" customFormat="1" ht="15" thickTop="1">
      <c r="A112" s="406"/>
      <c r="B112" s="469" t="s">
        <v>1916</v>
      </c>
      <c r="C112" s="485"/>
      <c r="D112" s="485"/>
      <c r="E112" s="485"/>
      <c r="F112" s="485"/>
      <c r="G112" s="485"/>
      <c r="H112" s="513"/>
      <c r="I112" s="513"/>
      <c r="J112" s="513"/>
      <c r="K112" s="514"/>
      <c r="L112" s="515"/>
      <c r="M112" s="516"/>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9"/>
      <c r="B114" s="469" t="s">
        <v>1917</v>
      </c>
      <c r="C114" s="485"/>
      <c r="D114" s="485"/>
      <c r="E114" s="513"/>
      <c r="F114" s="513"/>
      <c r="G114" s="513"/>
      <c r="H114" s="513"/>
      <c r="I114" s="513"/>
      <c r="J114" s="513"/>
      <c r="K114" s="514"/>
      <c r="L114" s="515"/>
      <c r="M114" s="516"/>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9"/>
      <c r="B116" s="469">
        <f>B38</f>
        <v>111</v>
      </c>
      <c r="C116" s="485"/>
      <c r="D116" s="485"/>
      <c r="E116" s="485"/>
      <c r="F116" s="485"/>
      <c r="G116" s="485"/>
      <c r="H116" s="513"/>
      <c r="I116" s="513"/>
      <c r="J116" s="513"/>
      <c r="K116" s="514"/>
      <c r="L116" s="515"/>
      <c r="M116" s="516"/>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7"/>
      <c r="B117" s="474"/>
      <c r="C117" s="491"/>
      <c r="D117" s="467"/>
      <c r="E117" s="467"/>
      <c r="F117" s="467"/>
      <c r="G117" s="467"/>
      <c r="H117" s="467"/>
      <c r="I117" s="467"/>
      <c r="J117" s="467"/>
      <c r="K117" s="467"/>
      <c r="L117" s="467"/>
      <c r="M117" s="468"/>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9"/>
      <c r="B118" s="469">
        <f>B39</f>
        <v>111</v>
      </c>
      <c r="C118" s="485"/>
      <c r="D118" s="485"/>
      <c r="E118" s="485"/>
      <c r="F118" s="485"/>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7"/>
      <c r="B119" s="474"/>
      <c r="C119" s="491"/>
      <c r="D119" s="491"/>
      <c r="E119" s="491"/>
      <c r="F119" s="491"/>
      <c r="G119" s="467"/>
      <c r="H119" s="467"/>
      <c r="I119" s="467"/>
      <c r="J119" s="467"/>
      <c r="K119" s="467"/>
      <c r="L119" s="467"/>
      <c r="M119" s="468"/>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8" customFormat="1" ht="15" thickTop="1">
      <c r="A120" s="406"/>
      <c r="B120" s="469">
        <f>B40</f>
        <v>111</v>
      </c>
      <c r="C120" s="31"/>
      <c r="D120" s="31"/>
      <c r="E120" s="31"/>
      <c r="F120" s="31"/>
      <c r="G120" s="486"/>
      <c r="H120" s="486"/>
      <c r="I120" s="486"/>
      <c r="J120" s="486"/>
      <c r="K120" s="486"/>
      <c r="L120" s="487"/>
      <c r="M120" s="488"/>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8" customFormat="1" ht="15.75" thickBot="1">
      <c r="A121" s="499"/>
      <c r="B121" s="620"/>
      <c r="C121" s="501"/>
      <c r="D121" s="501"/>
      <c r="E121" s="501"/>
      <c r="F121" s="501"/>
      <c r="G121" s="521"/>
      <c r="H121" s="521"/>
      <c r="I121" s="521"/>
      <c r="J121" s="521"/>
      <c r="K121" s="521"/>
      <c r="L121" s="521"/>
      <c r="M121" s="522"/>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4" t="str">
        <f>IF(项目基本情况!B9="房地产市场价值","估价结果一览表","结果表-2")</f>
        <v>估价结果一览表</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房地产市场价值</v>
      </c>
      <c r="I2" s="3185"/>
    </row>
    <row r="3" spans="1:9" ht="15">
      <c r="A3" s="3180"/>
      <c r="B3" s="3180"/>
      <c r="C3" s="3180"/>
      <c r="D3" s="797" t="s">
        <v>925</v>
      </c>
      <c r="E3" s="797" t="s">
        <v>931</v>
      </c>
      <c r="F3" s="797" t="s">
        <v>925</v>
      </c>
      <c r="G3" s="797" t="s">
        <v>926</v>
      </c>
      <c r="H3" s="797" t="s">
        <v>925</v>
      </c>
      <c r="I3" s="797" t="s">
        <v>926</v>
      </c>
    </row>
    <row r="4" spans="1:9" ht="15">
      <c r="A4" s="1399" t="str">
        <f>项目基本情况!S2</f>
        <v>房地产</v>
      </c>
      <c r="B4" s="797">
        <f>项目基本情况!C17</f>
        <v>154.79</v>
      </c>
      <c r="C4" s="797">
        <f>项目基本情况!C18</f>
        <v>0</v>
      </c>
      <c r="D4" s="797" t="e">
        <f ca="1">结果表!D118</f>
        <v>#REF!</v>
      </c>
      <c r="E4" s="797" t="e">
        <f ca="1">结果表!E118</f>
        <v>#REF!</v>
      </c>
      <c r="F4" s="797" t="e">
        <f ca="1">结果表!F118</f>
        <v>#REF!</v>
      </c>
      <c r="G4" s="797" t="e">
        <f ca="1">结果表!G118</f>
        <v>#REF!</v>
      </c>
      <c r="H4" s="797" t="e">
        <f ca="1">结果表!H118</f>
        <v>#REF!</v>
      </c>
      <c r="I4" s="797" t="e">
        <f ca="1">结果表!I118</f>
        <v>#REF!</v>
      </c>
    </row>
    <row r="5" spans="1:9" ht="30" customHeight="1">
      <c r="A5" s="3180" t="s">
        <v>927</v>
      </c>
      <c r="B5" s="3180"/>
      <c r="C5" s="3180"/>
      <c r="D5" s="3180" t="e">
        <f ca="1">结果表!D119</f>
        <v>#REF!</v>
      </c>
      <c r="E5" s="3180"/>
      <c r="F5" s="3180" t="e">
        <f ca="1">结果表!F119</f>
        <v>#REF!</v>
      </c>
      <c r="G5" s="3180"/>
      <c r="H5" s="3180" t="e">
        <f ca="1">结果表!H119</f>
        <v>#REF!</v>
      </c>
      <c r="I5" s="3180"/>
    </row>
    <row r="6" spans="1:9" ht="15.75">
      <c r="A6" s="3179" t="str">
        <f>结果表!A120</f>
        <v/>
      </c>
      <c r="B6" s="3179"/>
      <c r="C6" s="3179"/>
      <c r="D6" s="3179">
        <f>结果表!D120</f>
        <v>0</v>
      </c>
      <c r="E6" s="3179"/>
      <c r="F6" s="3179"/>
      <c r="G6" s="3179"/>
      <c r="H6" s="3179"/>
      <c r="I6" s="3179"/>
    </row>
    <row r="7" spans="1:9" ht="15">
      <c r="A7" s="3180" t="s">
        <v>927</v>
      </c>
      <c r="B7" s="3180"/>
      <c r="C7" s="3180"/>
      <c r="D7" s="3181" t="str">
        <f>结果表!D121</f>
        <v>零元整</v>
      </c>
      <c r="E7" s="3182"/>
      <c r="F7" s="3182"/>
      <c r="G7" s="3182"/>
      <c r="H7" s="3182"/>
      <c r="I7" s="3183"/>
    </row>
    <row r="8" spans="1:9" ht="15.75">
      <c r="A8" s="3179" t="str">
        <f>结果表!A122</f>
        <v/>
      </c>
      <c r="B8" s="3179"/>
      <c r="C8" s="3179"/>
      <c r="D8" s="3179" t="e">
        <f ca="1">结果表!D122</f>
        <v>#REF!</v>
      </c>
      <c r="E8" s="3179"/>
      <c r="F8" s="3179"/>
      <c r="G8" s="3179"/>
      <c r="H8" s="3179"/>
      <c r="I8" s="3179"/>
    </row>
    <row r="9" spans="1:9" ht="15">
      <c r="A9" s="3180" t="s">
        <v>927</v>
      </c>
      <c r="B9" s="3180"/>
      <c r="C9" s="3180"/>
      <c r="D9" s="3180" t="e">
        <f ca="1">结果表!D123</f>
        <v>#REF!</v>
      </c>
      <c r="E9" s="3180"/>
      <c r="F9" s="3180"/>
      <c r="G9" s="3180"/>
      <c r="H9" s="3180"/>
      <c r="I9" s="3180"/>
    </row>
    <row r="10" spans="1:9" ht="15.75">
      <c r="A10" s="3179" t="str">
        <f>结果表!A124</f>
        <v/>
      </c>
      <c r="B10" s="3179"/>
      <c r="C10" s="3179"/>
      <c r="D10" s="3179" t="str">
        <f>结果表!D124</f>
        <v>——</v>
      </c>
      <c r="E10" s="3179"/>
      <c r="F10" s="3179"/>
      <c r="G10" s="3179"/>
      <c r="H10" s="3179"/>
      <c r="I10" s="3179"/>
    </row>
    <row r="11" spans="1:9" ht="15">
      <c r="A11" s="3180" t="s">
        <v>927</v>
      </c>
      <c r="B11" s="3180"/>
      <c r="C11" s="3180"/>
      <c r="D11" s="3180" t="e">
        <f>结果表!D125</f>
        <v>#VALUE!</v>
      </c>
      <c r="E11" s="3180"/>
      <c r="F11" s="3180"/>
      <c r="G11" s="3180"/>
      <c r="H11" s="3180"/>
      <c r="I11" s="3180"/>
    </row>
    <row r="12" spans="1:9" ht="15.75">
      <c r="A12" s="3179" t="str">
        <f>结果表!A126</f>
        <v/>
      </c>
      <c r="B12" s="3179"/>
      <c r="C12" s="3179"/>
      <c r="D12" s="3179" t="str">
        <f>结果表!D126</f>
        <v>——</v>
      </c>
      <c r="E12" s="3179"/>
      <c r="F12" s="3179"/>
      <c r="G12" s="3179"/>
      <c r="H12" s="3179"/>
      <c r="I12" s="3179"/>
    </row>
    <row r="13" spans="1:9" ht="15.75" thickBot="1">
      <c r="A13" s="3177" t="s">
        <v>927</v>
      </c>
      <c r="B13" s="3177"/>
      <c r="C13" s="3177"/>
      <c r="D13" s="3177" t="e">
        <f>结果表!D127</f>
        <v>#VALUE!</v>
      </c>
      <c r="E13" s="3177"/>
      <c r="F13" s="3177"/>
      <c r="G13" s="3177"/>
      <c r="H13" s="3177"/>
      <c r="I13" s="3177"/>
    </row>
    <row r="14" spans="1:9" ht="15" thickTop="1">
      <c r="A14" s="3178" t="s">
        <v>932</v>
      </c>
      <c r="B14" s="3178"/>
      <c r="C14" s="3178"/>
      <c r="D14" s="3178"/>
      <c r="E14" s="3178"/>
      <c r="F14" s="3178"/>
      <c r="G14" s="3178"/>
      <c r="H14" s="3178"/>
      <c r="I14" s="3178"/>
    </row>
    <row r="16" spans="1:9" ht="18.75">
      <c r="A16" s="1400"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5" t="s">
        <v>2083</v>
      </c>
      <c r="C1" s="3449" t="s">
        <v>2084</v>
      </c>
      <c r="D1" s="3450"/>
      <c r="E1" s="3450"/>
      <c r="F1" s="3450"/>
      <c r="G1" s="3450"/>
      <c r="H1" s="3450"/>
      <c r="I1" s="3450"/>
      <c r="J1" s="3450"/>
      <c r="K1" s="3450"/>
      <c r="L1" s="3450"/>
      <c r="M1" s="3450"/>
      <c r="N1" s="3450"/>
      <c r="O1" s="3450"/>
      <c r="P1" s="3450"/>
      <c r="Q1" s="3450"/>
      <c r="R1" s="3450"/>
      <c r="S1" s="3451"/>
      <c r="T1" s="925" t="s">
        <v>2085</v>
      </c>
    </row>
    <row r="2" spans="1:45" s="625" customFormat="1">
      <c r="A2" s="926"/>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7"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8"/>
      <c r="B3" s="626"/>
      <c r="C3" s="627"/>
      <c r="D3" s="628"/>
      <c r="E3" s="628"/>
      <c r="F3" s="1216"/>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29"/>
      <c r="B4" s="930"/>
      <c r="C4" s="931"/>
      <c r="D4" s="932"/>
      <c r="E4" s="932"/>
      <c r="F4" s="1220"/>
      <c r="G4" s="1220"/>
      <c r="H4" s="1220"/>
      <c r="I4" s="1220"/>
      <c r="J4" s="1220"/>
      <c r="K4" s="1220"/>
      <c r="L4" s="1220"/>
      <c r="M4" s="1221"/>
      <c r="N4" s="1221"/>
      <c r="O4" s="1220"/>
      <c r="P4" s="1220"/>
      <c r="Q4" s="1220"/>
      <c r="R4" s="1220"/>
      <c r="S4" s="1222"/>
      <c r="T4" s="935"/>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1"/>
      <c r="B5" s="1245" t="s">
        <v>2087</v>
      </c>
      <c r="C5" s="936"/>
      <c r="D5" s="937"/>
      <c r="E5" s="937"/>
      <c r="F5" s="1223"/>
      <c r="G5" s="1223"/>
      <c r="H5" s="1223"/>
      <c r="I5" s="1223"/>
      <c r="J5" s="1223"/>
      <c r="K5" s="1223"/>
      <c r="L5" s="1224"/>
      <c r="M5" s="1225"/>
      <c r="N5" s="1225"/>
      <c r="O5" s="1223"/>
      <c r="P5" s="1223"/>
      <c r="Q5" s="1223"/>
      <c r="R5" s="1223"/>
      <c r="S5" s="1226"/>
      <c r="T5" s="939"/>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1"/>
      <c r="B6" s="842"/>
      <c r="C6" s="848">
        <v>100</v>
      </c>
      <c r="D6" s="845">
        <f>C6-$T5</f>
        <v>100</v>
      </c>
      <c r="E6" s="845">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4"/>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1"/>
      <c r="B7" s="1246" t="s">
        <v>2088</v>
      </c>
      <c r="C7" s="847"/>
      <c r="D7" s="841"/>
      <c r="E7" s="841"/>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1"/>
      <c r="B8" s="842"/>
      <c r="C8" s="848">
        <v>100</v>
      </c>
      <c r="D8" s="845">
        <f>C8-$T7</f>
        <v>100</v>
      </c>
      <c r="E8" s="845">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4"/>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1"/>
      <c r="B9" s="1246" t="s">
        <v>2089</v>
      </c>
      <c r="C9" s="847"/>
      <c r="D9" s="841"/>
      <c r="E9" s="841"/>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1"/>
      <c r="B10" s="930"/>
      <c r="C10" s="940">
        <v>100</v>
      </c>
      <c r="D10" s="711">
        <f>C10-$T9</f>
        <v>100</v>
      </c>
      <c r="E10" s="711">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5"/>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1"/>
      <c r="B11" s="1245" t="s">
        <v>2090</v>
      </c>
      <c r="C11" s="936"/>
      <c r="D11" s="937"/>
      <c r="E11" s="937"/>
      <c r="F11" s="937"/>
      <c r="G11" s="937"/>
      <c r="H11" s="937"/>
      <c r="I11" s="937"/>
      <c r="J11" s="937"/>
      <c r="K11" s="937"/>
      <c r="L11" s="937"/>
      <c r="M11" s="938"/>
      <c r="N11" s="941"/>
      <c r="O11" s="942"/>
      <c r="P11" s="942"/>
      <c r="Q11" s="943"/>
      <c r="R11" s="944"/>
      <c r="S11" s="945"/>
      <c r="T11" s="939"/>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1"/>
      <c r="B12" s="842"/>
      <c r="C12" s="848">
        <v>100</v>
      </c>
      <c r="D12" s="845">
        <f>C12-$T11</f>
        <v>100</v>
      </c>
      <c r="E12" s="845">
        <f t="shared" ref="E12:S12" si="10">D12-$T11</f>
        <v>100</v>
      </c>
      <c r="F12" s="845">
        <f t="shared" si="10"/>
        <v>100</v>
      </c>
      <c r="G12" s="845">
        <f t="shared" si="10"/>
        <v>100</v>
      </c>
      <c r="H12" s="845">
        <f t="shared" si="10"/>
        <v>100</v>
      </c>
      <c r="I12" s="845">
        <f t="shared" si="10"/>
        <v>100</v>
      </c>
      <c r="J12" s="845">
        <f t="shared" si="10"/>
        <v>100</v>
      </c>
      <c r="K12" s="845">
        <f t="shared" si="10"/>
        <v>100</v>
      </c>
      <c r="L12" s="845">
        <f t="shared" si="10"/>
        <v>100</v>
      </c>
      <c r="M12" s="845">
        <f t="shared" si="10"/>
        <v>100</v>
      </c>
      <c r="N12" s="845">
        <f t="shared" si="10"/>
        <v>100</v>
      </c>
      <c r="O12" s="845">
        <f t="shared" si="10"/>
        <v>100</v>
      </c>
      <c r="P12" s="845">
        <f t="shared" si="10"/>
        <v>100</v>
      </c>
      <c r="Q12" s="845">
        <f t="shared" si="10"/>
        <v>100</v>
      </c>
      <c r="R12" s="845">
        <f>Q12-$T11</f>
        <v>100</v>
      </c>
      <c r="S12" s="845">
        <f t="shared" si="10"/>
        <v>100</v>
      </c>
      <c r="T12" s="844"/>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1"/>
      <c r="B13" s="1245" t="s">
        <v>2091</v>
      </c>
      <c r="C13" s="936"/>
      <c r="D13" s="937"/>
      <c r="E13" s="937"/>
      <c r="F13" s="937"/>
      <c r="G13" s="937"/>
      <c r="H13" s="937"/>
      <c r="I13" s="937"/>
      <c r="J13" s="937"/>
      <c r="K13" s="937"/>
      <c r="L13" s="937"/>
      <c r="M13" s="938"/>
      <c r="N13" s="941"/>
      <c r="O13" s="942"/>
      <c r="P13" s="942"/>
      <c r="Q13" s="943"/>
      <c r="R13" s="944"/>
      <c r="S13" s="945"/>
      <c r="T13" s="946"/>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1"/>
      <c r="B14" s="842"/>
      <c r="C14" s="846"/>
      <c r="D14" s="843"/>
      <c r="E14" s="843"/>
      <c r="F14" s="843"/>
      <c r="G14" s="843"/>
      <c r="H14" s="843"/>
      <c r="I14" s="843"/>
      <c r="J14" s="843"/>
      <c r="K14" s="843"/>
      <c r="L14" s="843"/>
      <c r="M14" s="947"/>
      <c r="N14" s="947"/>
      <c r="O14" s="843"/>
      <c r="P14" s="843"/>
      <c r="Q14" s="843"/>
      <c r="R14" s="843"/>
      <c r="S14" s="948"/>
      <c r="T14" s="844"/>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1"/>
      <c r="B15" s="1245" t="s">
        <v>2092</v>
      </c>
      <c r="C15" s="936"/>
      <c r="D15" s="937"/>
      <c r="E15" s="937"/>
      <c r="F15" s="937"/>
      <c r="G15" s="937"/>
      <c r="H15" s="937"/>
      <c r="I15" s="937"/>
      <c r="J15" s="937"/>
      <c r="K15" s="937"/>
      <c r="L15" s="937"/>
      <c r="M15" s="938"/>
      <c r="N15" s="941"/>
      <c r="O15" s="942"/>
      <c r="P15" s="942"/>
      <c r="Q15" s="943"/>
      <c r="R15" s="944"/>
      <c r="S15" s="945"/>
      <c r="T15" s="946"/>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1"/>
      <c r="B16" s="930"/>
      <c r="C16" s="931"/>
      <c r="D16" s="932"/>
      <c r="E16" s="932"/>
      <c r="F16" s="932"/>
      <c r="G16" s="932"/>
      <c r="H16" s="932"/>
      <c r="I16" s="932"/>
      <c r="J16" s="932"/>
      <c r="K16" s="932"/>
      <c r="L16" s="932"/>
      <c r="M16" s="933"/>
      <c r="N16" s="933"/>
      <c r="O16" s="932"/>
      <c r="P16" s="932"/>
      <c r="Q16" s="932"/>
      <c r="R16" s="932"/>
      <c r="S16" s="934"/>
      <c r="T16" s="935"/>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0" t="s">
        <v>2093</v>
      </c>
      <c r="B17" s="1981" t="s">
        <v>2094</v>
      </c>
      <c r="C17" s="949"/>
      <c r="D17" s="950"/>
      <c r="E17" s="950"/>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5"/>
      <c r="AS17" s="685"/>
    </row>
    <row r="18" spans="1:45" s="625" customFormat="1" ht="13.5" thickBot="1">
      <c r="A18" s="958"/>
      <c r="B18" s="959"/>
      <c r="C18" s="960"/>
      <c r="D18" s="961"/>
      <c r="E18" s="961"/>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5"/>
      <c r="AS18" s="685"/>
    </row>
    <row r="19" spans="1:45">
      <c r="A19" s="121"/>
      <c r="B19" s="151"/>
      <c r="C19" s="151"/>
      <c r="D19" s="1982" t="s">
        <v>2095</v>
      </c>
      <c r="E19" s="1249"/>
      <c r="F19" s="1249"/>
      <c r="G19" s="1249"/>
      <c r="H19" s="992"/>
      <c r="I19" s="151"/>
      <c r="J19" s="151"/>
      <c r="K19" s="151"/>
      <c r="L19" s="151"/>
      <c r="M19" s="151"/>
      <c r="N19" s="151"/>
      <c r="O19" s="151"/>
      <c r="P19" s="151"/>
      <c r="Q19" s="151"/>
      <c r="R19" s="151"/>
      <c r="S19" s="121"/>
    </row>
    <row r="20" spans="1:45" ht="16.5" thickBot="1">
      <c r="A20" s="632" t="s">
        <v>2096</v>
      </c>
      <c r="B20" s="286" t="e">
        <f ca="1">IF(D20="——",S22,S22-F20)</f>
        <v>#REF!</v>
      </c>
      <c r="C20" s="151"/>
      <c r="D20" s="1983"/>
      <c r="E20" s="1250"/>
      <c r="F20" s="925" t="e">
        <f ca="1">SUMIF(INDIRECT("'"&amp;H20&amp;"'"&amp;"!A:A"),"承租人权益价值",INDIRECT("'"&amp;H20&amp;"'"&amp;"!c:c"))</f>
        <v>#REF!</v>
      </c>
      <c r="G20" s="925" t="s">
        <v>2097</v>
      </c>
      <c r="H20" s="1984"/>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6" t="s">
        <v>27</v>
      </c>
      <c r="D22" s="3447"/>
      <c r="E22" s="3447"/>
      <c r="F22" s="3447"/>
      <c r="G22" s="3447"/>
      <c r="H22" s="3447"/>
      <c r="I22" s="3447"/>
      <c r="J22" s="3447"/>
      <c r="K22" s="3447"/>
      <c r="L22" s="3447"/>
      <c r="M22" s="3447"/>
      <c r="N22" s="3447"/>
      <c r="O22" s="3447"/>
      <c r="P22" s="3447"/>
      <c r="Q22" s="344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3">
        <v>1</v>
      </c>
      <c r="D24" s="2564"/>
      <c r="E24" s="2563">
        <v>1</v>
      </c>
      <c r="F24" s="2564"/>
      <c r="G24" s="2563">
        <v>1</v>
      </c>
      <c r="H24" s="2564"/>
      <c r="I24" s="2563">
        <v>1</v>
      </c>
      <c r="J24" s="2564"/>
      <c r="K24" s="2563">
        <v>1</v>
      </c>
      <c r="L24" s="2564"/>
      <c r="M24" s="2563">
        <v>1</v>
      </c>
      <c r="N24" s="2564"/>
      <c r="O24" s="2563">
        <v>1</v>
      </c>
      <c r="P24" s="2564"/>
      <c r="Q24" s="2563">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1" t="s">
        <v>2081</v>
      </c>
      <c r="B1" s="4"/>
      <c r="C1" s="4"/>
      <c r="D1" s="4"/>
      <c r="E1" s="4"/>
      <c r="F1" s="2537"/>
      <c r="G1" s="2537"/>
      <c r="H1" s="2537"/>
      <c r="I1" s="2537"/>
      <c r="J1" s="2537"/>
      <c r="K1" s="2537"/>
      <c r="L1" s="2537"/>
      <c r="M1" s="2537"/>
      <c r="N1" s="2537"/>
      <c r="O1" s="2537"/>
      <c r="P1" s="2537"/>
    </row>
    <row r="2" spans="1:16" ht="15.75">
      <c r="A2" s="1978" t="s">
        <v>2073</v>
      </c>
      <c r="B2" s="2380">
        <f ca="1">SUMIF(B6:B13,"&lt;&gt;#ref!",B6:B13)</f>
        <v>0</v>
      </c>
      <c r="C2" s="1978" t="s">
        <v>2074</v>
      </c>
      <c r="D2" s="1978" t="s">
        <v>2075</v>
      </c>
      <c r="E2" s="2390">
        <f ca="1">SUMIF(E6:E13,"&lt;&gt;#ref!",E6:E13)</f>
        <v>0</v>
      </c>
      <c r="F2" s="2537"/>
      <c r="G2" s="2537"/>
      <c r="H2" s="2537"/>
      <c r="I2" s="2537"/>
      <c r="J2" s="2537"/>
      <c r="K2" s="2537"/>
      <c r="L2" s="2537"/>
      <c r="M2" s="2537"/>
      <c r="N2" s="2537"/>
      <c r="O2" s="2537"/>
      <c r="P2" s="2537"/>
    </row>
    <row r="3" spans="1:16" ht="15.75">
      <c r="A3" s="1978" t="s">
        <v>2076</v>
      </c>
      <c r="B3" s="2380" t="e">
        <f ca="1">ROUND(B2*10000/E2,0)</f>
        <v>#DIV/0!</v>
      </c>
      <c r="C3" s="1978" t="s">
        <v>2082</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6" t="s">
        <v>2077</v>
      </c>
      <c r="B5" s="2388" t="s">
        <v>2078</v>
      </c>
      <c r="C5" s="1979"/>
      <c r="D5" s="2537"/>
      <c r="E5" s="2389" t="s">
        <v>2079</v>
      </c>
      <c r="F5" s="2537"/>
      <c r="G5" s="2537"/>
      <c r="H5" s="2537"/>
      <c r="I5" s="2537"/>
      <c r="J5" s="2537"/>
      <c r="K5" s="2537"/>
      <c r="L5" s="2537"/>
      <c r="M5" s="2537"/>
      <c r="N5" s="2537"/>
      <c r="O5" s="2537"/>
      <c r="P5" s="2537"/>
    </row>
    <row r="6" spans="1:16" ht="15.75">
      <c r="A6" s="2387" t="s">
        <v>2080</v>
      </c>
      <c r="B6" s="2380" t="e">
        <f ca="1">SUMIF(INDIRECT("'"&amp;A6&amp;"'"&amp;"!A:A"),"总价",INDIRECT("'"&amp;A6&amp;"'"&amp;"!B:B"))</f>
        <v>#REF!</v>
      </c>
      <c r="C6" s="1978" t="s">
        <v>2074</v>
      </c>
      <c r="D6" s="2537"/>
      <c r="E6" s="2390" t="e">
        <f ca="1">SUMIF(INDIRECT("'"&amp;A6&amp;"'"&amp;"!C:C"),"建筑面积",INDIRECT("'"&amp;A6&amp;"'"&amp;"!D:D"))</f>
        <v>#REF!</v>
      </c>
      <c r="F6" s="2537"/>
      <c r="G6" s="2537"/>
      <c r="H6" s="2537"/>
      <c r="I6" s="2537"/>
      <c r="J6" s="2537"/>
      <c r="K6" s="2537"/>
      <c r="L6" s="2537"/>
      <c r="M6" s="2537"/>
      <c r="N6" s="2537"/>
      <c r="O6" s="2537"/>
      <c r="P6" s="2537"/>
    </row>
    <row r="7" spans="1:16" ht="15.75">
      <c r="A7" s="2387"/>
      <c r="B7" s="2380" t="e">
        <f ca="1">SUMIF(INDIRECT("'"&amp;A7&amp;"'"&amp;"!A:A"),"总价",INDIRECT("'"&amp;A7&amp;"'"&amp;"!B:B"))</f>
        <v>#REF!</v>
      </c>
      <c r="C7" s="1978" t="s">
        <v>2074</v>
      </c>
      <c r="D7" s="2537"/>
      <c r="E7" s="2390" t="e">
        <f t="shared" ref="E7:E13" ca="1" si="0">SUMIF(INDIRECT("'"&amp;A7&amp;"'"&amp;"!C:C"),"建筑面积",INDIRECT("'"&amp;A7&amp;"'"&amp;"!D:D"))</f>
        <v>#REF!</v>
      </c>
      <c r="F7" s="2537"/>
      <c r="G7" s="2537"/>
      <c r="H7" s="2537"/>
      <c r="I7" s="2537"/>
      <c r="J7" s="2537"/>
      <c r="K7" s="2537"/>
      <c r="L7" s="2537"/>
      <c r="M7" s="2537"/>
      <c r="N7" s="2537"/>
      <c r="O7" s="2537"/>
      <c r="P7" s="2537"/>
    </row>
    <row r="8" spans="1:16" ht="15.75">
      <c r="A8" s="2387"/>
      <c r="B8" s="2380" t="e">
        <f t="shared" ref="B8:B13" ca="1" si="1">SUMIF(INDIRECT("'"&amp;A8&amp;"'"&amp;"!A:A"),"总价",INDIRECT("'"&amp;A8&amp;"'"&amp;"!B:B"))</f>
        <v>#REF!</v>
      </c>
      <c r="C8" s="1978" t="s">
        <v>2074</v>
      </c>
      <c r="D8" s="2537"/>
      <c r="E8" s="2390" t="e">
        <f t="shared" ca="1" si="0"/>
        <v>#REF!</v>
      </c>
      <c r="F8" s="2537"/>
      <c r="G8" s="2537"/>
      <c r="H8" s="2537"/>
      <c r="I8" s="2537"/>
      <c r="J8" s="2537"/>
      <c r="K8" s="2537"/>
      <c r="L8" s="2537"/>
      <c r="M8" s="2537"/>
      <c r="N8" s="2537"/>
      <c r="O8" s="2537"/>
      <c r="P8" s="2537"/>
    </row>
    <row r="9" spans="1:16" ht="15.75">
      <c r="A9" s="2387"/>
      <c r="B9" s="2380" t="e">
        <f t="shared" ca="1" si="1"/>
        <v>#REF!</v>
      </c>
      <c r="C9" s="1978" t="s">
        <v>2074</v>
      </c>
      <c r="D9" s="2537"/>
      <c r="E9" s="2390" t="e">
        <f t="shared" ca="1" si="0"/>
        <v>#REF!</v>
      </c>
      <c r="F9" s="2537"/>
      <c r="G9" s="2537"/>
      <c r="H9" s="2537"/>
      <c r="I9" s="2537"/>
      <c r="J9" s="2537"/>
      <c r="K9" s="2537"/>
      <c r="L9" s="2537"/>
      <c r="M9" s="2537"/>
      <c r="N9" s="2537"/>
      <c r="O9" s="2537"/>
      <c r="P9" s="2537"/>
    </row>
    <row r="10" spans="1:16" ht="15.75">
      <c r="A10" s="2387"/>
      <c r="B10" s="2380" t="e">
        <f t="shared" ca="1" si="1"/>
        <v>#REF!</v>
      </c>
      <c r="C10" s="1978" t="s">
        <v>2074</v>
      </c>
      <c r="D10" s="2537"/>
      <c r="E10" s="2390" t="e">
        <f t="shared" ca="1" si="0"/>
        <v>#REF!</v>
      </c>
      <c r="F10" s="2537"/>
      <c r="G10" s="2537"/>
      <c r="H10" s="2537"/>
      <c r="I10" s="2537"/>
      <c r="J10" s="2537"/>
      <c r="K10" s="2537"/>
      <c r="L10" s="2537"/>
      <c r="M10" s="2537"/>
      <c r="N10" s="2537"/>
      <c r="O10" s="2537"/>
      <c r="P10" s="2537"/>
    </row>
    <row r="11" spans="1:16" ht="15.75">
      <c r="A11" s="2387"/>
      <c r="B11" s="2380" t="e">
        <f t="shared" ca="1" si="1"/>
        <v>#REF!</v>
      </c>
      <c r="C11" s="1978" t="s">
        <v>2074</v>
      </c>
      <c r="D11" s="2537"/>
      <c r="E11" s="2390" t="e">
        <f t="shared" ca="1" si="0"/>
        <v>#REF!</v>
      </c>
      <c r="F11" s="2537"/>
      <c r="G11" s="2537"/>
      <c r="H11" s="2537"/>
      <c r="I11" s="2537"/>
      <c r="J11" s="2537"/>
      <c r="K11" s="2537"/>
      <c r="L11" s="2537"/>
      <c r="M11" s="2537"/>
      <c r="N11" s="2537"/>
      <c r="O11" s="2537"/>
      <c r="P11" s="2537"/>
    </row>
    <row r="12" spans="1:16" ht="15.75">
      <c r="A12" s="2387"/>
      <c r="B12" s="2380" t="e">
        <f t="shared" ca="1" si="1"/>
        <v>#REF!</v>
      </c>
      <c r="C12" s="1978" t="s">
        <v>2074</v>
      </c>
      <c r="D12" s="2537"/>
      <c r="E12" s="2390" t="e">
        <f t="shared" ca="1" si="0"/>
        <v>#REF!</v>
      </c>
      <c r="F12" s="2537"/>
      <c r="G12" s="2537"/>
      <c r="H12" s="2537"/>
      <c r="I12" s="2537"/>
      <c r="J12" s="2537"/>
      <c r="K12" s="2537"/>
      <c r="L12" s="2537"/>
      <c r="M12" s="2537"/>
      <c r="N12" s="2537"/>
      <c r="O12" s="2537"/>
      <c r="P12" s="2537"/>
    </row>
    <row r="13" spans="1:16" ht="15.75">
      <c r="A13" s="2387"/>
      <c r="B13" s="2380" t="e">
        <f t="shared" ca="1" si="1"/>
        <v>#REF!</v>
      </c>
      <c r="C13" s="1978" t="s">
        <v>2074</v>
      </c>
      <c r="D13" s="2537"/>
      <c r="E13" s="2390"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5EEFA-8E3E-4843-8604-5A82F8269E00}">
  <sheetPr>
    <tabColor rgb="FF92D050"/>
  </sheetPr>
  <dimension ref="A1:AK122"/>
  <sheetViews>
    <sheetView view="pageBreakPreview" topLeftCell="A52" zoomScaleNormal="80" zoomScaleSheetLayoutView="100" workbookViewId="0">
      <selection activeCell="C6" sqref="C6"/>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4" customWidth="1"/>
    <col min="33" max="36" width="9.375" style="1889" customWidth="1"/>
    <col min="37" max="38" width="9.375" style="1839" customWidth="1"/>
    <col min="39" max="16384" width="12" style="1839"/>
  </cols>
  <sheetData>
    <row r="1" spans="1:36" ht="28.5">
      <c r="A1" s="188" t="s">
        <v>1926</v>
      </c>
      <c r="B1" s="189"/>
      <c r="C1" s="193" t="s">
        <v>1927</v>
      </c>
      <c r="D1" s="333" t="e">
        <f>SUM(D33:D34,D37:D42)</f>
        <v>#REF!</v>
      </c>
      <c r="E1" s="1836"/>
      <c r="F1" s="1836"/>
      <c r="G1" s="1836"/>
      <c r="H1" s="1836"/>
      <c r="I1" s="1836"/>
      <c r="J1" s="1836"/>
      <c r="K1" s="1052"/>
      <c r="L1" s="1837" t="s">
        <v>1928</v>
      </c>
      <c r="M1" s="806">
        <f>SUMPRODUCT((区片价!B5:B9=I2)*(区片价!C3:G3=E2)*(区片价!C5:G9))</f>
        <v>0</v>
      </c>
      <c r="N1" s="809">
        <f>SUMPRODUCT((因素修正幅度!B5:B9=I2)*(因素修正幅度!C3:G3=E2)*(因素修正幅度!C5:G9))</f>
        <v>0</v>
      </c>
      <c r="O1" s="1838"/>
      <c r="P1" s="1838"/>
      <c r="Q1" s="1052"/>
      <c r="R1" s="1125" t="s">
        <v>1929</v>
      </c>
      <c r="S1" s="1125" t="s">
        <v>1930</v>
      </c>
      <c r="T1" s="1125" t="s">
        <v>1931</v>
      </c>
      <c r="U1" s="1125" t="s">
        <v>1932</v>
      </c>
      <c r="V1" s="1125" t="s">
        <v>1933</v>
      </c>
      <c r="W1" s="1129"/>
      <c r="X1" s="1129"/>
      <c r="Y1" s="1129"/>
      <c r="Z1" s="1129"/>
      <c r="AA1" s="1129"/>
      <c r="AB1" s="1129"/>
      <c r="AC1" s="1130"/>
      <c r="AD1" s="1131"/>
      <c r="AE1" s="1131"/>
      <c r="AF1" s="1131"/>
      <c r="AG1" s="1131"/>
      <c r="AH1" s="1131"/>
      <c r="AI1" s="1131"/>
      <c r="AJ1" s="1132"/>
    </row>
    <row r="2" spans="1:36" ht="15.75">
      <c r="A2" s="193" t="s">
        <v>1934</v>
      </c>
      <c r="B2" s="196" t="e">
        <f>C30/10000</f>
        <v>#DIV/0!</v>
      </c>
      <c r="C2" s="1840" t="s">
        <v>1935</v>
      </c>
      <c r="D2" s="162" t="s">
        <v>1936</v>
      </c>
      <c r="E2" s="3112"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Ⅳ-通1</v>
      </c>
      <c r="J2" s="1836"/>
      <c r="K2" s="1052"/>
      <c r="L2" s="1841" t="s">
        <v>1939</v>
      </c>
      <c r="M2" s="807">
        <f>SUMPRODUCT((区片价!B10:B29=I2)*(区片价!C3:G3=E2)*(区片价!C10:G29))</f>
        <v>0</v>
      </c>
      <c r="N2" s="809">
        <f>SUMPRODUCT((因素修正幅度!B10:B29=I2)*(因素修正幅度!C3:G3=E2)*(因素修正幅度!C10:G29))</f>
        <v>0</v>
      </c>
      <c r="O2" s="1052"/>
      <c r="P2" s="1052"/>
      <c r="Q2" s="1052"/>
      <c r="R2" s="1125">
        <v>1</v>
      </c>
      <c r="S2" s="3056">
        <f>ROUND(SUMPRODUCT((B106:B110=R2)*(C105:N105=G2)*(C106:N110)),4)</f>
        <v>1.5019</v>
      </c>
      <c r="T2" s="3056" t="e">
        <f t="shared" ref="T2:T16" si="0">ROUND($C$5*$C$22*$C$23*$C$24*S2*$C$28,0)</f>
        <v>#DIV/0!</v>
      </c>
      <c r="U2" s="1126"/>
      <c r="V2" s="3056" t="e">
        <f>ROUND(T2*U2/10000,0)</f>
        <v>#DIV/0!</v>
      </c>
      <c r="W2" s="1129"/>
      <c r="X2" s="1129"/>
      <c r="Y2" s="1129"/>
      <c r="Z2" s="1129"/>
      <c r="AA2" s="1129"/>
      <c r="AB2" s="1129"/>
      <c r="AC2" s="1130"/>
      <c r="AD2" s="1131"/>
      <c r="AE2" s="1131"/>
      <c r="AF2" s="1131"/>
      <c r="AG2" s="1131"/>
      <c r="AH2" s="1131"/>
      <c r="AI2" s="1131"/>
      <c r="AJ2" s="1132"/>
    </row>
    <row r="3" spans="1:36" ht="15.75">
      <c r="A3" s="195" t="s">
        <v>1940</v>
      </c>
      <c r="B3" s="196" t="e">
        <f>ROUND(B2*10000/D1,0)</f>
        <v>#DIV/0!</v>
      </c>
      <c r="C3" s="1840" t="s">
        <v>1941</v>
      </c>
      <c r="D3" s="162" t="s">
        <v>1942</v>
      </c>
      <c r="E3" s="3110" t="s">
        <v>3409</v>
      </c>
      <c r="F3" s="1842" t="s">
        <v>3423</v>
      </c>
      <c r="G3" s="704">
        <f>IF(F3="宗地容积率",'数据-汇总表'!I4,IF(F3="估价对象容积率",'数据-汇总表'!I6,'数据-汇总表'!I7))</f>
        <v>0</v>
      </c>
      <c r="H3" s="162" t="s">
        <v>1943</v>
      </c>
      <c r="I3" s="725"/>
      <c r="J3" s="1836" t="s">
        <v>1944</v>
      </c>
      <c r="K3" s="1052"/>
      <c r="L3" s="1841" t="s">
        <v>1945</v>
      </c>
      <c r="M3" s="807">
        <f>SUMPRODUCT((区片价!B30:B54=I2)*(区片价!C3:G3=E2)*(区片价!C30:G54))</f>
        <v>0</v>
      </c>
      <c r="N3" s="809">
        <f>SUMPRODUCT((因素修正幅度!B30:B54=I2)*(因素修正幅度!C3:G3=E2)*(因素修正幅度!C30:G54))</f>
        <v>0</v>
      </c>
      <c r="O3" s="1052"/>
      <c r="P3" s="1052"/>
      <c r="Q3" s="1052"/>
      <c r="R3" s="1125">
        <v>2</v>
      </c>
      <c r="S3" s="3056">
        <f>ROUND(SUMPRODUCT((B106:B110=R3)*(C105:N105=G2)*(C106:N110)),4)</f>
        <v>1.1838</v>
      </c>
      <c r="T3" s="3056" t="e">
        <f t="shared" si="0"/>
        <v>#DIV/0!</v>
      </c>
      <c r="U3" s="1126"/>
      <c r="V3" s="3056" t="e">
        <f t="shared" ref="V3:V16" si="1">ROUND(T3*U3/10000,0)</f>
        <v>#DIV/0!</v>
      </c>
      <c r="W3" s="1129"/>
      <c r="X3" s="1129"/>
      <c r="Y3" s="1129"/>
      <c r="Z3" s="1129"/>
      <c r="AA3" s="1129"/>
      <c r="AB3" s="1129"/>
      <c r="AC3" s="1130"/>
      <c r="AD3" s="1131"/>
      <c r="AE3" s="1131"/>
      <c r="AF3" s="1131"/>
      <c r="AG3" s="1131"/>
      <c r="AH3" s="1131"/>
      <c r="AI3" s="1131"/>
      <c r="AJ3" s="1132"/>
    </row>
    <row r="4" spans="1:36" ht="15.75">
      <c r="A4" s="3454"/>
      <c r="B4" s="3455"/>
      <c r="C4" s="3455"/>
      <c r="D4" s="3456"/>
      <c r="E4" s="3456"/>
      <c r="F4" s="3456"/>
      <c r="G4" s="3456"/>
      <c r="H4" s="3456"/>
      <c r="I4" s="3456"/>
      <c r="J4" s="3457"/>
      <c r="K4" s="1052"/>
      <c r="L4" s="1841" t="s">
        <v>1946</v>
      </c>
      <c r="M4" s="807">
        <f>SUMPRODUCT((区片价!B55:B86=I2)*(区片价!C3:G3=E2)*(区片价!C55:G86))</f>
        <v>16540</v>
      </c>
      <c r="N4" s="809">
        <f>SUMPRODUCT((因素修正幅度!B55:B86=I2)*(因素修正幅度!C3:G3=E2)*(因素修正幅度!C55:G86))</f>
        <v>9.8000000000000004E-2</v>
      </c>
      <c r="O4" s="1052"/>
      <c r="P4" s="1052"/>
      <c r="Q4" s="1052"/>
      <c r="R4" s="1125">
        <v>3</v>
      </c>
      <c r="S4" s="3056">
        <f>ROUND(SUMPRODUCT((B106:B110=R4)*(C105:N105=G2)*(C106:N110)),4)</f>
        <v>1.0004999999999999</v>
      </c>
      <c r="T4" s="3056" t="e">
        <f t="shared" si="0"/>
        <v>#DIV/0!</v>
      </c>
      <c r="U4" s="1126"/>
      <c r="V4" s="3056" t="e">
        <f t="shared" si="1"/>
        <v>#DIV/0!</v>
      </c>
      <c r="W4" s="1129"/>
      <c r="X4" s="1129"/>
      <c r="Y4" s="1129"/>
      <c r="Z4" s="1129"/>
      <c r="AA4" s="1129"/>
      <c r="AB4" s="1129"/>
      <c r="AC4" s="1130"/>
      <c r="AD4" s="1131"/>
      <c r="AE4" s="1131"/>
      <c r="AF4" s="1131"/>
      <c r="AG4" s="1131"/>
      <c r="AH4" s="1131"/>
      <c r="AI4" s="1131"/>
      <c r="AJ4" s="1132"/>
    </row>
    <row r="5" spans="1:36" s="1852" customFormat="1" ht="15.75" thickBot="1">
      <c r="A5" s="1843" t="s">
        <v>362</v>
      </c>
      <c r="B5" s="1844" t="s">
        <v>1947</v>
      </c>
      <c r="C5" s="705">
        <f>ROUND(IF(E2="商业",C6*C7*C17+C20,(IF(E2="住宅",C6*C13*C17+C20,IF(E2="办公",C6*C12*C17+C20,C6+C20)))),0)</f>
        <v>17367</v>
      </c>
      <c r="D5" s="1248">
        <f>ROUND(C6*C17+C20,0)</f>
        <v>16540</v>
      </c>
      <c r="E5" s="1248"/>
      <c r="F5" s="1845"/>
      <c r="G5" s="1846"/>
      <c r="H5" s="1846"/>
      <c r="I5" s="1846"/>
      <c r="J5" s="1847"/>
      <c r="K5" s="1848"/>
      <c r="L5" s="1841" t="s">
        <v>1948</v>
      </c>
      <c r="M5" s="807">
        <f>SUMPRODUCT((区片价!B87:B126=I2)*(区片价!C3:G3=E2)*(区片价!C87:G126))</f>
        <v>0</v>
      </c>
      <c r="N5" s="809">
        <f>SUMPRODUCT((因素修正幅度!B87:B126=I2)*(因素修正幅度!C3:G3=E2)*(因素修正幅度!C87:G126))</f>
        <v>0</v>
      </c>
      <c r="O5" s="1052"/>
      <c r="P5" s="1052"/>
      <c r="Q5" s="1052"/>
      <c r="R5" s="1125">
        <v>4</v>
      </c>
      <c r="S5" s="3056">
        <f>ROUND(SUMPRODUCT((B106:B110=R5)*(C105:N105=G2)*(C106:N110)),4)</f>
        <v>0.88239999999999996</v>
      </c>
      <c r="T5" s="3056" t="e">
        <f t="shared" si="0"/>
        <v>#DIV/0!</v>
      </c>
      <c r="U5" s="1126"/>
      <c r="V5" s="3056" t="e">
        <f t="shared" si="1"/>
        <v>#DIV/0!</v>
      </c>
      <c r="W5" s="1129"/>
      <c r="X5" s="1129"/>
      <c r="Y5" s="1129"/>
      <c r="Z5" s="1129"/>
      <c r="AA5" s="1129"/>
      <c r="AB5" s="1129"/>
      <c r="AC5" s="1849"/>
      <c r="AD5" s="1850"/>
      <c r="AE5" s="1850"/>
      <c r="AF5" s="1850"/>
      <c r="AG5" s="1850"/>
      <c r="AH5" s="1850"/>
      <c r="AI5" s="1850"/>
      <c r="AJ5" s="1851"/>
    </row>
    <row r="6" spans="1:36" ht="15.75" thickBot="1">
      <c r="A6" s="1853" t="s">
        <v>1949</v>
      </c>
      <c r="B6" s="1854" t="s">
        <v>1950</v>
      </c>
      <c r="C6" s="706">
        <f>SUMIF(L1:L12,G2,M1:M12)</f>
        <v>16540</v>
      </c>
      <c r="D6" s="1855"/>
      <c r="E6" s="1856"/>
      <c r="F6" s="1856"/>
      <c r="G6" s="1857"/>
      <c r="H6" s="1857"/>
      <c r="I6" s="1857"/>
      <c r="J6" s="1858"/>
      <c r="K6" s="1288"/>
      <c r="L6" s="1841" t="s">
        <v>1951</v>
      </c>
      <c r="M6" s="807">
        <f>SUMPRODUCT((区片价!B127:B189=I2)*(区片价!C3:G3=E2)*(区片价!C127:G189))</f>
        <v>0</v>
      </c>
      <c r="N6" s="809">
        <f>SUMPRODUCT((因素修正幅度!B127:B189=I2)*(因素修正幅度!C3:G3=E2)*(因素修正幅度!C127:G189))</f>
        <v>0</v>
      </c>
      <c r="O6" s="1052"/>
      <c r="P6" s="1052"/>
      <c r="Q6" s="1052"/>
      <c r="R6" s="1125">
        <v>5</v>
      </c>
      <c r="S6" s="3056">
        <f>ROUND(SUMPRODUCT((B106:B110=R6)*(C105:N105=G2)*(C106:N110)),4)</f>
        <v>0.84799999999999998</v>
      </c>
      <c r="T6" s="3056" t="e">
        <f t="shared" si="0"/>
        <v>#DIV/0!</v>
      </c>
      <c r="U6" s="1126"/>
      <c r="V6" s="3056" t="e">
        <f t="shared" si="1"/>
        <v>#DIV/0!</v>
      </c>
      <c r="W6" s="1129"/>
      <c r="X6" s="1129"/>
      <c r="Y6" s="1129"/>
      <c r="Z6" s="1129"/>
      <c r="AA6" s="1129"/>
      <c r="AB6" s="1129"/>
      <c r="AC6" s="1849"/>
      <c r="AD6" s="1850"/>
      <c r="AE6" s="1850"/>
      <c r="AF6" s="1850"/>
      <c r="AG6" s="1850"/>
      <c r="AH6" s="1850"/>
      <c r="AI6" s="1850"/>
      <c r="AJ6" s="1851"/>
    </row>
    <row r="7" spans="1:36" ht="24.75" thickBot="1">
      <c r="A7" s="3005" t="s">
        <v>3233</v>
      </c>
      <c r="B7" s="1859" t="s">
        <v>1952</v>
      </c>
      <c r="C7" s="707" t="e">
        <f>IF(C8="不临65条商业街",1,ROUND(1+(1.6*E8+1.2*E9+0.8*E10+0.4*E11)*C9,4))</f>
        <v>#DIV/0!</v>
      </c>
      <c r="D7" s="1860" t="s">
        <v>1953</v>
      </c>
      <c r="E7" s="726"/>
      <c r="F7" s="1861"/>
      <c r="G7" s="1862"/>
      <c r="H7" s="1862"/>
      <c r="I7" s="1862"/>
      <c r="J7" s="1863"/>
      <c r="K7" s="1288"/>
      <c r="L7" s="1841" t="s">
        <v>1954</v>
      </c>
      <c r="M7" s="807">
        <f>SUMPRODUCT((区片价!B190:B233=I2)*(区片价!C3:G3=E2)*(区片价!C190:G233))</f>
        <v>0</v>
      </c>
      <c r="N7" s="809">
        <f>SUMPRODUCT((因素修正幅度!B190:B233=I2)*(因素修正幅度!C3:G3=E2)*(因素修正幅度!C190:G233))</f>
        <v>0</v>
      </c>
      <c r="O7" s="1052"/>
      <c r="P7" s="1052"/>
      <c r="Q7" s="1052"/>
      <c r="R7" s="1125">
        <v>6</v>
      </c>
      <c r="S7" s="3109"/>
      <c r="T7" s="3056" t="e">
        <f t="shared" si="0"/>
        <v>#DIV/0!</v>
      </c>
      <c r="U7" s="1126"/>
      <c r="V7" s="3056" t="e">
        <f t="shared" si="1"/>
        <v>#DIV/0!</v>
      </c>
      <c r="W7" s="1263" t="s">
        <v>1955</v>
      </c>
      <c r="X7" s="1127" t="str">
        <f>G2</f>
        <v>四级</v>
      </c>
      <c r="Y7" s="1127" t="s">
        <v>1956</v>
      </c>
      <c r="Z7" s="1128">
        <f>G3</f>
        <v>0</v>
      </c>
      <c r="AA7" s="1129"/>
      <c r="AB7" s="1129"/>
      <c r="AC7" s="1130"/>
      <c r="AD7" s="1131"/>
      <c r="AE7" s="1131"/>
      <c r="AF7" s="1131"/>
      <c r="AG7" s="1131"/>
      <c r="AH7" s="1131"/>
      <c r="AI7" s="1131"/>
      <c r="AJ7" s="1132"/>
    </row>
    <row r="8" spans="1:36" ht="15">
      <c r="A8" s="3002"/>
      <c r="B8" s="162" t="s">
        <v>1957</v>
      </c>
      <c r="C8" s="1864"/>
      <c r="D8" s="708" t="s">
        <v>112</v>
      </c>
      <c r="E8" s="709" t="e">
        <f>ROUND(C11/E7,4)</f>
        <v>#DIV/0!</v>
      </c>
      <c r="F8" s="1865" t="s">
        <v>1958</v>
      </c>
      <c r="G8" s="1866"/>
      <c r="H8" s="1866"/>
      <c r="I8" s="1866"/>
      <c r="J8" s="1867"/>
      <c r="K8" s="1052"/>
      <c r="L8" s="1841" t="s">
        <v>1959</v>
      </c>
      <c r="M8" s="807">
        <f>SUMPRODUCT((区片价!B234:B276=I2)*(区片价!C3:G3=E2)*(区片价!C234:G276))</f>
        <v>0</v>
      </c>
      <c r="N8" s="809">
        <f>SUMPRODUCT((因素修正幅度!B234:B276=I2)*(因素修正幅度!C3:G3=E2)*(因素修正幅度!C234:G276))</f>
        <v>0</v>
      </c>
      <c r="O8" s="1052"/>
      <c r="P8" s="1052"/>
      <c r="Q8" s="1052"/>
      <c r="R8" s="1125">
        <v>7</v>
      </c>
      <c r="S8" s="1126"/>
      <c r="T8" s="3056" t="e">
        <f t="shared" si="0"/>
        <v>#DIV/0!</v>
      </c>
      <c r="U8" s="1126"/>
      <c r="V8" s="3056" t="e">
        <f t="shared" si="1"/>
        <v>#DIV/0!</v>
      </c>
      <c r="W8" s="3458" t="s">
        <v>1960</v>
      </c>
      <c r="X8" s="3459"/>
      <c r="Y8" s="1133" t="s">
        <v>1961</v>
      </c>
      <c r="Z8" s="1133" t="s">
        <v>1962</v>
      </c>
      <c r="AA8" s="1133" t="s">
        <v>1963</v>
      </c>
      <c r="AB8" s="1133" t="s">
        <v>1964</v>
      </c>
      <c r="AC8" s="1133" t="s">
        <v>1965</v>
      </c>
      <c r="AD8" s="1133" t="s">
        <v>1966</v>
      </c>
      <c r="AE8" s="1133" t="s">
        <v>1967</v>
      </c>
      <c r="AF8" s="1133" t="s">
        <v>1968</v>
      </c>
      <c r="AG8" s="1133" t="s">
        <v>1969</v>
      </c>
      <c r="AH8" s="1133" t="s">
        <v>1970</v>
      </c>
      <c r="AI8" s="1133" t="s">
        <v>1971</v>
      </c>
      <c r="AJ8" s="1133" t="s">
        <v>1972</v>
      </c>
    </row>
    <row r="9" spans="1:36" ht="15">
      <c r="A9" s="3002"/>
      <c r="B9" s="162" t="s">
        <v>1973</v>
      </c>
      <c r="C9" s="710">
        <f>SUMIF(修正!C73:C140,C8,修正!E73:E140)</f>
        <v>0</v>
      </c>
      <c r="D9" s="163" t="s">
        <v>113</v>
      </c>
      <c r="E9" s="163" t="e">
        <f>ROUND(C11/E7,4)</f>
        <v>#DIV/0!</v>
      </c>
      <c r="F9" s="1865" t="s">
        <v>1974</v>
      </c>
      <c r="G9" s="1866"/>
      <c r="H9" s="1866"/>
      <c r="I9" s="1866"/>
      <c r="J9" s="1867"/>
      <c r="K9" s="1052"/>
      <c r="L9" s="1841" t="s">
        <v>1975</v>
      </c>
      <c r="M9" s="807">
        <f>SUMPRODUCT((区片价!B277:B326=I2)*(区片价!C3:G3=E2)*(区片价!C277:G326))</f>
        <v>0</v>
      </c>
      <c r="N9" s="809">
        <f>SUMPRODUCT((因素修正幅度!B277:B326=I2)*(因素修正幅度!C3:G3=E2)*(因素修正幅度!C277:G326))</f>
        <v>0</v>
      </c>
      <c r="O9" s="1052"/>
      <c r="P9" s="1052"/>
      <c r="Q9" s="1052"/>
      <c r="R9" s="1125">
        <v>8</v>
      </c>
      <c r="S9" s="1126"/>
      <c r="T9" s="3056" t="e">
        <f t="shared" si="0"/>
        <v>#DIV/0!</v>
      </c>
      <c r="U9" s="1126"/>
      <c r="V9" s="3056" t="e">
        <f t="shared" si="1"/>
        <v>#DIV/0!</v>
      </c>
      <c r="W9" s="3460"/>
      <c r="X9" s="3057" t="s">
        <v>3263</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2" t="s">
        <v>1976</v>
      </c>
      <c r="C10" s="163">
        <f>SUMIF(修正!C73:C140,C8,修正!F73:F140)</f>
        <v>0</v>
      </c>
      <c r="D10" s="163" t="s">
        <v>114</v>
      </c>
      <c r="E10" s="163" t="e">
        <f>ROUND(C11/E7,4)</f>
        <v>#DIV/0!</v>
      </c>
      <c r="F10" s="1865" t="s">
        <v>1977</v>
      </c>
      <c r="G10" s="1866"/>
      <c r="H10" s="1866"/>
      <c r="I10" s="1866"/>
      <c r="J10" s="1867"/>
      <c r="K10" s="1052"/>
      <c r="L10" s="1841" t="s">
        <v>1978</v>
      </c>
      <c r="M10" s="807">
        <f>SUMPRODUCT((区片价!B327:B357=I2)*(区片价!C3:G3=E2)*(区片价!C327:G357))</f>
        <v>0</v>
      </c>
      <c r="N10" s="809">
        <f>SUMPRODUCT((因素修正幅度!B327:B357=I2)*(因素修正幅度!C3:G3=E2)*(因素修正幅度!C327:G357))</f>
        <v>0</v>
      </c>
      <c r="O10" s="1052"/>
      <c r="P10" s="1052"/>
      <c r="Q10" s="1052"/>
      <c r="R10" s="1125">
        <v>9</v>
      </c>
      <c r="S10" s="1126"/>
      <c r="T10" s="3056" t="e">
        <f t="shared" si="0"/>
        <v>#DIV/0!</v>
      </c>
      <c r="U10" s="1126"/>
      <c r="V10" s="3056" t="e">
        <f t="shared" si="1"/>
        <v>#DIV/0!</v>
      </c>
      <c r="W10" s="3460"/>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8" t="s">
        <v>1979</v>
      </c>
      <c r="C11" s="711">
        <f>C10/4</f>
        <v>0</v>
      </c>
      <c r="D11" s="711" t="s">
        <v>115</v>
      </c>
      <c r="E11" s="711" t="e">
        <f>ROUND(C11/E7,4)</f>
        <v>#DIV/0!</v>
      </c>
      <c r="F11" s="1869" t="s">
        <v>1980</v>
      </c>
      <c r="G11" s="1870"/>
      <c r="H11" s="1870"/>
      <c r="I11" s="1870"/>
      <c r="J11" s="1871"/>
      <c r="K11" s="1052"/>
      <c r="L11" s="1841" t="s">
        <v>1981</v>
      </c>
      <c r="M11" s="807">
        <f>SUMPRODUCT((区片价!B358:B377=I2)*(区片价!C3:G3=E2)*(区片价!C358:G377))</f>
        <v>0</v>
      </c>
      <c r="N11" s="809">
        <f>SUMPRODUCT((因素修正幅度!B358:B377=I2)*(因素修正幅度!C3:G3=E2)*(因素修正幅度!C358:G377))</f>
        <v>0</v>
      </c>
      <c r="O11" s="1052"/>
      <c r="P11" s="1052"/>
      <c r="Q11" s="1052"/>
      <c r="R11" s="1125">
        <v>10</v>
      </c>
      <c r="S11" s="1126"/>
      <c r="T11" s="3056" t="e">
        <f t="shared" si="0"/>
        <v>#DIV/0!</v>
      </c>
      <c r="U11" s="1126"/>
      <c r="V11" s="3056" t="e">
        <f t="shared" si="1"/>
        <v>#DIV/0!</v>
      </c>
      <c r="W11" s="1129"/>
      <c r="X11" s="1129"/>
      <c r="Y11" s="1129"/>
      <c r="Z11" s="1129"/>
      <c r="AA11" s="1129"/>
      <c r="AB11" s="1129"/>
      <c r="AC11" s="1130"/>
      <c r="AD11" s="2546"/>
      <c r="AE11" s="2546"/>
      <c r="AF11" s="2546"/>
      <c r="AG11" s="2546"/>
      <c r="AH11" s="2546"/>
      <c r="AI11" s="2546"/>
      <c r="AJ11" s="2547"/>
    </row>
    <row r="12" spans="1:36" ht="25.5" thickBot="1">
      <c r="A12" s="3005" t="s">
        <v>3234</v>
      </c>
      <c r="B12" s="3006" t="s">
        <v>3235</v>
      </c>
      <c r="C12" s="3007">
        <v>1.05</v>
      </c>
      <c r="D12" s="3008" t="s">
        <v>3236</v>
      </c>
      <c r="E12" s="3009" t="s">
        <v>3237</v>
      </c>
      <c r="F12" s="3010"/>
      <c r="G12" s="3162" t="s">
        <v>3424</v>
      </c>
      <c r="H12" s="3011"/>
      <c r="I12" s="3011"/>
      <c r="J12" s="3012"/>
      <c r="K12" s="1052"/>
      <c r="L12" s="1790" t="s">
        <v>1984</v>
      </c>
      <c r="M12" s="808">
        <f>SUMPRODUCT((区片价!B378:B384=I2)*(区片价!C3:G3=E2)*(区片价!C378:G384))</f>
        <v>0</v>
      </c>
      <c r="N12" s="809">
        <f>SUMPRODUCT((因素修正幅度!B378:B384=I2)*(因素修正幅度!C3:G3=E2)*(因素修正幅度!C378:G384))</f>
        <v>0</v>
      </c>
      <c r="O12" s="1052"/>
      <c r="P12" s="1052"/>
      <c r="Q12" s="1052"/>
      <c r="R12" s="1125">
        <v>11</v>
      </c>
      <c r="S12" s="1126"/>
      <c r="T12" s="3056" t="e">
        <f t="shared" si="0"/>
        <v>#DIV/0!</v>
      </c>
      <c r="U12" s="1126"/>
      <c r="V12" s="3056" t="e">
        <f t="shared" si="1"/>
        <v>#DIV/0!</v>
      </c>
      <c r="W12" s="1129"/>
      <c r="X12" s="1129"/>
      <c r="Y12" s="1129"/>
      <c r="Z12" s="1129"/>
      <c r="AA12" s="1129"/>
      <c r="AB12" s="1129"/>
      <c r="AC12" s="1130"/>
      <c r="AD12" s="2546"/>
      <c r="AE12" s="2546"/>
      <c r="AF12" s="2546"/>
      <c r="AG12" s="2546"/>
      <c r="AH12" s="2546"/>
      <c r="AI12" s="2546"/>
      <c r="AJ12" s="2547"/>
    </row>
    <row r="13" spans="1:36" ht="15.75" thickBot="1">
      <c r="A13" s="3005" t="s">
        <v>3238</v>
      </c>
      <c r="B13" s="1872" t="s">
        <v>1982</v>
      </c>
      <c r="C13" s="707">
        <f>ROUND(C16*D16*E16*F16*G16*H16*I16*J16,4)</f>
        <v>0</v>
      </c>
      <c r="D13" s="1873" t="s">
        <v>1983</v>
      </c>
      <c r="E13" s="1874"/>
      <c r="F13" s="1874"/>
      <c r="G13" s="1875"/>
      <c r="H13" s="1875"/>
      <c r="I13" s="1875"/>
      <c r="J13" s="1876"/>
      <c r="K13" s="1052"/>
      <c r="L13" s="3"/>
      <c r="M13" s="4"/>
      <c r="N13" s="3003"/>
      <c r="O13" s="1052"/>
      <c r="P13" s="1052"/>
      <c r="Q13" s="1052"/>
      <c r="R13" s="1125">
        <v>12</v>
      </c>
      <c r="S13" s="1126"/>
      <c r="T13" s="3056" t="e">
        <f t="shared" si="0"/>
        <v>#DIV/0!</v>
      </c>
      <c r="U13" s="1126"/>
      <c r="V13" s="3056" t="e">
        <f t="shared" si="1"/>
        <v>#DIV/0!</v>
      </c>
      <c r="W13" s="1129"/>
      <c r="X13" s="1129"/>
      <c r="Y13" s="1129"/>
      <c r="Z13" s="1129"/>
      <c r="AA13" s="1129"/>
      <c r="AB13" s="1129"/>
      <c r="AC13" s="1130"/>
      <c r="AD13" s="2546"/>
      <c r="AE13" s="2546"/>
      <c r="AF13" s="2546"/>
      <c r="AG13" s="2546"/>
      <c r="AH13" s="2546"/>
      <c r="AI13" s="2546"/>
      <c r="AJ13" s="2547"/>
    </row>
    <row r="14" spans="1:36" ht="15">
      <c r="A14" s="3001"/>
      <c r="B14" s="1877" t="s">
        <v>1985</v>
      </c>
      <c r="C14" s="1878" t="s">
        <v>1986</v>
      </c>
      <c r="D14" s="1257" t="s">
        <v>1987</v>
      </c>
      <c r="E14" s="27" t="s">
        <v>1988</v>
      </c>
      <c r="F14" s="3013" t="s">
        <v>3239</v>
      </c>
      <c r="G14" s="3013" t="s">
        <v>3239</v>
      </c>
      <c r="H14" s="3013" t="s">
        <v>3239</v>
      </c>
      <c r="I14" s="3013" t="s">
        <v>3239</v>
      </c>
      <c r="J14" s="3013" t="s">
        <v>3239</v>
      </c>
      <c r="K14" s="1052"/>
      <c r="L14" s="1052"/>
      <c r="M14" s="1052"/>
      <c r="N14" s="1052"/>
      <c r="O14" s="1052"/>
      <c r="P14" s="1052"/>
      <c r="Q14" s="1052"/>
      <c r="R14" s="1125">
        <v>13</v>
      </c>
      <c r="S14" s="1126"/>
      <c r="T14" s="3056" t="e">
        <f t="shared" si="0"/>
        <v>#DIV/0!</v>
      </c>
      <c r="U14" s="1126"/>
      <c r="V14" s="3056" t="e">
        <f t="shared" si="1"/>
        <v>#DIV/0!</v>
      </c>
      <c r="W14" s="1129"/>
      <c r="X14" s="1129"/>
      <c r="Y14" s="1129"/>
      <c r="Z14" s="1129"/>
      <c r="AA14" s="1129"/>
      <c r="AB14" s="1129"/>
      <c r="AC14" s="1130"/>
      <c r="AD14" s="2546"/>
      <c r="AE14" s="2546"/>
      <c r="AF14" s="2546"/>
      <c r="AG14" s="2546"/>
      <c r="AH14" s="2546"/>
      <c r="AI14" s="2546"/>
      <c r="AJ14" s="2547"/>
    </row>
    <row r="15" spans="1:36" ht="15">
      <c r="A15" s="3001"/>
      <c r="B15" s="1879"/>
      <c r="C15" s="1880"/>
      <c r="D15" s="1881"/>
      <c r="E15" s="1882"/>
      <c r="F15" s="1466" t="s">
        <v>3240</v>
      </c>
      <c r="G15" s="1922"/>
      <c r="H15" s="3014"/>
      <c r="I15" s="3015"/>
      <c r="J15" s="3016"/>
      <c r="K15" s="1052"/>
      <c r="L15" s="1052"/>
      <c r="M15" s="1052"/>
      <c r="N15" s="1052"/>
      <c r="O15" s="1052"/>
      <c r="P15" s="1052"/>
      <c r="Q15" s="1052"/>
      <c r="R15" s="1125">
        <v>14</v>
      </c>
      <c r="S15" s="1126"/>
      <c r="T15" s="3056" t="e">
        <f t="shared" si="0"/>
        <v>#DIV/0!</v>
      </c>
      <c r="U15" s="1126"/>
      <c r="V15" s="3056" t="e">
        <f t="shared" si="1"/>
        <v>#DIV/0!</v>
      </c>
      <c r="W15" s="1129"/>
      <c r="X15" s="1129"/>
      <c r="Y15" s="1129"/>
      <c r="Z15" s="1129"/>
      <c r="AA15" s="1129"/>
      <c r="AB15" s="1129"/>
      <c r="AC15" s="1130"/>
      <c r="AD15" s="2546"/>
      <c r="AE15" s="2546"/>
      <c r="AF15" s="2546"/>
      <c r="AG15" s="2546"/>
      <c r="AH15" s="2546"/>
      <c r="AI15" s="2546"/>
      <c r="AJ15" s="2547"/>
    </row>
    <row r="16" spans="1:36" ht="15.75" thickBot="1">
      <c r="A16" s="3001"/>
      <c r="B16" s="3019" t="s">
        <v>1989</v>
      </c>
      <c r="C16" s="3017"/>
      <c r="D16" s="3017"/>
      <c r="E16" s="3017"/>
      <c r="F16" s="3017">
        <v>1</v>
      </c>
      <c r="G16" s="3017">
        <v>1</v>
      </c>
      <c r="H16" s="3017">
        <v>1</v>
      </c>
      <c r="I16" s="3017">
        <v>1</v>
      </c>
      <c r="J16" s="3018">
        <v>1</v>
      </c>
      <c r="K16" s="1052"/>
      <c r="L16" s="1838"/>
      <c r="M16" s="1838"/>
      <c r="N16" s="1838"/>
      <c r="O16" s="1838"/>
      <c r="P16" s="1838"/>
      <c r="Q16" s="1052"/>
      <c r="R16" s="1125">
        <v>15</v>
      </c>
      <c r="S16" s="1126"/>
      <c r="T16" s="3056" t="e">
        <f t="shared" si="0"/>
        <v>#DIV/0!</v>
      </c>
      <c r="U16" s="1126"/>
      <c r="V16" s="3056" t="e">
        <f t="shared" si="1"/>
        <v>#DIV/0!</v>
      </c>
      <c r="W16" s="1129"/>
      <c r="X16" s="1129"/>
      <c r="Y16" s="1129"/>
      <c r="Z16" s="1129"/>
      <c r="AA16" s="1129"/>
      <c r="AB16" s="1129"/>
      <c r="AC16" s="1130"/>
      <c r="AD16" s="2546"/>
      <c r="AE16" s="2546"/>
      <c r="AF16" s="2546"/>
      <c r="AG16" s="2546"/>
      <c r="AH16" s="2546"/>
      <c r="AI16" s="2546"/>
      <c r="AJ16" s="2547"/>
    </row>
    <row r="17" spans="1:37">
      <c r="A17" s="3028" t="s">
        <v>3241</v>
      </c>
      <c r="B17" s="3020" t="s">
        <v>3242</v>
      </c>
      <c r="C17" s="3029">
        <f>ROUND(IF(OR(E2="工业",E2="公共服务"),1,IF(AND(E18=0,E19=0),1,IF(AND(E18=J24,E19=G19),0.8,IF(E19=0,1+E17*(-0.2),1+E17*G17*(-0.2))))),4)</f>
        <v>1</v>
      </c>
      <c r="D17" s="3021" t="s">
        <v>3243</v>
      </c>
      <c r="E17" s="3029">
        <f>ROUND(G18/I18,2)</f>
        <v>0</v>
      </c>
      <c r="F17" s="3021" t="s">
        <v>3246</v>
      </c>
      <c r="G17" s="3029" t="e">
        <f>ROUND(E19/G19,2)</f>
        <v>#DIV/0!</v>
      </c>
      <c r="H17" s="3029"/>
      <c r="I17" s="3029"/>
      <c r="J17" s="3030"/>
      <c r="K17" s="1052"/>
      <c r="L17" s="1838"/>
      <c r="M17" s="1838"/>
      <c r="N17" s="1838"/>
      <c r="O17" s="1838"/>
      <c r="P17" s="1838"/>
      <c r="Q17" s="1052"/>
      <c r="R17" s="1052"/>
      <c r="S17" s="1052"/>
      <c r="T17" s="1052"/>
      <c r="U17" s="1052"/>
      <c r="V17" s="1052"/>
      <c r="W17" s="1052"/>
      <c r="X17" s="1052"/>
      <c r="Y17" s="1052"/>
      <c r="Z17" s="1053"/>
      <c r="AA17" s="1053"/>
      <c r="AB17" s="1053"/>
      <c r="AC17" s="1053"/>
      <c r="AD17" s="1053"/>
      <c r="AE17" s="1052"/>
      <c r="AF17" s="1052"/>
      <c r="AG17" s="1838"/>
      <c r="AH17" s="1838"/>
      <c r="AI17" s="1838"/>
      <c r="AJ17" s="1838"/>
    </row>
    <row r="18" spans="1:37" s="1852" customFormat="1" ht="14.25">
      <c r="A18" s="3031"/>
      <c r="B18" s="2302"/>
      <c r="C18" s="3027"/>
      <c r="D18" s="3022" t="s">
        <v>3244</v>
      </c>
      <c r="E18" s="2349"/>
      <c r="F18" s="3023" t="s">
        <v>3247</v>
      </c>
      <c r="G18" s="3027">
        <f>ROUND(1-(1/(POWER(1+G24,E18))),4)</f>
        <v>0</v>
      </c>
      <c r="H18" s="3023" t="s">
        <v>3249</v>
      </c>
      <c r="I18" s="3027">
        <f>ROUND(1-(1/(POWER(1+G24,J24))),4)</f>
        <v>0.93120000000000003</v>
      </c>
      <c r="J18" s="3032"/>
      <c r="K18" s="1052"/>
      <c r="L18" s="1838"/>
      <c r="M18" s="1838"/>
      <c r="N18" s="1838"/>
      <c r="O18" s="1838"/>
      <c r="P18" s="1838"/>
      <c r="Q18" s="1052"/>
      <c r="R18" s="1056"/>
      <c r="S18" s="1056"/>
      <c r="T18" s="1053"/>
      <c r="U18" s="1053"/>
      <c r="V18" s="1053"/>
      <c r="W18" s="1052"/>
      <c r="X18" s="1052"/>
      <c r="Y18" s="1052"/>
      <c r="Z18" s="1057"/>
      <c r="AA18" s="1057"/>
      <c r="AB18" s="1057"/>
      <c r="AC18" s="1057"/>
      <c r="AD18" s="1057"/>
      <c r="AE18" s="1053"/>
      <c r="AF18" s="1053"/>
      <c r="AG18" s="1974"/>
      <c r="AH18" s="1974"/>
      <c r="AI18" s="1974"/>
      <c r="AJ18" s="2545"/>
    </row>
    <row r="19" spans="1:37" s="1852" customFormat="1" ht="15" thickBot="1">
      <c r="A19" s="3033"/>
      <c r="B19" s="3034"/>
      <c r="C19" s="3035"/>
      <c r="D19" s="3035" t="s">
        <v>3245</v>
      </c>
      <c r="E19" s="3036"/>
      <c r="F19" s="3037" t="s">
        <v>3248</v>
      </c>
      <c r="G19" s="3036"/>
      <c r="H19" s="3035"/>
      <c r="I19" s="3035"/>
      <c r="J19" s="3038"/>
      <c r="K19" s="1052"/>
      <c r="L19" s="1838"/>
      <c r="M19" s="1838"/>
      <c r="N19" s="1838"/>
      <c r="O19" s="1838"/>
      <c r="P19" s="1838"/>
      <c r="Q19" s="1056"/>
      <c r="R19" s="1056"/>
      <c r="S19" s="1056"/>
      <c r="T19" s="1053"/>
      <c r="U19" s="1053"/>
      <c r="V19" s="1053"/>
      <c r="W19" s="1052"/>
      <c r="X19" s="1052"/>
      <c r="Y19" s="1052"/>
      <c r="Z19" s="1057"/>
      <c r="AA19" s="1057"/>
      <c r="AB19" s="1057"/>
      <c r="AC19" s="1057"/>
      <c r="AD19" s="1057"/>
      <c r="AE19" s="1057"/>
      <c r="AF19" s="1056"/>
      <c r="AG19" s="2548"/>
      <c r="AH19" s="1974"/>
      <c r="AI19" s="561"/>
      <c r="AJ19" s="561"/>
      <c r="AK19" s="1893"/>
    </row>
    <row r="20" spans="1:37" s="1852" customFormat="1" ht="14.25">
      <c r="A20" s="3461" t="s">
        <v>3250</v>
      </c>
      <c r="B20" s="159" t="s">
        <v>1994</v>
      </c>
      <c r="C20" s="3024">
        <f>ROUND(IF(F21="与级别开发程度一致",0,(G21-E21)/C21),0)</f>
        <v>0</v>
      </c>
      <c r="D20" s="3039" t="s">
        <v>1998</v>
      </c>
      <c r="E20" s="3040"/>
      <c r="F20" s="3463" t="s">
        <v>1995</v>
      </c>
      <c r="G20" s="3464"/>
      <c r="H20" s="3025"/>
      <c r="I20" s="3025"/>
      <c r="J20" s="3026"/>
      <c r="K20" s="1883"/>
      <c r="L20" s="1883"/>
      <c r="M20" s="1883"/>
      <c r="N20" s="1883"/>
      <c r="O20" s="1884"/>
      <c r="P20" s="1838"/>
      <c r="Q20" s="1056"/>
      <c r="R20" s="1056"/>
      <c r="S20" s="1056"/>
      <c r="T20" s="1053"/>
      <c r="U20" s="1053"/>
      <c r="V20" s="1053"/>
      <c r="W20" s="1052"/>
      <c r="X20" s="1052"/>
      <c r="Y20" s="1052"/>
      <c r="Z20" s="1057"/>
      <c r="AA20" s="1057"/>
      <c r="AB20" s="1057"/>
      <c r="AC20" s="1057"/>
      <c r="AD20" s="1057"/>
      <c r="AE20" s="1057"/>
      <c r="AF20" s="1057"/>
      <c r="AG20" s="2545"/>
      <c r="AH20" s="2545"/>
      <c r="AI20" s="2545"/>
      <c r="AJ20" s="2545"/>
    </row>
    <row r="21" spans="1:37" s="1852" customFormat="1" ht="26.25" thickBot="1">
      <c r="A21" s="3462"/>
      <c r="B21" s="1996" t="s">
        <v>1997</v>
      </c>
      <c r="C21" s="1997">
        <f>IF(E3="M4科研用地",SUMPRODUCT((修正!A2:A7=E3)*(修正!B1:M1=G2)*(修正!B2:M7)),SUMPRODUCT((修正!A2:A7=E2)*(修正!B1:M1=G2)*(修正!B2:M7)))</f>
        <v>2.5</v>
      </c>
      <c r="D21" s="179" t="str">
        <f>IF(OR(G2="八级",G2="九级",G2="十级",G2="十一级",G2="十二级"),"五通一平","七通一平")</f>
        <v>七通一平</v>
      </c>
      <c r="E21" s="1987">
        <f>SUMPRODUCT((修正!B1:M1=G2)*(修正!B17:M17))</f>
        <v>315</v>
      </c>
      <c r="F21" s="1988" t="s">
        <v>3425</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5"/>
      <c r="R21" s="1056"/>
      <c r="S21" s="1056"/>
      <c r="T21" s="1053"/>
      <c r="U21" s="1053"/>
      <c r="V21" s="1053"/>
      <c r="W21" s="1052"/>
      <c r="X21" s="1052"/>
      <c r="Y21" s="1052"/>
      <c r="Z21" s="1057"/>
      <c r="AA21" s="1057"/>
      <c r="AB21" s="1057"/>
      <c r="AC21" s="1057"/>
      <c r="AD21" s="1057"/>
      <c r="AE21" s="1057"/>
      <c r="AF21" s="1057"/>
      <c r="AG21" s="2545"/>
      <c r="AH21" s="2545"/>
      <c r="AI21" s="2545"/>
      <c r="AJ21" s="2545"/>
    </row>
    <row r="22" spans="1:37" s="1852" customFormat="1" ht="15.75" thickBot="1">
      <c r="A22" s="1990" t="s">
        <v>363</v>
      </c>
      <c r="B22" s="1991" t="s">
        <v>2000</v>
      </c>
      <c r="C22" s="1992">
        <f>SUMIF(修正!C20:C53,E3,修正!E20:E53)</f>
        <v>1</v>
      </c>
      <c r="D22" s="1993"/>
      <c r="E22" s="1994"/>
      <c r="F22" s="1994"/>
      <c r="G22" s="1994"/>
      <c r="H22" s="1994"/>
      <c r="I22" s="1994"/>
      <c r="J22" s="1995"/>
      <c r="K22" s="1057"/>
      <c r="L22" s="2545"/>
      <c r="M22" s="2545"/>
      <c r="N22" s="2545"/>
      <c r="O22" s="1055"/>
      <c r="P22" s="1055"/>
      <c r="Q22" s="2545"/>
      <c r="R22" s="1056"/>
      <c r="S22" s="1056"/>
      <c r="T22" s="1053"/>
      <c r="U22" s="1053"/>
      <c r="V22" s="1053"/>
      <c r="W22" s="1052"/>
      <c r="X22" s="1052"/>
      <c r="Y22" s="1052"/>
      <c r="Z22" s="1057"/>
      <c r="AA22" s="1057"/>
      <c r="AB22" s="1057"/>
      <c r="AC22" s="1057"/>
      <c r="AD22" s="1057"/>
      <c r="AE22" s="1057"/>
      <c r="AF22" s="1057"/>
      <c r="AG22" s="2545"/>
      <c r="AH22" s="2545"/>
      <c r="AI22" s="2545"/>
      <c r="AJ22" s="2545"/>
    </row>
    <row r="23" spans="1:37" ht="26.25" thickBot="1">
      <c r="A23" s="1886" t="s">
        <v>364</v>
      </c>
      <c r="B23" s="1887" t="s">
        <v>2001</v>
      </c>
      <c r="C23" s="71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0" t="s">
        <v>2002</v>
      </c>
      <c r="E23" s="713">
        <v>44197</v>
      </c>
      <c r="F23" s="1890" t="s">
        <v>2003</v>
      </c>
      <c r="G23" s="714">
        <f>'数据-取费表'!B2</f>
        <v>45940</v>
      </c>
      <c r="H23" s="3041" t="s">
        <v>3251</v>
      </c>
      <c r="I23" s="3042" t="str">
        <f>IF(H23="季度增幅（自定义）",SUMIF(N25:N28,E2,O25:O28),"")</f>
        <v/>
      </c>
      <c r="J23" s="3132" t="s">
        <v>3431</v>
      </c>
      <c r="K23" s="1057"/>
      <c r="L23" s="1891" t="s">
        <v>2004</v>
      </c>
      <c r="M23" s="1237">
        <f>ROUND(SUMIF(地价!B2:G2,E2,地价!B16:G16),0)</f>
        <v>350</v>
      </c>
      <c r="N23" s="1892" t="s">
        <v>2005</v>
      </c>
      <c r="O23" s="715">
        <f>ROUNDDOWN(DATEDIF(E23,G23,"M")/3,0)</f>
        <v>19</v>
      </c>
      <c r="P23" s="1053"/>
      <c r="Q23" s="2545"/>
      <c r="R23" s="1056"/>
      <c r="S23" s="1056"/>
      <c r="T23" s="1053"/>
      <c r="U23" s="1053"/>
      <c r="V23" s="1053"/>
      <c r="W23" s="1052"/>
      <c r="X23" s="1052"/>
      <c r="Y23" s="1052"/>
      <c r="Z23" s="1057"/>
      <c r="AA23" s="1057"/>
      <c r="AB23" s="1057"/>
      <c r="AC23" s="1057"/>
      <c r="AD23" s="1057"/>
      <c r="AE23" s="1053"/>
      <c r="AF23" s="1053"/>
      <c r="AG23" s="1974"/>
      <c r="AH23" s="1974"/>
      <c r="AI23" s="1974"/>
      <c r="AJ23" s="1974"/>
      <c r="AK23" s="1889"/>
    </row>
    <row r="24" spans="1:37" s="1852" customFormat="1" ht="24.75" thickBot="1">
      <c r="A24" s="1894" t="s">
        <v>365</v>
      </c>
      <c r="B24" s="1895" t="s">
        <v>2006</v>
      </c>
      <c r="C24" s="716" t="e">
        <f>ROUND(POWER(1+G24,J24-I24)*(POWER(1+G24,I24)-1)/(POWER(1+G24,J24)-1),4)</f>
        <v>#DIV/0!</v>
      </c>
      <c r="D24" s="1896" t="s">
        <v>2007</v>
      </c>
      <c r="E24" s="1244">
        <f>存贷款利率!E28/100</f>
        <v>4.3499999999999997E-2</v>
      </c>
      <c r="F24" s="1896" t="s">
        <v>1999</v>
      </c>
      <c r="G24" s="720">
        <f>SUMIF(M30:Q30,E2,M33:Q33)</f>
        <v>5.5E-2</v>
      </c>
      <c r="H24" s="1896" t="s">
        <v>2008</v>
      </c>
      <c r="I24" s="721" t="e">
        <f>SUMIF('数据-取费表'!C6:C15,E2,'数据-取费表'!F6:F15)/COUNTIF('数据-取费表'!C6:C15,E2)</f>
        <v>#DIV/0!</v>
      </c>
      <c r="J24" s="722">
        <f>IF(E2="住宅",70,IF(E2="商业",40,50))</f>
        <v>50</v>
      </c>
      <c r="K24" s="1057"/>
      <c r="L24" s="1897" t="s">
        <v>2009</v>
      </c>
      <c r="M24" s="1238">
        <f>ROUND(SUMPRODUCT((地价!A4:A16=YEAR(G23)&amp;"-"&amp;ROUNDUP(MONTH(G23)/3,0))*(地价!B2:G2=E2)*(地价!B4:G16)),0)</f>
        <v>0</v>
      </c>
      <c r="N24" s="1898" t="s">
        <v>2010</v>
      </c>
      <c r="O24" s="1899" t="s">
        <v>2011</v>
      </c>
      <c r="P24" s="1900" t="s">
        <v>2012</v>
      </c>
      <c r="Q24" s="1838"/>
      <c r="R24" s="1056"/>
      <c r="S24" s="1056"/>
      <c r="T24" s="1053"/>
      <c r="U24" s="1053"/>
      <c r="V24" s="1053"/>
      <c r="W24" s="1052"/>
      <c r="X24" s="1052"/>
      <c r="Y24" s="1052"/>
      <c r="Z24" s="1057"/>
      <c r="AA24" s="1057"/>
      <c r="AB24" s="1057"/>
      <c r="AC24" s="1057"/>
      <c r="AD24" s="1057"/>
      <c r="AE24" s="1057"/>
      <c r="AF24" s="1057"/>
      <c r="AG24" s="2545"/>
      <c r="AH24" s="2545"/>
      <c r="AI24" s="2545"/>
      <c r="AJ24" s="2545"/>
    </row>
    <row r="25" spans="1:37" ht="15">
      <c r="A25" s="1901" t="s">
        <v>366</v>
      </c>
      <c r="B25" s="1902" t="s">
        <v>3330</v>
      </c>
      <c r="C25" s="461">
        <f>IF(B25="容积率修正",IF(G3&lt;10,D26,J26),C27)</f>
        <v>0</v>
      </c>
      <c r="D25" s="1903"/>
      <c r="E25" s="1903"/>
      <c r="F25" s="1903"/>
      <c r="G25" s="1903"/>
      <c r="H25" s="1903"/>
      <c r="I25" s="1903"/>
      <c r="J25" s="1904"/>
      <c r="K25" s="1057"/>
      <c r="L25" s="2545"/>
      <c r="M25" s="2545"/>
      <c r="N25" s="1905" t="s">
        <v>2013</v>
      </c>
      <c r="O25" s="1089"/>
      <c r="P25" s="1090">
        <f>SUMPRODUCT((地价!A3:A40=YEAR(G23)&amp;"-"&amp;ROUNDUP(MONTH(G23)/3,0))*(地价!AD2:AH2=N25)*(地价!AD3:AH40))</f>
        <v>0</v>
      </c>
      <c r="Q25" s="2545"/>
      <c r="R25" s="1056"/>
      <c r="S25" s="1056"/>
      <c r="T25" s="1053"/>
      <c r="U25" s="1053"/>
      <c r="V25" s="1053"/>
      <c r="W25" s="1052"/>
      <c r="X25" s="1052"/>
      <c r="Y25" s="1052"/>
      <c r="Z25" s="1057"/>
      <c r="AA25" s="1057"/>
      <c r="AB25" s="1057"/>
      <c r="AC25" s="1057"/>
      <c r="AD25" s="1057"/>
      <c r="AE25" s="1053"/>
      <c r="AF25" s="1053"/>
      <c r="AG25" s="1974"/>
      <c r="AH25" s="1974"/>
      <c r="AI25" s="1974"/>
      <c r="AJ25" s="1974"/>
    </row>
    <row r="26" spans="1:37" ht="14.25">
      <c r="A26" s="1800" t="s">
        <v>2014</v>
      </c>
      <c r="B26" s="1906" t="s">
        <v>2015</v>
      </c>
      <c r="C26" s="1906" t="s">
        <v>3252</v>
      </c>
      <c r="D26" s="1259">
        <f>IF(E26=G26,F26,IF(G3&lt;10,ROUND(F26+(H26-F26)*(G3-E26)/(G26-E26),4),"——"))</f>
        <v>0</v>
      </c>
      <c r="E26" s="704">
        <f>ROUNDDOWN(G3,1)</f>
        <v>0</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4">
        <f>ROUNDUP(G3,1)</f>
        <v>0</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6" t="s">
        <v>3253</v>
      </c>
      <c r="J26" s="374" t="str">
        <f>IF(G3&gt;=10,D115,"——")</f>
        <v>——</v>
      </c>
      <c r="K26" s="1057"/>
      <c r="L26" s="2545"/>
      <c r="M26" s="2545"/>
      <c r="N26" s="1905" t="s">
        <v>2016</v>
      </c>
      <c r="O26" s="1089"/>
      <c r="P26" s="1090">
        <f>SUMPRODUCT((地价!A3:A40=YEAR(G23)&amp;"-"&amp;ROUNDUP(MONTH(G23)/3,0))*(地价!AD2:AH2=N26)*(地价!AD3:AH40))</f>
        <v>0</v>
      </c>
      <c r="Q26" s="1838"/>
      <c r="R26" s="1056"/>
      <c r="S26" s="1056"/>
      <c r="T26" s="1053"/>
      <c r="U26" s="1053"/>
      <c r="V26" s="1053"/>
      <c r="W26" s="1052"/>
      <c r="X26" s="1052"/>
      <c r="Y26" s="1052"/>
      <c r="Z26" s="1057"/>
      <c r="AA26" s="1057"/>
      <c r="AB26" s="1057"/>
      <c r="AC26" s="1057"/>
      <c r="AD26" s="1057"/>
      <c r="AE26" s="1053"/>
      <c r="AF26" s="1053"/>
      <c r="AG26" s="1974"/>
      <c r="AH26" s="1974"/>
      <c r="AI26" s="1974"/>
      <c r="AJ26" s="1974"/>
    </row>
    <row r="27" spans="1:37" ht="15.75" thickBot="1">
      <c r="A27" s="1800" t="s">
        <v>2017</v>
      </c>
      <c r="B27" s="1907" t="s">
        <v>2018</v>
      </c>
      <c r="C27" s="787">
        <f>ROUND(IF(I3&lt;6,SUMPRODUCT((B106:B110=I3)*(C105:N105=G2)*(C106:N110)),SUMIF(C105:N105,G2,C112:N112)),4)</f>
        <v>0</v>
      </c>
      <c r="D27" s="1836"/>
      <c r="E27" s="1836"/>
      <c r="F27" s="1908"/>
      <c r="G27" s="1909"/>
      <c r="H27" s="1910"/>
      <c r="I27" s="1911"/>
      <c r="J27" s="1912"/>
      <c r="K27" s="1052"/>
      <c r="L27" s="1838"/>
      <c r="M27" s="1838"/>
      <c r="N27" s="1905" t="s">
        <v>2019</v>
      </c>
      <c r="O27" s="1089"/>
      <c r="P27" s="1090">
        <f>SUMPRODUCT((地价!A3:A40=YEAR(G23)&amp;"-"&amp;ROUNDUP(MONTH(G23)/3,0))*(地价!AD2:AH2=N27)*(地价!AD3:AH40))</f>
        <v>0</v>
      </c>
      <c r="Q27" s="1838"/>
      <c r="R27" s="1056"/>
      <c r="S27" s="1056"/>
      <c r="T27" s="1053"/>
      <c r="U27" s="1053"/>
      <c r="V27" s="1053"/>
      <c r="W27" s="1052"/>
      <c r="X27" s="1052"/>
      <c r="Y27" s="1052"/>
      <c r="Z27" s="1057"/>
      <c r="AA27" s="1057"/>
      <c r="AB27" s="1057"/>
      <c r="AC27" s="1057"/>
      <c r="AD27" s="1057"/>
      <c r="AE27" s="1053"/>
      <c r="AF27" s="1053"/>
      <c r="AG27" s="1974"/>
      <c r="AH27" s="1974"/>
      <c r="AI27" s="1974"/>
      <c r="AJ27" s="1974"/>
    </row>
    <row r="28" spans="1:37" ht="15.75" thickBot="1">
      <c r="A28" s="1894" t="s">
        <v>367</v>
      </c>
      <c r="B28" s="1887" t="s">
        <v>2020</v>
      </c>
      <c r="C28" s="712">
        <f>SUMIF(A47:A101,E2,B47:B101)</f>
        <v>1.0588</v>
      </c>
      <c r="D28" s="1888"/>
      <c r="E28" s="1913"/>
      <c r="F28" s="1913"/>
      <c r="G28" s="1913"/>
      <c r="H28" s="1913"/>
      <c r="I28" s="1913"/>
      <c r="J28" s="1914"/>
      <c r="K28" s="1057"/>
      <c r="L28" s="2545"/>
      <c r="M28" s="2545"/>
      <c r="N28" s="1915" t="s">
        <v>2021</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4"/>
      <c r="AH28" s="1974"/>
      <c r="AI28" s="1974"/>
      <c r="AJ28" s="1974"/>
    </row>
    <row r="29" spans="1:37" ht="15.75" thickBot="1">
      <c r="A29" s="1894" t="s">
        <v>368</v>
      </c>
      <c r="B29" s="1916" t="s">
        <v>2022</v>
      </c>
      <c r="C29" s="717"/>
      <c r="D29" s="1862"/>
      <c r="E29" s="1862"/>
      <c r="F29" s="1917"/>
      <c r="G29" s="1862"/>
      <c r="H29" s="1862"/>
      <c r="I29" s="1862"/>
      <c r="J29" s="1863"/>
      <c r="K29" s="1052"/>
      <c r="L29" s="1838"/>
      <c r="M29" s="1838"/>
      <c r="N29" s="2542" t="s">
        <v>2023</v>
      </c>
      <c r="O29" s="2543"/>
      <c r="P29" s="2544">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8"/>
      <c r="AH29" s="1838"/>
      <c r="AI29" s="1838"/>
      <c r="AJ29" s="1838"/>
    </row>
    <row r="30" spans="1:37" ht="15">
      <c r="A30" s="1918"/>
      <c r="B30" s="1906" t="s">
        <v>2024</v>
      </c>
      <c r="C30" s="2139" t="e">
        <f>IF(B25="容积率修正",E33+SUM(E37:E42),SUM(V2:V16)+SUM(E37:E42))</f>
        <v>#DIV/0!</v>
      </c>
      <c r="D30" s="1919"/>
      <c r="E30" s="1836"/>
      <c r="F30" s="1920"/>
      <c r="G30" s="1836"/>
      <c r="H30" s="1836"/>
      <c r="I30" s="1836"/>
      <c r="J30" s="1921"/>
      <c r="K30" s="1052"/>
      <c r="L30" s="3048" t="s">
        <v>1936</v>
      </c>
      <c r="M30" s="3049" t="s">
        <v>1990</v>
      </c>
      <c r="N30" s="3049" t="s">
        <v>1991</v>
      </c>
      <c r="O30" s="3049" t="s">
        <v>1992</v>
      </c>
      <c r="P30" s="3049" t="s">
        <v>1993</v>
      </c>
      <c r="Q30" s="3052" t="s">
        <v>3257</v>
      </c>
      <c r="R30" s="1056"/>
      <c r="S30" s="1056"/>
      <c r="T30" s="1053"/>
      <c r="U30" s="1053"/>
      <c r="V30" s="1053"/>
      <c r="W30" s="1052"/>
      <c r="X30" s="1052"/>
      <c r="Y30" s="1052"/>
      <c r="Z30" s="1057"/>
      <c r="AA30" s="1057"/>
      <c r="AB30" s="1057"/>
      <c r="AC30" s="1057"/>
      <c r="AD30" s="1057"/>
      <c r="AE30" s="1052"/>
      <c r="AF30" s="1052"/>
      <c r="AG30" s="1838"/>
      <c r="AH30" s="1838"/>
      <c r="AI30" s="1838"/>
      <c r="AJ30" s="1838"/>
    </row>
    <row r="31" spans="1:37" ht="15.75" thickBot="1">
      <c r="A31" s="1918"/>
      <c r="B31" s="1922" t="s">
        <v>2025</v>
      </c>
      <c r="C31" s="718" t="e">
        <f>E34+SUM(I37:I42)</f>
        <v>#DIV/0!</v>
      </c>
      <c r="D31" s="1923"/>
      <c r="E31" s="1924"/>
      <c r="F31" s="1925"/>
      <c r="G31" s="1924"/>
      <c r="H31" s="1924"/>
      <c r="I31" s="1924"/>
      <c r="J31" s="1926"/>
      <c r="K31" s="1052"/>
      <c r="L31" s="3050" t="s">
        <v>1996</v>
      </c>
      <c r="M31" s="162">
        <v>0.25</v>
      </c>
      <c r="N31" s="162">
        <v>0.2</v>
      </c>
      <c r="O31" s="162">
        <v>0.15</v>
      </c>
      <c r="P31" s="162">
        <v>0.1</v>
      </c>
      <c r="Q31" s="3045">
        <v>0.15</v>
      </c>
      <c r="R31" s="1056"/>
      <c r="S31" s="1056"/>
      <c r="T31" s="1053"/>
      <c r="U31" s="1053"/>
      <c r="V31" s="1053"/>
      <c r="W31" s="1052"/>
      <c r="X31" s="1052"/>
      <c r="Y31" s="1052"/>
      <c r="Z31" s="1057"/>
      <c r="AA31" s="1057"/>
      <c r="AB31" s="1057"/>
      <c r="AC31" s="1057"/>
      <c r="AD31" s="1057"/>
      <c r="AE31" s="1052"/>
      <c r="AF31" s="1052"/>
      <c r="AG31" s="1838"/>
      <c r="AH31" s="1838"/>
      <c r="AI31" s="1838"/>
      <c r="AJ31" s="1838"/>
    </row>
    <row r="32" spans="1:37" ht="15.75" thickBot="1">
      <c r="A32" s="1927"/>
      <c r="B32" s="1928" t="s">
        <v>2026</v>
      </c>
      <c r="C32" s="1929" t="s">
        <v>2027</v>
      </c>
      <c r="D32" s="1929" t="s">
        <v>2028</v>
      </c>
      <c r="E32" s="1930" t="s">
        <v>2029</v>
      </c>
      <c r="F32" s="1931"/>
      <c r="G32" s="1875"/>
      <c r="H32" s="1875"/>
      <c r="I32" s="1875"/>
      <c r="J32" s="1876"/>
      <c r="K32" s="1052"/>
      <c r="L32" s="3051" t="s">
        <v>1999</v>
      </c>
      <c r="M32" s="2348">
        <f>ROUND($E$24*(1+M31),3)</f>
        <v>5.3999999999999999E-2</v>
      </c>
      <c r="N32" s="2348">
        <f>ROUND($E$24*(1+N31),3)</f>
        <v>5.1999999999999998E-2</v>
      </c>
      <c r="O32" s="2348">
        <f>ROUND($E$24*(1+O31),3)</f>
        <v>0.05</v>
      </c>
      <c r="P32" s="2348">
        <f>ROUND($E$24*(1+P31),3)</f>
        <v>4.8000000000000001E-2</v>
      </c>
      <c r="Q32" s="3053">
        <f>ROUND($E$24*(1+Q31),3)</f>
        <v>0.05</v>
      </c>
      <c r="R32" s="1056"/>
      <c r="S32" s="1056"/>
      <c r="T32" s="1053"/>
      <c r="U32" s="1053"/>
      <c r="V32" s="1053"/>
      <c r="W32" s="1052"/>
      <c r="X32" s="1052"/>
      <c r="Y32" s="1052"/>
      <c r="Z32" s="1057"/>
      <c r="AA32" s="1057"/>
      <c r="AB32" s="1057"/>
      <c r="AC32" s="1057"/>
      <c r="AD32" s="1057"/>
      <c r="AE32" s="1052"/>
      <c r="AF32" s="1052"/>
      <c r="AG32" s="1838"/>
      <c r="AH32" s="1838"/>
      <c r="AI32" s="1838"/>
      <c r="AJ32" s="1838"/>
    </row>
    <row r="33" spans="1:37" ht="14.25">
      <c r="A33" s="1932"/>
      <c r="B33" s="1933" t="s">
        <v>2030</v>
      </c>
      <c r="C33" s="167" t="e">
        <f>ROUND(C5*C22*C23*C24*C25*C28,0)</f>
        <v>#DIV/0!</v>
      </c>
      <c r="D33" s="1934"/>
      <c r="E33" s="723" t="e">
        <f>ROUND(C33*D33/10000,0)</f>
        <v>#DIV/0!</v>
      </c>
      <c r="F33" s="3043" t="s">
        <v>3255</v>
      </c>
      <c r="G33" s="1935"/>
      <c r="H33" s="1935"/>
      <c r="I33" s="1935"/>
      <c r="J33" s="1936"/>
      <c r="K33" s="1052"/>
      <c r="L33" s="3046" t="s">
        <v>3258</v>
      </c>
      <c r="M33" s="3047">
        <v>5.5E-2</v>
      </c>
      <c r="N33" s="3047">
        <v>5.5E-2</v>
      </c>
      <c r="O33" s="3047">
        <v>0.05</v>
      </c>
      <c r="P33" s="3047">
        <v>0.05</v>
      </c>
      <c r="Q33" s="3047">
        <v>0.05</v>
      </c>
      <c r="R33" s="1056"/>
      <c r="S33" s="1056"/>
      <c r="T33" s="1053"/>
      <c r="U33" s="1053"/>
      <c r="V33" s="1053"/>
      <c r="W33" s="1052"/>
      <c r="X33" s="1052"/>
      <c r="Y33" s="1052"/>
      <c r="Z33" s="1057"/>
      <c r="AA33" s="1057"/>
      <c r="AB33" s="1057"/>
      <c r="AC33" s="1057"/>
      <c r="AD33" s="1057"/>
      <c r="AE33" s="1053"/>
      <c r="AF33" s="1053"/>
      <c r="AG33" s="1974"/>
      <c r="AH33" s="1974"/>
      <c r="AI33" s="1974"/>
      <c r="AJ33" s="1974"/>
    </row>
    <row r="34" spans="1:37" ht="25.5" thickBot="1">
      <c r="A34" s="1937"/>
      <c r="B34" s="1938" t="s">
        <v>2031</v>
      </c>
      <c r="C34" s="179" t="e">
        <f>ROUND(IF(E2="工业",C33*M42,IF(B25="楼层修正",SUM(V2:V16)*M41*10000/D34,C33*M41)),0)</f>
        <v>#DIV/0!</v>
      </c>
      <c r="D34" s="1939"/>
      <c r="E34" s="723" t="e">
        <f>ROUND(IF(B25="楼层修正",SUM(V2:V16)*M40,C34*D34/10000),0)</f>
        <v>#DIV/0!</v>
      </c>
      <c r="F34" s="1940" t="s">
        <v>2032</v>
      </c>
      <c r="G34" s="1941"/>
      <c r="H34" s="1941"/>
      <c r="I34" s="1941"/>
      <c r="J34" s="1942"/>
      <c r="K34" s="1052"/>
      <c r="L34" s="3046" t="s">
        <v>3259</v>
      </c>
      <c r="M34" s="3047">
        <v>6.5000000000000002E-2</v>
      </c>
      <c r="N34" s="3047">
        <v>6.5000000000000002E-2</v>
      </c>
      <c r="O34" s="3047">
        <v>0.06</v>
      </c>
      <c r="P34" s="3047">
        <v>0.06</v>
      </c>
      <c r="Q34" s="3047">
        <v>0.06</v>
      </c>
      <c r="R34" s="1056"/>
      <c r="S34" s="1056"/>
      <c r="T34" s="1053"/>
      <c r="U34" s="1053"/>
      <c r="V34" s="1053"/>
      <c r="W34" s="1052"/>
      <c r="X34" s="1052"/>
      <c r="Y34" s="1052"/>
      <c r="Z34" s="1057"/>
      <c r="AA34" s="1057"/>
      <c r="AB34" s="1057"/>
      <c r="AC34" s="1057"/>
      <c r="AD34" s="1057"/>
      <c r="AE34" s="1053"/>
      <c r="AF34" s="1053"/>
      <c r="AG34" s="1974"/>
      <c r="AH34" s="1974"/>
      <c r="AI34" s="1974"/>
      <c r="AJ34" s="1974"/>
    </row>
    <row r="35" spans="1:37">
      <c r="A35" s="1943"/>
      <c r="B35" s="1944" t="s">
        <v>2033</v>
      </c>
      <c r="C35" s="3044" t="s">
        <v>3256</v>
      </c>
      <c r="D35" s="1875"/>
      <c r="E35" s="1945"/>
      <c r="F35" s="1945"/>
      <c r="G35" s="1873" t="s">
        <v>2034</v>
      </c>
      <c r="H35" s="1875"/>
      <c r="I35" s="1946"/>
      <c r="J35" s="1876"/>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4"/>
      <c r="AH35" s="1974"/>
      <c r="AI35" s="1974"/>
      <c r="AJ35" s="1974"/>
    </row>
    <row r="36" spans="1:37" ht="24.75" thickBot="1">
      <c r="A36" s="1932"/>
      <c r="B36" s="1947"/>
      <c r="C36" s="436" t="s">
        <v>2027</v>
      </c>
      <c r="D36" s="433" t="s">
        <v>2028</v>
      </c>
      <c r="E36" s="433" t="s">
        <v>2029</v>
      </c>
      <c r="F36" s="333" t="s">
        <v>2035</v>
      </c>
      <c r="G36" s="1948" t="s">
        <v>2027</v>
      </c>
      <c r="H36" s="1948" t="s">
        <v>2028</v>
      </c>
      <c r="I36" s="1948" t="s">
        <v>2029</v>
      </c>
      <c r="J36" s="235"/>
      <c r="K36" s="1958" t="s">
        <v>3260</v>
      </c>
      <c r="L36" s="3133">
        <f ca="1">'数据-取费表'!B40</f>
        <v>0.03</v>
      </c>
      <c r="M36" s="2358">
        <f ca="1">ROUND($L$36*(1+M31),3)</f>
        <v>3.7999999999999999E-2</v>
      </c>
      <c r="N36" s="2358">
        <f ca="1">ROUND($L$36*(1+N31),3)</f>
        <v>3.5999999999999997E-2</v>
      </c>
      <c r="O36" s="2358">
        <f ca="1">ROUND($L$36*(1+O31),3)</f>
        <v>3.5000000000000003E-2</v>
      </c>
      <c r="P36" s="2358">
        <f ca="1">ROUND($L$36*(1+P31),3)</f>
        <v>3.3000000000000002E-2</v>
      </c>
      <c r="Q36" s="2358">
        <f ca="1">ROUND($L$36*(1+Q31),3)</f>
        <v>3.5000000000000003E-2</v>
      </c>
      <c r="R36" s="1052"/>
      <c r="S36" s="1052"/>
      <c r="T36" s="1052"/>
      <c r="U36" s="1052"/>
      <c r="V36" s="1052"/>
      <c r="W36" s="1052"/>
      <c r="X36" s="1052"/>
      <c r="Y36" s="1052"/>
      <c r="Z36" s="1053"/>
      <c r="AA36" s="1053"/>
      <c r="AB36" s="1053"/>
      <c r="AC36" s="1053"/>
      <c r="AD36" s="1053"/>
      <c r="AE36" s="1053"/>
      <c r="AF36" s="1053"/>
      <c r="AG36" s="1974"/>
      <c r="AH36" s="1974"/>
      <c r="AI36" s="1974"/>
      <c r="AJ36" s="1974"/>
    </row>
    <row r="37" spans="1:37" ht="24.75" thickBot="1">
      <c r="A37" s="3452"/>
      <c r="B37" s="1949" t="s">
        <v>2036</v>
      </c>
      <c r="C37" s="167" t="e">
        <f>ROUND(D5*C22*C23*C24*C28*F37,0)</f>
        <v>#DIV/0!</v>
      </c>
      <c r="D37" s="1934"/>
      <c r="E37" s="163" t="e">
        <f>ROUND(C37*D37/10000,0)</f>
        <v>#DIV/0!</v>
      </c>
      <c r="F37" s="163">
        <f>SUMIF(修正!A59:A70,G2,修正!B59:B70)</f>
        <v>0.6</v>
      </c>
      <c r="G37" s="163" t="e">
        <f>ROUND(IF(E2="工业",C37*$M$42,C37*$M$41),0)</f>
        <v>#DIV/0!</v>
      </c>
      <c r="H37" s="163">
        <f>D37</f>
        <v>0</v>
      </c>
      <c r="I37" s="163" t="e">
        <f>ROUND(G37*H37/10000,0)</f>
        <v>#DIV/0!</v>
      </c>
      <c r="J37" s="2747"/>
      <c r="K37" s="3054" t="s">
        <v>3261</v>
      </c>
      <c r="L37" s="1958">
        <f ca="1">L36+K38</f>
        <v>3.4999999999999996E-2</v>
      </c>
      <c r="M37" s="2358">
        <f ca="1">ROUND($L$37*(1+M31),3)</f>
        <v>4.3999999999999997E-2</v>
      </c>
      <c r="N37" s="2358">
        <f t="shared" ref="N37:Q37" ca="1" si="3">ROUND($L$37*(1+N31),3)</f>
        <v>4.2000000000000003E-2</v>
      </c>
      <c r="O37" s="2358">
        <f t="shared" ca="1" si="3"/>
        <v>0.04</v>
      </c>
      <c r="P37" s="2358">
        <f t="shared" ca="1" si="3"/>
        <v>3.9E-2</v>
      </c>
      <c r="Q37" s="2358">
        <f t="shared" ca="1" si="3"/>
        <v>0.04</v>
      </c>
      <c r="R37" s="1052"/>
      <c r="S37" s="1052"/>
      <c r="T37" s="1052"/>
      <c r="U37" s="1052"/>
      <c r="V37" s="1052"/>
      <c r="W37" s="1052"/>
      <c r="X37" s="1052"/>
      <c r="Y37" s="1052"/>
      <c r="Z37" s="1053"/>
      <c r="AA37" s="1053"/>
      <c r="AB37" s="1053"/>
      <c r="AC37" s="1053"/>
      <c r="AD37" s="1053"/>
      <c r="AE37" s="1053"/>
      <c r="AF37" s="1053"/>
      <c r="AG37" s="1974"/>
      <c r="AH37" s="1974"/>
      <c r="AI37" s="1974"/>
      <c r="AJ37" s="1974"/>
    </row>
    <row r="38" spans="1:37">
      <c r="A38" s="3453"/>
      <c r="B38" s="1878" t="s">
        <v>2037</v>
      </c>
      <c r="C38" s="167" t="e">
        <f>ROUND(D5*C22*C23*C24*C28*F38,0)</f>
        <v>#DIV/0!</v>
      </c>
      <c r="D38" s="1934"/>
      <c r="E38" s="163" t="e">
        <f t="shared" ref="E38:E39" si="4">ROUND(C38*D38/10000,0)</f>
        <v>#DIV/0!</v>
      </c>
      <c r="F38" s="163">
        <f>SUMIF(修正!A59:A70,G2,修正!C59:C70)</f>
        <v>0.3</v>
      </c>
      <c r="G38" s="163" t="e">
        <f>ROUND(IF(E2="工业",C38*$M$42,C38*$M$41),0)</f>
        <v>#DIV/0!</v>
      </c>
      <c r="H38" s="163">
        <f t="shared" ref="H38:H42" si="5">D38</f>
        <v>0</v>
      </c>
      <c r="I38" s="163" t="e">
        <f t="shared" ref="I38:I39" si="6">ROUND(G38*H38/10000,0)</f>
        <v>#DIV/0!</v>
      </c>
      <c r="J38" s="2746"/>
      <c r="K38" s="1958">
        <v>5.0000000000000001E-3</v>
      </c>
      <c r="L38" s="1958"/>
      <c r="M38" s="1958"/>
      <c r="N38" s="1958"/>
      <c r="O38" s="1958"/>
      <c r="P38" s="1958"/>
      <c r="Q38" s="1958"/>
      <c r="R38" s="1052"/>
      <c r="S38" s="1052"/>
      <c r="T38" s="1052"/>
      <c r="U38" s="1052"/>
      <c r="V38" s="1052"/>
      <c r="W38" s="1052"/>
      <c r="X38" s="1052"/>
      <c r="Y38" s="1052"/>
      <c r="Z38" s="1053"/>
      <c r="AA38" s="1053"/>
      <c r="AB38" s="1053"/>
      <c r="AC38" s="1053"/>
      <c r="AD38" s="1053"/>
    </row>
    <row r="39" spans="1:37" ht="13.5" thickBot="1">
      <c r="A39" s="3453"/>
      <c r="B39" s="1878" t="s">
        <v>3254</v>
      </c>
      <c r="C39" s="167" t="e">
        <f>ROUND(D5*C22*C23*C24*C28*F39,0)</f>
        <v>#DIV/0!</v>
      </c>
      <c r="D39" s="1934"/>
      <c r="E39" s="163" t="e">
        <f t="shared" si="4"/>
        <v>#DIV/0!</v>
      </c>
      <c r="F39" s="163">
        <f>SUMIF(修正!A59:A70,G2,修正!D59:D70)</f>
        <v>0.25</v>
      </c>
      <c r="G39" s="163" t="e">
        <f>ROUND(IF(E2="工业",C39*$M$42,C39*$M$41),0)</f>
        <v>#DIV/0!</v>
      </c>
      <c r="H39" s="163">
        <f t="shared" si="5"/>
        <v>0</v>
      </c>
      <c r="I39" s="163" t="e">
        <f t="shared" si="6"/>
        <v>#DIV/0!</v>
      </c>
      <c r="J39" s="2746"/>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0"/>
      <c r="B40" s="1878" t="s">
        <v>2038</v>
      </c>
      <c r="C40" s="163" t="e">
        <f>ROUND(D5*C22*C23*C24*C28*F40,0)</f>
        <v>#DIV/0!</v>
      </c>
      <c r="D40" s="1934" t="e">
        <f>#REF!</f>
        <v>#REF!</v>
      </c>
      <c r="E40" s="163" t="e">
        <f>ROUND(C40*D40,0)</f>
        <v>#DIV/0!</v>
      </c>
      <c r="F40" s="167">
        <f>SUMIF(修正!A59:A70,G2,修正!E59:E70)</f>
        <v>0.25</v>
      </c>
      <c r="G40" s="163" t="e">
        <f>ROUND(IF(E2="工业",C40*$M$42,C40*$M$41),0)</f>
        <v>#DIV/0!</v>
      </c>
      <c r="H40" s="163" t="e">
        <f t="shared" si="5"/>
        <v>#REF!</v>
      </c>
      <c r="I40" s="163" t="e">
        <f>ROUND(G40*H40,0)</f>
        <v>#DIV/0!</v>
      </c>
      <c r="J40" s="935"/>
      <c r="L40" s="1951" t="s">
        <v>2039</v>
      </c>
      <c r="M40" s="1952"/>
      <c r="Z40" s="1053"/>
      <c r="AA40" s="1053"/>
      <c r="AB40" s="1053"/>
      <c r="AC40" s="1053"/>
      <c r="AD40" s="1053"/>
      <c r="AE40" s="1053"/>
      <c r="AF40" s="1053"/>
      <c r="AG40" s="1053"/>
      <c r="AH40" s="1053"/>
      <c r="AI40" s="1053"/>
      <c r="AJ40" s="1053"/>
    </row>
    <row r="41" spans="1:37" s="1052" customFormat="1">
      <c r="A41" s="1950"/>
      <c r="B41" s="1878" t="s">
        <v>2040</v>
      </c>
      <c r="C41" s="163" t="e">
        <f>ROUND(D5*C22*C23*C44*C28*F41,0)</f>
        <v>#VALUE!</v>
      </c>
      <c r="D41" s="1934" t="e">
        <f>#REF!</f>
        <v>#REF!</v>
      </c>
      <c r="E41" s="163" t="e">
        <f>ROUND(C41*D41,0)</f>
        <v>#VALUE!</v>
      </c>
      <c r="F41" s="167">
        <f>SUMIF(修正!A59:A70,G2,修正!F59:F70)</f>
        <v>0.25</v>
      </c>
      <c r="G41" s="163" t="e">
        <f>ROUND(IF(E2="工业",C41*$M$42,C41*$M$41),0)</f>
        <v>#VALUE!</v>
      </c>
      <c r="H41" s="163" t="e">
        <f t="shared" si="5"/>
        <v>#REF!</v>
      </c>
      <c r="I41" s="163" t="e">
        <f>ROUND(G41*H41,0)</f>
        <v>#VALUE!</v>
      </c>
      <c r="J41" s="935"/>
      <c r="L41" s="3055" t="s">
        <v>3262</v>
      </c>
      <c r="M41" s="1953">
        <v>0.25</v>
      </c>
      <c r="Z41" s="1053"/>
      <c r="AA41" s="1053"/>
      <c r="AB41" s="1053"/>
      <c r="AC41" s="1053"/>
      <c r="AD41" s="1053"/>
      <c r="AE41" s="1053"/>
      <c r="AF41" s="1053"/>
      <c r="AG41" s="1053"/>
      <c r="AH41" s="1053"/>
      <c r="AI41" s="1053"/>
      <c r="AJ41" s="1053"/>
    </row>
    <row r="42" spans="1:37" s="1052" customFormat="1" ht="13.5" thickBot="1">
      <c r="A42" s="1937"/>
      <c r="B42" s="1954" t="s">
        <v>2041</v>
      </c>
      <c r="C42" s="179" t="e">
        <f>ROUND(D5*C22*C23*C44*C28*F42,0)</f>
        <v>#VALUE!</v>
      </c>
      <c r="D42" s="1939" t="e">
        <f>#REF!+#REF!</f>
        <v>#REF!</v>
      </c>
      <c r="E42" s="179" t="e">
        <f>ROUND(C42*D42,0)</f>
        <v>#VALUE!</v>
      </c>
      <c r="F42" s="719">
        <f>SUMIF(修正!A59:A70,G2,修正!G59:G70)</f>
        <v>0.15</v>
      </c>
      <c r="G42" s="179" t="e">
        <f>ROUND(IF(E2="工业",C42*$M$42,C42*$M$41),0)</f>
        <v>#VALUE!</v>
      </c>
      <c r="H42" s="179" t="e">
        <f t="shared" si="5"/>
        <v>#REF!</v>
      </c>
      <c r="I42" s="179" t="e">
        <f>ROUND(G42*H42,0)</f>
        <v>#VALUE!</v>
      </c>
      <c r="J42" s="1955"/>
      <c r="L42" s="1956" t="s">
        <v>1993</v>
      </c>
      <c r="M42" s="1957">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6" t="s">
        <v>2122</v>
      </c>
      <c r="C44" s="333" t="e">
        <f>ROUND(POWER(1+E44,H44-G44)*(POWER(1+E44,G44)-1)/(POWER(1+E44,H44)-1),4)</f>
        <v>#VALUE!</v>
      </c>
      <c r="D44" s="163" t="s">
        <v>1999</v>
      </c>
      <c r="E44" s="1985">
        <f>G24</f>
        <v>5.5E-2</v>
      </c>
      <c r="F44" s="163" t="s">
        <v>2008</v>
      </c>
      <c r="G44" s="175" t="str">
        <f>项目基本情况!F15</f>
        <v/>
      </c>
      <c r="H44" s="163">
        <v>50</v>
      </c>
      <c r="Z44" s="1053"/>
      <c r="AA44" s="1053"/>
      <c r="AB44" s="1053"/>
      <c r="AC44" s="1053"/>
      <c r="AD44" s="1053"/>
      <c r="AE44" s="1053"/>
      <c r="AF44" s="1053"/>
      <c r="AG44" s="1053"/>
      <c r="AH44" s="1053"/>
      <c r="AI44" s="1053"/>
      <c r="AJ44" s="1053"/>
    </row>
    <row r="45" spans="1:37" s="1052" customFormat="1">
      <c r="A45" s="1053"/>
      <c r="B45" s="1958"/>
      <c r="Z45" s="1053"/>
      <c r="AA45" s="1053"/>
      <c r="AB45" s="1053"/>
      <c r="AC45" s="1053"/>
      <c r="AD45" s="1053"/>
      <c r="AE45" s="1053"/>
      <c r="AF45" s="1053"/>
      <c r="AG45" s="1053"/>
      <c r="AH45" s="1053"/>
      <c r="AI45" s="1053"/>
      <c r="AJ45" s="1053"/>
    </row>
    <row r="46" spans="1:37" s="1052" customFormat="1">
      <c r="A46" s="1053"/>
      <c r="B46" s="1958"/>
      <c r="AA46" s="1053"/>
      <c r="AB46" s="1053"/>
      <c r="AC46" s="1053"/>
      <c r="AD46" s="1053"/>
      <c r="AE46" s="1053"/>
      <c r="AF46" s="1053"/>
      <c r="AG46" s="1053"/>
      <c r="AH46" s="1053"/>
      <c r="AI46" s="1053"/>
      <c r="AJ46" s="1053"/>
      <c r="AK46" s="1053"/>
    </row>
    <row r="47" spans="1:37" s="1052" customFormat="1" ht="15.75" thickBot="1">
      <c r="A47" s="1959" t="s">
        <v>2042</v>
      </c>
      <c r="B47" s="1960"/>
      <c r="C47" s="4"/>
      <c r="D47" s="4"/>
      <c r="E47" s="4"/>
      <c r="F47" s="3"/>
      <c r="G47" s="3"/>
      <c r="H47" s="3"/>
      <c r="I47" s="1677"/>
      <c r="J47" s="1677"/>
      <c r="K47" s="1677"/>
      <c r="L47" s="1677"/>
      <c r="M47" s="1677"/>
      <c r="AA47" s="1053"/>
      <c r="AB47" s="1053"/>
      <c r="AC47" s="1053"/>
      <c r="AD47" s="1053"/>
      <c r="AE47" s="1053"/>
      <c r="AF47" s="1053"/>
      <c r="AG47" s="1053"/>
      <c r="AH47" s="1053"/>
      <c r="AI47" s="1053"/>
      <c r="AJ47" s="1053"/>
      <c r="AK47" s="1053"/>
    </row>
    <row r="48" spans="1:37" s="1052" customFormat="1" ht="15">
      <c r="A48" s="1961" t="s">
        <v>2043</v>
      </c>
      <c r="B48" s="1962">
        <f>1+E50</f>
        <v>1</v>
      </c>
      <c r="C48" s="1722"/>
      <c r="D48" s="695"/>
      <c r="E48" s="696"/>
      <c r="F48" s="1963"/>
      <c r="G48" s="3"/>
      <c r="H48" s="4"/>
      <c r="I48" s="1677"/>
      <c r="J48" s="1677"/>
      <c r="K48" s="1677"/>
      <c r="L48" s="1677"/>
      <c r="M48" s="1677"/>
      <c r="AA48" s="1053"/>
      <c r="AB48" s="1053"/>
      <c r="AC48" s="1053"/>
      <c r="AD48" s="1053"/>
      <c r="AE48" s="1053"/>
      <c r="AF48" s="1053"/>
      <c r="AG48" s="1053"/>
      <c r="AH48" s="1053"/>
      <c r="AI48" s="1053"/>
      <c r="AJ48" s="1053"/>
      <c r="AK48" s="1053"/>
    </row>
    <row r="49" spans="1:37" s="1052" customFormat="1" ht="24.75">
      <c r="A49" s="1964" t="s">
        <v>2044</v>
      </c>
      <c r="B49" s="1258" t="s">
        <v>2045</v>
      </c>
      <c r="C49" s="1258" t="s">
        <v>2046</v>
      </c>
      <c r="D49" s="1258" t="s">
        <v>2047</v>
      </c>
      <c r="E49" s="697" t="s">
        <v>2048</v>
      </c>
      <c r="F49" s="1965" t="s">
        <v>2049</v>
      </c>
      <c r="G49" s="1258" t="s">
        <v>310</v>
      </c>
      <c r="H49" s="1966" t="s">
        <v>2050</v>
      </c>
      <c r="I49" s="1258" t="s">
        <v>2051</v>
      </c>
      <c r="J49" s="530" t="s">
        <v>1721</v>
      </c>
      <c r="K49" s="530" t="s">
        <v>1722</v>
      </c>
      <c r="L49" s="530" t="s">
        <v>1723</v>
      </c>
      <c r="M49" s="530" t="s">
        <v>1724</v>
      </c>
      <c r="N49" s="530" t="s">
        <v>1725</v>
      </c>
      <c r="AA49" s="1053"/>
      <c r="AB49" s="1053"/>
      <c r="AC49" s="1053"/>
      <c r="AD49" s="1053"/>
      <c r="AE49" s="1053"/>
      <c r="AF49" s="1053"/>
      <c r="AG49" s="1053"/>
      <c r="AH49" s="1053"/>
      <c r="AI49" s="1053"/>
      <c r="AJ49" s="1053"/>
      <c r="AK49" s="1053"/>
    </row>
    <row r="50" spans="1:37" s="1052" customFormat="1" ht="51">
      <c r="A50" s="1964" t="s">
        <v>2052</v>
      </c>
      <c r="B50" s="1967" t="str">
        <f>估价对象房地状况!C4</f>
        <v>估价对象位于北京城市副中心商务中心区，周边商业氛围较成熟，人流量较大，商业繁华度较好</v>
      </c>
      <c r="C50" s="1881"/>
      <c r="D50" s="998">
        <f t="shared" ref="D50:D58" si="7">SUMIF($J$49:$N$49,C50,J50:N50)</f>
        <v>0</v>
      </c>
      <c r="E50" s="698">
        <f>ROUND(SUM(D50:D58),4)</f>
        <v>0</v>
      </c>
      <c r="F50" s="1671" t="str">
        <f>IF(E2="商业",SUMIF(L1:L12,G2,N1:N12),"——")</f>
        <v>——</v>
      </c>
      <c r="G50" s="996"/>
      <c r="H50" s="999" t="str">
        <f t="shared" ref="H50:H58" si="8">IFERROR(ROUNDDOWN($F$50*I50/2,4),"——")</f>
        <v>——</v>
      </c>
      <c r="I50" s="3061">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51">
      <c r="A51" s="1964" t="s">
        <v>2053</v>
      </c>
      <c r="B51" s="1258" t="str">
        <f>估价对象房地状况!C18</f>
        <v>估价对象周边有196路、B38路、Y25路等多条公交线路，综合评价交通便捷度一般</v>
      </c>
      <c r="C51" s="1881"/>
      <c r="D51" s="998">
        <f t="shared" si="7"/>
        <v>0</v>
      </c>
      <c r="E51" s="699"/>
      <c r="F51" s="1671"/>
      <c r="G51" s="996"/>
      <c r="H51" s="999" t="str">
        <f t="shared" si="8"/>
        <v>——</v>
      </c>
      <c r="I51" s="3061">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36">
      <c r="A52" s="3063" t="s">
        <v>3264</v>
      </c>
      <c r="B52" s="1258">
        <f>估价对象房地状况!C19</f>
        <v>0</v>
      </c>
      <c r="C52" s="1881"/>
      <c r="D52" s="998">
        <f t="shared" si="7"/>
        <v>0</v>
      </c>
      <c r="E52" s="699"/>
      <c r="F52" s="1671"/>
      <c r="G52" s="996"/>
      <c r="H52" s="999" t="str">
        <f t="shared" si="8"/>
        <v>——</v>
      </c>
      <c r="I52" s="3061">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6.75">
      <c r="A53" s="1964" t="s">
        <v>2054</v>
      </c>
      <c r="B53" s="1968" t="s">
        <v>2055</v>
      </c>
      <c r="C53" s="1881"/>
      <c r="D53" s="998">
        <f t="shared" si="7"/>
        <v>0</v>
      </c>
      <c r="E53" s="699"/>
      <c r="F53" s="1671"/>
      <c r="G53" s="996"/>
      <c r="H53" s="999" t="str">
        <f t="shared" si="8"/>
        <v>——</v>
      </c>
      <c r="I53" s="3061">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c r="A54" s="1964" t="s">
        <v>2056</v>
      </c>
      <c r="B54" s="1258">
        <f>估价对象房地状况!C24</f>
        <v>0</v>
      </c>
      <c r="C54" s="1881"/>
      <c r="D54" s="998">
        <f t="shared" si="7"/>
        <v>0</v>
      </c>
      <c r="E54" s="699"/>
      <c r="F54" s="1671"/>
      <c r="G54" s="996"/>
      <c r="H54" s="999" t="str">
        <f t="shared" si="8"/>
        <v>——</v>
      </c>
      <c r="I54" s="3061">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24">
      <c r="A55" s="1964" t="s">
        <v>2057</v>
      </c>
      <c r="B55" s="1969" t="s">
        <v>2058</v>
      </c>
      <c r="C55" s="1881"/>
      <c r="D55" s="998">
        <f t="shared" si="7"/>
        <v>0</v>
      </c>
      <c r="E55" s="699"/>
      <c r="F55" s="1671"/>
      <c r="G55" s="996"/>
      <c r="H55" s="999" t="str">
        <f t="shared" si="8"/>
        <v>——</v>
      </c>
      <c r="I55" s="3061">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204">
      <c r="A56" s="1970" t="s">
        <v>2059</v>
      </c>
      <c r="B56"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56" s="1881"/>
      <c r="D56" s="998">
        <f t="shared" si="7"/>
        <v>0</v>
      </c>
      <c r="E56" s="699"/>
      <c r="F56" s="1671"/>
      <c r="G56" s="996"/>
      <c r="H56" s="999" t="str">
        <f t="shared" si="8"/>
        <v>——</v>
      </c>
      <c r="I56" s="3061">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5.5">
      <c r="A57" s="1970" t="s">
        <v>2060</v>
      </c>
      <c r="B57" s="1258" t="str">
        <f>估价对象房地状况!C22</f>
        <v>估价对象所在区域基础设施水平</v>
      </c>
      <c r="C57" s="1881"/>
      <c r="D57" s="998">
        <f t="shared" si="7"/>
        <v>0</v>
      </c>
      <c r="E57" s="699"/>
      <c r="F57" s="1671"/>
      <c r="G57" s="996"/>
      <c r="H57" s="999" t="str">
        <f t="shared" si="8"/>
        <v>——</v>
      </c>
      <c r="I57" s="3061">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51.75" thickBot="1">
      <c r="A58" s="1971" t="s">
        <v>2061</v>
      </c>
      <c r="B58" s="1972" t="str">
        <f>估价对象房地状况!C20</f>
        <v>估价对象周边有河南省体育场馆中心、郑州海洋馆等人文景观，东风渠水系等自然景观，综合评价环境状况较好。</v>
      </c>
      <c r="C58" s="1881"/>
      <c r="D58" s="998">
        <f t="shared" si="7"/>
        <v>0</v>
      </c>
      <c r="E58" s="700"/>
      <c r="F58" s="1671"/>
      <c r="G58" s="996"/>
      <c r="H58" s="999" t="str">
        <f t="shared" si="8"/>
        <v>——</v>
      </c>
      <c r="I58" s="3062">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5">
      <c r="A59" s="1961" t="s">
        <v>2062</v>
      </c>
      <c r="B59" s="1962">
        <f>1+E61</f>
        <v>1.0588</v>
      </c>
      <c r="C59" s="695"/>
      <c r="D59" s="695"/>
      <c r="E59" s="696"/>
      <c r="F59" s="1963"/>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4" t="s">
        <v>2044</v>
      </c>
      <c r="B60" s="1258"/>
      <c r="C60" s="1258" t="s">
        <v>2046</v>
      </c>
      <c r="D60" s="1258" t="s">
        <v>2047</v>
      </c>
      <c r="E60" s="697" t="s">
        <v>2048</v>
      </c>
      <c r="F60" s="1965" t="s">
        <v>2063</v>
      </c>
      <c r="G60" s="1258" t="s">
        <v>310</v>
      </c>
      <c r="H60" s="1966" t="s">
        <v>2050</v>
      </c>
      <c r="I60" s="1258" t="s">
        <v>2051</v>
      </c>
      <c r="J60" s="530" t="s">
        <v>1721</v>
      </c>
      <c r="K60" s="530" t="s">
        <v>1722</v>
      </c>
      <c r="L60" s="530" t="s">
        <v>1723</v>
      </c>
      <c r="M60" s="530" t="s">
        <v>1724</v>
      </c>
      <c r="N60" s="530" t="s">
        <v>1725</v>
      </c>
      <c r="AA60" s="1053"/>
      <c r="AB60" s="1053"/>
      <c r="AC60" s="1053"/>
      <c r="AD60" s="1053"/>
      <c r="AE60" s="1053"/>
      <c r="AF60" s="1053"/>
      <c r="AG60" s="1053"/>
      <c r="AH60" s="1053"/>
      <c r="AI60" s="1053"/>
      <c r="AJ60" s="1053"/>
      <c r="AK60" s="1053"/>
    </row>
    <row r="61" spans="1:37" s="1052" customFormat="1" ht="51">
      <c r="A61" s="1964" t="s">
        <v>2064</v>
      </c>
      <c r="B61" s="1967" t="str">
        <f>估价对象房地状况!C17</f>
        <v>估价对象位于北京城市副中心商务中心区，周边办公楼项目较多，入驻率较高，办公集聚程度较好</v>
      </c>
      <c r="C61" s="1881" t="s">
        <v>3426</v>
      </c>
      <c r="D61" s="998">
        <f t="shared" ref="D61:D69" si="12">SUMIF($J$60:$N$60,C61,J61:N61)</f>
        <v>1.2200000000000001E-2</v>
      </c>
      <c r="E61" s="698">
        <f>ROUND(SUM(D61:D69),4)</f>
        <v>5.8799999999999998E-2</v>
      </c>
      <c r="F61" s="1671">
        <f>IF(E2="办公",SUMIF(L1:L12,G2,N1:N12),"——")</f>
        <v>9.8000000000000004E-2</v>
      </c>
      <c r="G61" s="996">
        <v>1.2200000000000001E-2</v>
      </c>
      <c r="H61" s="999">
        <f t="shared" ref="H61:H69" si="13">IFERROR(ROUNDDOWN($F$61*I61/2,4),"——")</f>
        <v>1.2200000000000001E-2</v>
      </c>
      <c r="I61" s="3061">
        <v>0.25</v>
      </c>
      <c r="J61" s="997">
        <f t="shared" ref="J61:J69" si="14">K61+$G61</f>
        <v>2.4400000000000002E-2</v>
      </c>
      <c r="K61" s="997">
        <f t="shared" ref="K61:K69" si="15">$L61+$G61</f>
        <v>1.2200000000000001E-2</v>
      </c>
      <c r="L61" s="997">
        <v>0</v>
      </c>
      <c r="M61" s="997">
        <f t="shared" ref="M61:N69" si="16">L61-$G61</f>
        <v>-1.2200000000000001E-2</v>
      </c>
      <c r="N61" s="997">
        <f t="shared" si="16"/>
        <v>-2.4400000000000002E-2</v>
      </c>
      <c r="AA61" s="1053"/>
      <c r="AB61" s="1053"/>
      <c r="AC61" s="1053"/>
      <c r="AD61" s="1053"/>
      <c r="AE61" s="1053"/>
      <c r="AF61" s="1053"/>
      <c r="AG61" s="1053"/>
      <c r="AH61" s="1053"/>
      <c r="AI61" s="1053"/>
      <c r="AJ61" s="1053"/>
      <c r="AK61" s="1053"/>
    </row>
    <row r="62" spans="1:37" s="1052" customFormat="1" ht="51">
      <c r="A62" s="1964" t="s">
        <v>2053</v>
      </c>
      <c r="B62" s="1258" t="str">
        <f>估价对象房地状况!C18</f>
        <v>估价对象周边有196路、B38路、Y25路等多条公交线路，综合评价交通便捷度一般</v>
      </c>
      <c r="C62" s="1881" t="s">
        <v>3426</v>
      </c>
      <c r="D62" s="998">
        <f t="shared" si="12"/>
        <v>1.2699999999999999E-2</v>
      </c>
      <c r="E62" s="699"/>
      <c r="F62" s="1671"/>
      <c r="G62" s="996">
        <v>1.2699999999999999E-2</v>
      </c>
      <c r="H62" s="999">
        <f t="shared" si="13"/>
        <v>1.2699999999999999E-2</v>
      </c>
      <c r="I62" s="3061">
        <v>0.26</v>
      </c>
      <c r="J62" s="997">
        <f t="shared" si="14"/>
        <v>2.5399999999999999E-2</v>
      </c>
      <c r="K62" s="997">
        <f t="shared" si="15"/>
        <v>1.2699999999999999E-2</v>
      </c>
      <c r="L62" s="997">
        <v>0</v>
      </c>
      <c r="M62" s="997">
        <f t="shared" si="16"/>
        <v>-1.2699999999999999E-2</v>
      </c>
      <c r="N62" s="997">
        <f t="shared" si="16"/>
        <v>-2.5399999999999999E-2</v>
      </c>
      <c r="AA62" s="1053"/>
      <c r="AB62" s="1053"/>
      <c r="AC62" s="1053"/>
      <c r="AD62" s="1053"/>
      <c r="AE62" s="1053"/>
      <c r="AF62" s="1053"/>
      <c r="AG62" s="1053"/>
      <c r="AH62" s="1053"/>
      <c r="AI62" s="1053"/>
      <c r="AJ62" s="1053"/>
      <c r="AK62" s="1053"/>
    </row>
    <row r="63" spans="1:37" s="1052" customFormat="1" ht="36">
      <c r="A63" s="3063" t="s">
        <v>3264</v>
      </c>
      <c r="B63" s="1258">
        <f>估价对象房地状况!C19</f>
        <v>0</v>
      </c>
      <c r="C63" s="1881" t="s">
        <v>3427</v>
      </c>
      <c r="D63" s="998">
        <f t="shared" si="12"/>
        <v>1.06E-2</v>
      </c>
      <c r="E63" s="699"/>
      <c r="F63" s="1671"/>
      <c r="G63" s="996">
        <v>5.3E-3</v>
      </c>
      <c r="H63" s="999">
        <f t="shared" si="13"/>
        <v>5.3E-3</v>
      </c>
      <c r="I63" s="3061">
        <v>0.11</v>
      </c>
      <c r="J63" s="997">
        <f t="shared" si="14"/>
        <v>1.06E-2</v>
      </c>
      <c r="K63" s="997">
        <f t="shared" si="15"/>
        <v>5.3E-3</v>
      </c>
      <c r="L63" s="997">
        <v>0</v>
      </c>
      <c r="M63" s="997">
        <f t="shared" si="16"/>
        <v>-5.3E-3</v>
      </c>
      <c r="N63" s="997">
        <f t="shared" si="16"/>
        <v>-1.06E-2</v>
      </c>
      <c r="AA63" s="1053"/>
      <c r="AB63" s="1053"/>
      <c r="AC63" s="1053"/>
      <c r="AD63" s="1053"/>
      <c r="AE63" s="1053"/>
      <c r="AF63" s="1053"/>
      <c r="AG63" s="1053"/>
      <c r="AH63" s="1053"/>
      <c r="AI63" s="1053"/>
      <c r="AJ63" s="1053"/>
      <c r="AK63" s="1053"/>
    </row>
    <row r="64" spans="1:37" s="1052" customFormat="1" ht="36.75">
      <c r="A64" s="1964" t="s">
        <v>2054</v>
      </c>
      <c r="B64" s="1968" t="s">
        <v>2055</v>
      </c>
      <c r="C64" s="1881" t="s">
        <v>3426</v>
      </c>
      <c r="D64" s="998">
        <f t="shared" si="12"/>
        <v>2.3999999999999998E-3</v>
      </c>
      <c r="E64" s="699"/>
      <c r="F64" s="1671"/>
      <c r="G64" s="996">
        <v>2.3999999999999998E-3</v>
      </c>
      <c r="H64" s="999">
        <f t="shared" si="13"/>
        <v>2.3999999999999998E-3</v>
      </c>
      <c r="I64" s="3061">
        <v>0.05</v>
      </c>
      <c r="J64" s="997">
        <f t="shared" si="14"/>
        <v>4.7999999999999996E-3</v>
      </c>
      <c r="K64" s="997">
        <f t="shared" si="15"/>
        <v>2.3999999999999998E-3</v>
      </c>
      <c r="L64" s="997">
        <v>0</v>
      </c>
      <c r="M64" s="997">
        <f t="shared" si="16"/>
        <v>-2.3999999999999998E-3</v>
      </c>
      <c r="N64" s="997">
        <f t="shared" si="16"/>
        <v>-4.7999999999999996E-3</v>
      </c>
      <c r="AA64" s="1053"/>
      <c r="AB64" s="1053"/>
      <c r="AC64" s="1053"/>
      <c r="AD64" s="1053"/>
      <c r="AE64" s="1053"/>
      <c r="AF64" s="1053"/>
      <c r="AG64" s="1053"/>
      <c r="AH64" s="1053"/>
      <c r="AI64" s="1053"/>
      <c r="AJ64" s="1053"/>
      <c r="AK64" s="1053"/>
    </row>
    <row r="65" spans="1:37" s="1052" customFormat="1" ht="24">
      <c r="A65" s="1964" t="s">
        <v>2056</v>
      </c>
      <c r="B65" s="1258">
        <f>估价对象房地状况!C24</f>
        <v>0</v>
      </c>
      <c r="C65" s="1881" t="s">
        <v>3428</v>
      </c>
      <c r="D65" s="998">
        <f t="shared" si="12"/>
        <v>0</v>
      </c>
      <c r="E65" s="699"/>
      <c r="F65" s="1671"/>
      <c r="G65" s="996">
        <v>2.3999999999999998E-3</v>
      </c>
      <c r="H65" s="999">
        <f t="shared" si="13"/>
        <v>2.3999999999999998E-3</v>
      </c>
      <c r="I65" s="3061">
        <v>0.05</v>
      </c>
      <c r="J65" s="997">
        <f t="shared" si="14"/>
        <v>4.7999999999999996E-3</v>
      </c>
      <c r="K65" s="997">
        <f t="shared" si="15"/>
        <v>2.3999999999999998E-3</v>
      </c>
      <c r="L65" s="997">
        <v>0</v>
      </c>
      <c r="M65" s="997">
        <f t="shared" si="16"/>
        <v>-2.3999999999999998E-3</v>
      </c>
      <c r="N65" s="997">
        <f t="shared" si="16"/>
        <v>-4.7999999999999996E-3</v>
      </c>
      <c r="AA65" s="1053"/>
      <c r="AB65" s="1053"/>
      <c r="AC65" s="1053"/>
      <c r="AD65" s="1053"/>
      <c r="AE65" s="1053"/>
      <c r="AF65" s="1053"/>
      <c r="AG65" s="1053"/>
      <c r="AH65" s="1053"/>
      <c r="AI65" s="1053"/>
      <c r="AJ65" s="1053"/>
      <c r="AK65" s="1053"/>
    </row>
    <row r="66" spans="1:37" s="1052" customFormat="1" ht="24">
      <c r="A66" s="1964" t="s">
        <v>2057</v>
      </c>
      <c r="B66" s="1969" t="s">
        <v>2058</v>
      </c>
      <c r="C66" s="1881" t="s">
        <v>3426</v>
      </c>
      <c r="D66" s="998">
        <f t="shared" si="12"/>
        <v>2.8999999999999998E-3</v>
      </c>
      <c r="E66" s="699"/>
      <c r="F66" s="1671"/>
      <c r="G66" s="996">
        <v>2.8999999999999998E-3</v>
      </c>
      <c r="H66" s="999">
        <f t="shared" si="13"/>
        <v>2.8999999999999998E-3</v>
      </c>
      <c r="I66" s="3061">
        <v>0.06</v>
      </c>
      <c r="J66" s="997">
        <f t="shared" si="14"/>
        <v>5.7999999999999996E-3</v>
      </c>
      <c r="K66" s="997">
        <f t="shared" si="15"/>
        <v>2.8999999999999998E-3</v>
      </c>
      <c r="L66" s="997">
        <v>0</v>
      </c>
      <c r="M66" s="997">
        <f t="shared" si="16"/>
        <v>-2.8999999999999998E-3</v>
      </c>
      <c r="N66" s="997">
        <f t="shared" si="16"/>
        <v>-5.7999999999999996E-3</v>
      </c>
      <c r="AA66" s="1053"/>
      <c r="AB66" s="1053"/>
      <c r="AC66" s="1053"/>
      <c r="AD66" s="1053"/>
      <c r="AE66" s="1053"/>
      <c r="AF66" s="1053"/>
      <c r="AG66" s="1053"/>
      <c r="AH66" s="1053"/>
      <c r="AI66" s="1053"/>
      <c r="AJ66" s="1053"/>
      <c r="AK66" s="1053"/>
    </row>
    <row r="67" spans="1:37" s="1052" customFormat="1" ht="204">
      <c r="A67" s="1964" t="s">
        <v>2059</v>
      </c>
      <c r="B67"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67" s="1881" t="s">
        <v>3427</v>
      </c>
      <c r="D67" s="998">
        <f t="shared" si="12"/>
        <v>5.7999999999999996E-3</v>
      </c>
      <c r="E67" s="699"/>
      <c r="F67" s="1671"/>
      <c r="G67" s="996">
        <v>2.8999999999999998E-3</v>
      </c>
      <c r="H67" s="999">
        <f t="shared" si="13"/>
        <v>2.8999999999999998E-3</v>
      </c>
      <c r="I67" s="3061">
        <v>0.06</v>
      </c>
      <c r="J67" s="997">
        <f t="shared" si="14"/>
        <v>5.7999999999999996E-3</v>
      </c>
      <c r="K67" s="997">
        <f t="shared" si="15"/>
        <v>2.8999999999999998E-3</v>
      </c>
      <c r="L67" s="997">
        <v>0</v>
      </c>
      <c r="M67" s="997">
        <f t="shared" si="16"/>
        <v>-2.8999999999999998E-3</v>
      </c>
      <c r="N67" s="997">
        <f t="shared" si="16"/>
        <v>-5.7999999999999996E-3</v>
      </c>
      <c r="AA67" s="1053"/>
      <c r="AB67" s="1053"/>
      <c r="AC67" s="1053"/>
      <c r="AD67" s="1053"/>
      <c r="AE67" s="1053"/>
      <c r="AF67" s="1053"/>
      <c r="AG67" s="1053"/>
      <c r="AH67" s="1053"/>
      <c r="AI67" s="1053"/>
      <c r="AJ67" s="1053"/>
      <c r="AK67" s="1053"/>
    </row>
    <row r="68" spans="1:37" s="1052" customFormat="1" ht="25.5">
      <c r="A68" s="1964" t="s">
        <v>2060</v>
      </c>
      <c r="B68" s="1236" t="str">
        <f>估价对象房地状况!C22</f>
        <v>估价对象所在区域基础设施水平</v>
      </c>
      <c r="C68" s="1881" t="s">
        <v>3427</v>
      </c>
      <c r="D68" s="998">
        <f t="shared" si="12"/>
        <v>8.8000000000000005E-3</v>
      </c>
      <c r="E68" s="699"/>
      <c r="F68" s="1671"/>
      <c r="G68" s="996">
        <v>4.4000000000000003E-3</v>
      </c>
      <c r="H68" s="999">
        <f t="shared" si="13"/>
        <v>4.4000000000000003E-3</v>
      </c>
      <c r="I68" s="3061">
        <v>0.09</v>
      </c>
      <c r="J68" s="997">
        <f t="shared" si="14"/>
        <v>8.8000000000000005E-3</v>
      </c>
      <c r="K68" s="997">
        <f t="shared" si="15"/>
        <v>4.4000000000000003E-3</v>
      </c>
      <c r="L68" s="997">
        <v>0</v>
      </c>
      <c r="M68" s="997">
        <f t="shared" si="16"/>
        <v>-4.4000000000000003E-3</v>
      </c>
      <c r="N68" s="997">
        <f t="shared" si="16"/>
        <v>-8.8000000000000005E-3</v>
      </c>
      <c r="AA68" s="1053"/>
      <c r="AB68" s="1053"/>
      <c r="AC68" s="1053"/>
      <c r="AD68" s="1053"/>
      <c r="AE68" s="1053"/>
      <c r="AF68" s="1053"/>
      <c r="AG68" s="1053"/>
      <c r="AH68" s="1053"/>
      <c r="AI68" s="1053"/>
      <c r="AJ68" s="1053"/>
      <c r="AK68" s="1053"/>
    </row>
    <row r="69" spans="1:37" s="1052" customFormat="1" ht="51.75" thickBot="1">
      <c r="A69" s="1971" t="s">
        <v>2061</v>
      </c>
      <c r="B69" s="1973" t="str">
        <f>估价对象房地状况!C20</f>
        <v>估价对象周边有河南省体育场馆中心、郑州海洋馆等人文景观，东风渠水系等自然景观，综合评价环境状况较好。</v>
      </c>
      <c r="C69" s="1881" t="s">
        <v>3426</v>
      </c>
      <c r="D69" s="998">
        <f t="shared" si="12"/>
        <v>3.3999999999999998E-3</v>
      </c>
      <c r="E69" s="700"/>
      <c r="F69" s="1671"/>
      <c r="G69" s="996">
        <v>3.3999999999999998E-3</v>
      </c>
      <c r="H69" s="999">
        <f t="shared" si="13"/>
        <v>3.3999999999999998E-3</v>
      </c>
      <c r="I69" s="3062">
        <v>7.0000000000000007E-2</v>
      </c>
      <c r="J69" s="997">
        <f t="shared" si="14"/>
        <v>6.7999999999999996E-3</v>
      </c>
      <c r="K69" s="997">
        <f t="shared" si="15"/>
        <v>3.3999999999999998E-3</v>
      </c>
      <c r="L69" s="997">
        <v>0</v>
      </c>
      <c r="M69" s="997">
        <f t="shared" si="16"/>
        <v>-3.3999999999999998E-3</v>
      </c>
      <c r="N69" s="997">
        <f t="shared" si="16"/>
        <v>-6.7999999999999996E-3</v>
      </c>
      <c r="AA69" s="1053"/>
      <c r="AB69" s="1053"/>
      <c r="AC69" s="1053"/>
      <c r="AD69" s="1053"/>
      <c r="AE69" s="1053"/>
      <c r="AF69" s="1053"/>
      <c r="AG69" s="1053"/>
      <c r="AH69" s="1053"/>
      <c r="AI69" s="1053"/>
      <c r="AJ69" s="1053"/>
      <c r="AK69" s="1053"/>
    </row>
    <row r="70" spans="1:37" s="1052" customFormat="1" ht="15">
      <c r="A70" s="1961" t="s">
        <v>2065</v>
      </c>
      <c r="B70" s="1962">
        <f>1+E72</f>
        <v>1</v>
      </c>
      <c r="C70" s="695"/>
      <c r="D70" s="695"/>
      <c r="E70" s="696"/>
      <c r="F70" s="1963"/>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4" t="s">
        <v>2044</v>
      </c>
      <c r="B71" s="1258"/>
      <c r="C71" s="1258" t="s">
        <v>2046</v>
      </c>
      <c r="D71" s="1258" t="s">
        <v>2047</v>
      </c>
      <c r="E71" s="697" t="s">
        <v>2048</v>
      </c>
      <c r="F71" s="1965" t="s">
        <v>2063</v>
      </c>
      <c r="G71" s="1258" t="s">
        <v>310</v>
      </c>
      <c r="H71" s="1966" t="s">
        <v>2050</v>
      </c>
      <c r="I71" s="1258" t="s">
        <v>2051</v>
      </c>
      <c r="J71" s="530" t="s">
        <v>1721</v>
      </c>
      <c r="K71" s="530" t="s">
        <v>1722</v>
      </c>
      <c r="L71" s="530" t="s">
        <v>1723</v>
      </c>
      <c r="M71" s="530" t="s">
        <v>1724</v>
      </c>
      <c r="N71" s="530" t="s">
        <v>1725</v>
      </c>
      <c r="AA71" s="1053"/>
      <c r="AB71" s="1053"/>
      <c r="AC71" s="1053"/>
      <c r="AD71" s="1053"/>
      <c r="AE71" s="1053"/>
      <c r="AF71" s="1053"/>
      <c r="AG71" s="1053"/>
      <c r="AH71" s="1053"/>
      <c r="AI71" s="1053"/>
      <c r="AJ71" s="1053"/>
      <c r="AK71" s="1053"/>
    </row>
    <row r="72" spans="1:37" s="1052" customFormat="1" ht="51">
      <c r="A72" s="1964" t="s">
        <v>2066</v>
      </c>
      <c r="B72" s="1967" t="str">
        <f>估价对象房地状况!C15</f>
        <v>周边有阳光嘉苑、瑞祥花园、园田花园、四月天等住宅小区，居住社区成熟度较好。</v>
      </c>
      <c r="C72" s="1881"/>
      <c r="D72" s="998">
        <f t="shared" ref="D72:D80" si="17">SUMIF($J$71:$N$71,C72,J72:N72)</f>
        <v>0</v>
      </c>
      <c r="E72" s="698">
        <f>ROUND(SUM(D72:D80),4)</f>
        <v>0</v>
      </c>
      <c r="F72" s="1671" t="str">
        <f>IF(E2="住宅",SUMIF(L1:L12,G2,N1:N12),"——")</f>
        <v>——</v>
      </c>
      <c r="G72" s="996"/>
      <c r="H72" s="999" t="str">
        <f t="shared" ref="H72:H80" si="18">IFERROR(ROUNDDOWN($F$72*I72/2,4),"——")</f>
        <v>——</v>
      </c>
      <c r="I72" s="3061">
        <v>0.2</v>
      </c>
      <c r="J72" s="997">
        <f t="shared" ref="J72:J80" si="19">K72+$G72</f>
        <v>0</v>
      </c>
      <c r="K72" s="997">
        <f t="shared" ref="K72:K80" si="20">$L72+$G72</f>
        <v>0</v>
      </c>
      <c r="L72" s="997">
        <v>0</v>
      </c>
      <c r="M72" s="997">
        <f t="shared" ref="M72:N80" si="21">L72-$G72</f>
        <v>0</v>
      </c>
      <c r="N72" s="997">
        <f t="shared" si="21"/>
        <v>0</v>
      </c>
      <c r="AA72" s="1053"/>
      <c r="AB72" s="1053"/>
      <c r="AC72" s="1053"/>
      <c r="AD72" s="1053"/>
      <c r="AE72" s="1053"/>
      <c r="AF72" s="1053"/>
      <c r="AG72" s="1053"/>
      <c r="AH72" s="1053"/>
      <c r="AI72" s="1053"/>
      <c r="AJ72" s="1053"/>
      <c r="AK72" s="1053"/>
    </row>
    <row r="73" spans="1:37" s="1052" customFormat="1" ht="51">
      <c r="A73" s="1964" t="s">
        <v>2053</v>
      </c>
      <c r="B73" s="1258" t="str">
        <f>估价对象房地状况!C18</f>
        <v>估价对象周边有196路、B38路、Y25路等多条公交线路，综合评价交通便捷度一般</v>
      </c>
      <c r="C73" s="1881"/>
      <c r="D73" s="998">
        <f t="shared" si="17"/>
        <v>0</v>
      </c>
      <c r="E73" s="701"/>
      <c r="F73" s="1671"/>
      <c r="G73" s="996"/>
      <c r="H73" s="999" t="str">
        <f t="shared" si="18"/>
        <v>——</v>
      </c>
      <c r="I73" s="3061">
        <v>0.26</v>
      </c>
      <c r="J73" s="997">
        <f t="shared" si="19"/>
        <v>0</v>
      </c>
      <c r="K73" s="997">
        <f t="shared" si="20"/>
        <v>0</v>
      </c>
      <c r="L73" s="997">
        <v>0</v>
      </c>
      <c r="M73" s="997">
        <f t="shared" si="21"/>
        <v>0</v>
      </c>
      <c r="N73" s="997">
        <f t="shared" si="21"/>
        <v>0</v>
      </c>
      <c r="AA73" s="1053"/>
      <c r="AB73" s="1053"/>
      <c r="AC73" s="1053"/>
      <c r="AD73" s="1053"/>
      <c r="AE73" s="1053"/>
      <c r="AF73" s="1053"/>
      <c r="AG73" s="1053"/>
      <c r="AH73" s="1053"/>
      <c r="AI73" s="1053"/>
      <c r="AJ73" s="1053"/>
      <c r="AK73" s="1053"/>
    </row>
    <row r="74" spans="1:37" s="1838" customFormat="1" ht="36">
      <c r="A74" s="3063" t="s">
        <v>3264</v>
      </c>
      <c r="B74" s="1258">
        <f>估价对象房地状况!C19</f>
        <v>0</v>
      </c>
      <c r="C74" s="1881"/>
      <c r="D74" s="998">
        <f t="shared" si="17"/>
        <v>0</v>
      </c>
      <c r="E74" s="701"/>
      <c r="F74" s="1671"/>
      <c r="G74" s="996"/>
      <c r="H74" s="999" t="str">
        <f t="shared" si="18"/>
        <v>——</v>
      </c>
      <c r="I74" s="3061">
        <v>0.1</v>
      </c>
      <c r="J74" s="997">
        <f t="shared" si="19"/>
        <v>0</v>
      </c>
      <c r="K74" s="997">
        <f t="shared" si="20"/>
        <v>0</v>
      </c>
      <c r="L74" s="997">
        <v>0</v>
      </c>
      <c r="M74" s="997">
        <f t="shared" si="21"/>
        <v>0</v>
      </c>
      <c r="N74" s="997">
        <f t="shared" si="21"/>
        <v>0</v>
      </c>
      <c r="O74" s="1052"/>
      <c r="P74" s="1052"/>
      <c r="Q74" s="1052"/>
      <c r="AA74" s="1974"/>
      <c r="AB74" s="1053"/>
      <c r="AC74" s="1053"/>
      <c r="AD74" s="1053"/>
      <c r="AE74" s="1053"/>
      <c r="AF74" s="1053"/>
      <c r="AG74" s="1053"/>
      <c r="AH74" s="1974"/>
      <c r="AI74" s="1974"/>
      <c r="AJ74" s="1974"/>
      <c r="AK74" s="1974"/>
    </row>
    <row r="75" spans="1:37" ht="14.25">
      <c r="A75" s="1964" t="s">
        <v>2067</v>
      </c>
      <c r="B75" s="1258">
        <f>估价对象房地状况!C24</f>
        <v>0</v>
      </c>
      <c r="C75" s="1881"/>
      <c r="D75" s="998">
        <f t="shared" si="17"/>
        <v>0</v>
      </c>
      <c r="E75" s="701"/>
      <c r="F75" s="1671"/>
      <c r="G75" s="996"/>
      <c r="H75" s="999" t="str">
        <f t="shared" si="18"/>
        <v>——</v>
      </c>
      <c r="I75" s="3061">
        <v>0.05</v>
      </c>
      <c r="J75" s="997">
        <f t="shared" si="19"/>
        <v>0</v>
      </c>
      <c r="K75" s="997">
        <f t="shared" si="20"/>
        <v>0</v>
      </c>
      <c r="L75" s="997">
        <v>0</v>
      </c>
      <c r="M75" s="997">
        <f t="shared" si="21"/>
        <v>0</v>
      </c>
      <c r="N75" s="997">
        <f t="shared" si="21"/>
        <v>0</v>
      </c>
      <c r="O75" s="1052"/>
      <c r="P75" s="1052"/>
      <c r="Q75" s="1838"/>
      <c r="Z75" s="1839"/>
      <c r="AA75" s="1889"/>
      <c r="AG75" s="1054"/>
      <c r="AK75" s="1889"/>
    </row>
    <row r="76" spans="1:37" ht="204">
      <c r="A76" s="1964" t="s">
        <v>2059</v>
      </c>
      <c r="B76"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76" s="1881"/>
      <c r="D76" s="998">
        <f t="shared" si="17"/>
        <v>0</v>
      </c>
      <c r="E76" s="701"/>
      <c r="F76" s="1671"/>
      <c r="G76" s="996"/>
      <c r="H76" s="999" t="str">
        <f t="shared" si="18"/>
        <v>——</v>
      </c>
      <c r="I76" s="3061">
        <v>0.08</v>
      </c>
      <c r="J76" s="997">
        <f t="shared" si="19"/>
        <v>0</v>
      </c>
      <c r="K76" s="997">
        <f t="shared" si="20"/>
        <v>0</v>
      </c>
      <c r="L76" s="997">
        <v>0</v>
      </c>
      <c r="M76" s="997">
        <f t="shared" si="21"/>
        <v>0</v>
      </c>
      <c r="N76" s="997">
        <f t="shared" si="21"/>
        <v>0</v>
      </c>
      <c r="O76" s="1052"/>
      <c r="P76" s="1052"/>
      <c r="Z76" s="1839"/>
      <c r="AA76" s="1889"/>
      <c r="AG76" s="1054"/>
      <c r="AK76" s="1889"/>
    </row>
    <row r="77" spans="1:37" ht="25.5">
      <c r="A77" s="1964" t="s">
        <v>2060</v>
      </c>
      <c r="B77" s="1236" t="str">
        <f>估价对象房地状况!C22</f>
        <v>估价对象所在区域基础设施水平</v>
      </c>
      <c r="C77" s="1881"/>
      <c r="D77" s="998">
        <f t="shared" si="17"/>
        <v>0</v>
      </c>
      <c r="E77" s="701"/>
      <c r="F77" s="1671"/>
      <c r="G77" s="996"/>
      <c r="H77" s="999" t="str">
        <f t="shared" si="18"/>
        <v>——</v>
      </c>
      <c r="I77" s="3061">
        <v>0.09</v>
      </c>
      <c r="J77" s="997">
        <f t="shared" si="19"/>
        <v>0</v>
      </c>
      <c r="K77" s="997">
        <f t="shared" si="20"/>
        <v>0</v>
      </c>
      <c r="L77" s="997">
        <v>0</v>
      </c>
      <c r="M77" s="997">
        <f t="shared" si="21"/>
        <v>0</v>
      </c>
      <c r="N77" s="997">
        <f t="shared" si="21"/>
        <v>0</v>
      </c>
      <c r="O77" s="1052"/>
      <c r="P77" s="1052"/>
      <c r="Z77" s="1839"/>
      <c r="AA77" s="1889"/>
      <c r="AG77" s="1054"/>
      <c r="AK77" s="1889"/>
    </row>
    <row r="78" spans="1:37" ht="24">
      <c r="A78" s="1964" t="s">
        <v>2057</v>
      </c>
      <c r="B78" s="1969" t="s">
        <v>2058</v>
      </c>
      <c r="C78" s="1881"/>
      <c r="D78" s="998">
        <f t="shared" si="17"/>
        <v>0</v>
      </c>
      <c r="E78" s="701"/>
      <c r="F78" s="1671"/>
      <c r="G78" s="996"/>
      <c r="H78" s="999" t="str">
        <f t="shared" si="18"/>
        <v>——</v>
      </c>
      <c r="I78" s="3061">
        <v>0.05</v>
      </c>
      <c r="J78" s="997">
        <f t="shared" si="19"/>
        <v>0</v>
      </c>
      <c r="K78" s="997">
        <f t="shared" si="20"/>
        <v>0</v>
      </c>
      <c r="L78" s="997">
        <v>0</v>
      </c>
      <c r="M78" s="997">
        <f t="shared" si="21"/>
        <v>0</v>
      </c>
      <c r="N78" s="997">
        <f t="shared" si="21"/>
        <v>0</v>
      </c>
      <c r="O78" s="1838"/>
      <c r="P78" s="1838"/>
      <c r="Z78" s="1839"/>
      <c r="AA78" s="1889"/>
      <c r="AG78" s="1054"/>
      <c r="AK78" s="1889"/>
    </row>
    <row r="79" spans="1:37" ht="51">
      <c r="A79" s="1964" t="s">
        <v>2061</v>
      </c>
      <c r="B79" s="1967" t="str">
        <f>估价对象房地状况!C20</f>
        <v>估价对象周边有河南省体育场馆中心、郑州海洋馆等人文景观，东风渠水系等自然景观，综合评价环境状况较好。</v>
      </c>
      <c r="C79" s="1881"/>
      <c r="D79" s="998">
        <f t="shared" si="17"/>
        <v>0</v>
      </c>
      <c r="E79" s="701"/>
      <c r="F79" s="1671"/>
      <c r="G79" s="996"/>
      <c r="H79" s="999" t="str">
        <f t="shared" si="18"/>
        <v>——</v>
      </c>
      <c r="I79" s="3061">
        <v>0.12</v>
      </c>
      <c r="J79" s="997">
        <f t="shared" si="19"/>
        <v>0</v>
      </c>
      <c r="K79" s="997">
        <f t="shared" si="20"/>
        <v>0</v>
      </c>
      <c r="L79" s="997">
        <v>0</v>
      </c>
      <c r="M79" s="997">
        <f t="shared" si="21"/>
        <v>0</v>
      </c>
      <c r="N79" s="997">
        <f t="shared" si="21"/>
        <v>0</v>
      </c>
      <c r="Z79" s="1839"/>
      <c r="AA79" s="1889"/>
      <c r="AG79" s="1054"/>
      <c r="AK79" s="1889"/>
    </row>
    <row r="80" spans="1:37" ht="24.75" thickBot="1">
      <c r="A80" s="1971" t="s">
        <v>2068</v>
      </c>
      <c r="B80" s="1975"/>
      <c r="C80" s="1881"/>
      <c r="D80" s="998">
        <f t="shared" si="17"/>
        <v>0</v>
      </c>
      <c r="E80" s="702"/>
      <c r="F80" s="1671"/>
      <c r="G80" s="996"/>
      <c r="H80" s="999" t="str">
        <f t="shared" si="18"/>
        <v>——</v>
      </c>
      <c r="I80" s="3062">
        <v>0.05</v>
      </c>
      <c r="J80" s="997">
        <f t="shared" si="19"/>
        <v>0</v>
      </c>
      <c r="K80" s="997">
        <f t="shared" si="20"/>
        <v>0</v>
      </c>
      <c r="L80" s="997">
        <v>0</v>
      </c>
      <c r="M80" s="997">
        <f t="shared" si="21"/>
        <v>0</v>
      </c>
      <c r="N80" s="997">
        <f t="shared" si="21"/>
        <v>0</v>
      </c>
      <c r="Z80" s="1839"/>
      <c r="AA80" s="1889"/>
      <c r="AG80" s="1054"/>
      <c r="AK80" s="1889"/>
    </row>
    <row r="81" spans="1:37" ht="15">
      <c r="A81" s="1961" t="s">
        <v>2069</v>
      </c>
      <c r="B81" s="1962">
        <f>1+E83</f>
        <v>1</v>
      </c>
      <c r="C81" s="695"/>
      <c r="D81" s="695"/>
      <c r="E81" s="696"/>
      <c r="F81" s="1963"/>
      <c r="G81" s="3"/>
      <c r="H81" s="3"/>
      <c r="I81" s="3"/>
      <c r="J81" s="4"/>
      <c r="K81" s="4"/>
      <c r="L81" s="4"/>
      <c r="M81" s="4"/>
      <c r="N81" s="4"/>
      <c r="Z81" s="1839"/>
      <c r="AA81" s="1889"/>
      <c r="AG81" s="1054"/>
      <c r="AK81" s="1889"/>
    </row>
    <row r="82" spans="1:37" ht="24.75">
      <c r="A82" s="1964" t="s">
        <v>2044</v>
      </c>
      <c r="B82" s="1258"/>
      <c r="C82" s="1258" t="s">
        <v>2046</v>
      </c>
      <c r="D82" s="1258" t="s">
        <v>2047</v>
      </c>
      <c r="E82" s="697" t="s">
        <v>2048</v>
      </c>
      <c r="F82" s="1965" t="s">
        <v>2063</v>
      </c>
      <c r="G82" s="1258" t="s">
        <v>310</v>
      </c>
      <c r="H82" s="1966" t="s">
        <v>2050</v>
      </c>
      <c r="I82" s="1258" t="s">
        <v>2051</v>
      </c>
      <c r="J82" s="530" t="s">
        <v>1721</v>
      </c>
      <c r="K82" s="530" t="s">
        <v>1722</v>
      </c>
      <c r="L82" s="530" t="s">
        <v>1723</v>
      </c>
      <c r="M82" s="530" t="s">
        <v>1724</v>
      </c>
      <c r="N82" s="530" t="s">
        <v>1725</v>
      </c>
      <c r="Z82" s="1839"/>
      <c r="AA82" s="1889"/>
      <c r="AG82" s="1054"/>
      <c r="AK82" s="1889"/>
    </row>
    <row r="83" spans="1:37" ht="38.25">
      <c r="A83" s="1964" t="s">
        <v>2070</v>
      </c>
      <c r="B83" s="1258" t="str">
        <f>估价对象房地状况!G15</f>
        <v>估价对象位于XX开发区，园区建设成熟度XX，产业集聚程度XX</v>
      </c>
      <c r="C83" s="1881"/>
      <c r="D83" s="998">
        <f t="shared" ref="D83:D90" si="22">SUMIF($J$82:$N$82,C83,J83:N83)</f>
        <v>0</v>
      </c>
      <c r="E83" s="698">
        <f>ROUND(SUM(D83:D90),4)</f>
        <v>0</v>
      </c>
      <c r="F83" s="1671" t="str">
        <f>IF(E2="工业",SUMIF(L1:L12,G2,N1:N12),"——")</f>
        <v>——</v>
      </c>
      <c r="G83" s="996"/>
      <c r="H83" s="999" t="str">
        <f t="shared" ref="H83:H90" si="23">IFERROR(ROUNDDOWN($F$83*I83/2,4),"——")</f>
        <v>——</v>
      </c>
      <c r="I83" s="3061">
        <v>0.26</v>
      </c>
      <c r="J83" s="997">
        <f t="shared" ref="J83:J90" si="24">K83+$G83</f>
        <v>0</v>
      </c>
      <c r="K83" s="997">
        <f t="shared" ref="K83:K90" si="25">$L83+$G83</f>
        <v>0</v>
      </c>
      <c r="L83" s="997">
        <v>0</v>
      </c>
      <c r="M83" s="997">
        <f t="shared" ref="M83:N90" si="26">L83-$G83</f>
        <v>0</v>
      </c>
      <c r="N83" s="997">
        <f t="shared" si="26"/>
        <v>0</v>
      </c>
      <c r="Z83" s="1839"/>
      <c r="AA83" s="1889"/>
      <c r="AG83" s="1054"/>
      <c r="AK83" s="1889"/>
    </row>
    <row r="84" spans="1:37" ht="38.25">
      <c r="A84" s="1964" t="s">
        <v>2053</v>
      </c>
      <c r="B84" s="1258" t="str">
        <f>估价对象房地状况!G16</f>
        <v>估价对象周边道路状况、公共交通通达情况、停车便捷程度，综合评价交通便捷度较好</v>
      </c>
      <c r="C84" s="1881"/>
      <c r="D84" s="998">
        <f t="shared" si="22"/>
        <v>0</v>
      </c>
      <c r="E84" s="701"/>
      <c r="F84" s="1671"/>
      <c r="G84" s="996"/>
      <c r="H84" s="999" t="str">
        <f t="shared" si="23"/>
        <v>——</v>
      </c>
      <c r="I84" s="3061">
        <v>0.3</v>
      </c>
      <c r="J84" s="997">
        <f t="shared" si="24"/>
        <v>0</v>
      </c>
      <c r="K84" s="997">
        <f t="shared" si="25"/>
        <v>0</v>
      </c>
      <c r="L84" s="997">
        <v>0</v>
      </c>
      <c r="M84" s="997">
        <f t="shared" si="26"/>
        <v>0</v>
      </c>
      <c r="N84" s="997">
        <f t="shared" si="26"/>
        <v>0</v>
      </c>
      <c r="Z84" s="1839"/>
      <c r="AA84" s="1889"/>
      <c r="AG84" s="1054"/>
      <c r="AK84" s="1889"/>
    </row>
    <row r="85" spans="1:37" ht="36">
      <c r="A85" s="3063" t="s">
        <v>3264</v>
      </c>
      <c r="B85" s="1258">
        <f>估价对象房地状况!G17</f>
        <v>0</v>
      </c>
      <c r="C85" s="1881"/>
      <c r="D85" s="998">
        <f t="shared" si="22"/>
        <v>0</v>
      </c>
      <c r="E85" s="701"/>
      <c r="F85" s="1671"/>
      <c r="G85" s="996"/>
      <c r="H85" s="999" t="str">
        <f t="shared" si="23"/>
        <v>——</v>
      </c>
      <c r="I85" s="3061">
        <v>0.1</v>
      </c>
      <c r="J85" s="997">
        <f t="shared" si="24"/>
        <v>0</v>
      </c>
      <c r="K85" s="997">
        <f t="shared" si="25"/>
        <v>0</v>
      </c>
      <c r="L85" s="997">
        <v>0</v>
      </c>
      <c r="M85" s="997">
        <f t="shared" si="26"/>
        <v>0</v>
      </c>
      <c r="N85" s="997">
        <f t="shared" si="26"/>
        <v>0</v>
      </c>
      <c r="Z85" s="1839"/>
      <c r="AA85" s="1889"/>
      <c r="AG85" s="1054"/>
      <c r="AK85" s="1889"/>
    </row>
    <row r="86" spans="1:37" ht="14.25">
      <c r="A86" s="1964" t="s">
        <v>2067</v>
      </c>
      <c r="B86" s="1258">
        <f>估价对象房地状况!G22</f>
        <v>0</v>
      </c>
      <c r="C86" s="1881"/>
      <c r="D86" s="998">
        <f t="shared" si="22"/>
        <v>0</v>
      </c>
      <c r="E86" s="701"/>
      <c r="F86" s="1671"/>
      <c r="G86" s="996"/>
      <c r="H86" s="999" t="str">
        <f t="shared" si="23"/>
        <v>——</v>
      </c>
      <c r="I86" s="3061">
        <v>0.05</v>
      </c>
      <c r="J86" s="997">
        <f t="shared" si="24"/>
        <v>0</v>
      </c>
      <c r="K86" s="997">
        <f t="shared" si="25"/>
        <v>0</v>
      </c>
      <c r="L86" s="997">
        <v>0</v>
      </c>
      <c r="M86" s="997">
        <f t="shared" si="26"/>
        <v>0</v>
      </c>
      <c r="N86" s="997">
        <f t="shared" si="26"/>
        <v>0</v>
      </c>
      <c r="Z86" s="1839"/>
      <c r="AA86" s="1889"/>
      <c r="AG86" s="1054"/>
      <c r="AK86" s="1889"/>
    </row>
    <row r="87" spans="1:37" ht="25.5">
      <c r="A87" s="1964" t="s">
        <v>2059</v>
      </c>
      <c r="B87" s="1236" t="str">
        <f>估价对象房地状况!G19</f>
        <v>估价对象所在区域公共配套设施齐备情况</v>
      </c>
      <c r="C87" s="1881"/>
      <c r="D87" s="998">
        <f t="shared" si="22"/>
        <v>0</v>
      </c>
      <c r="E87" s="701"/>
      <c r="F87" s="1671"/>
      <c r="G87" s="996"/>
      <c r="H87" s="999" t="str">
        <f t="shared" si="23"/>
        <v>——</v>
      </c>
      <c r="I87" s="3061">
        <v>0.06</v>
      </c>
      <c r="J87" s="997">
        <f t="shared" si="24"/>
        <v>0</v>
      </c>
      <c r="K87" s="997">
        <f t="shared" si="25"/>
        <v>0</v>
      </c>
      <c r="L87" s="997">
        <v>0</v>
      </c>
      <c r="M87" s="997">
        <f t="shared" si="26"/>
        <v>0</v>
      </c>
      <c r="N87" s="997">
        <f t="shared" si="26"/>
        <v>0</v>
      </c>
    </row>
    <row r="88" spans="1:37" ht="25.5">
      <c r="A88" s="1964" t="s">
        <v>2060</v>
      </c>
      <c r="B88" s="1236" t="str">
        <f>估价对象房地状况!G20</f>
        <v>估价对象所在区域基础设施水平</v>
      </c>
      <c r="C88" s="1881"/>
      <c r="D88" s="998">
        <f t="shared" si="22"/>
        <v>0</v>
      </c>
      <c r="E88" s="701"/>
      <c r="F88" s="1671"/>
      <c r="G88" s="996"/>
      <c r="H88" s="999" t="str">
        <f t="shared" si="23"/>
        <v>——</v>
      </c>
      <c r="I88" s="3061">
        <v>0.12</v>
      </c>
      <c r="J88" s="997">
        <f t="shared" si="24"/>
        <v>0</v>
      </c>
      <c r="K88" s="997">
        <f t="shared" si="25"/>
        <v>0</v>
      </c>
      <c r="L88" s="997">
        <v>0</v>
      </c>
      <c r="M88" s="997">
        <f t="shared" si="26"/>
        <v>0</v>
      </c>
      <c r="N88" s="997">
        <f t="shared" si="26"/>
        <v>0</v>
      </c>
    </row>
    <row r="89" spans="1:37" ht="24">
      <c r="A89" s="1964" t="s">
        <v>2057</v>
      </c>
      <c r="B89" s="1969" t="s">
        <v>2071</v>
      </c>
      <c r="C89" s="1881"/>
      <c r="D89" s="998">
        <f t="shared" si="22"/>
        <v>0</v>
      </c>
      <c r="E89" s="701"/>
      <c r="F89" s="1671"/>
      <c r="G89" s="996"/>
      <c r="H89" s="999" t="str">
        <f t="shared" si="23"/>
        <v>——</v>
      </c>
      <c r="I89" s="3061">
        <v>0.06</v>
      </c>
      <c r="J89" s="997">
        <f t="shared" si="24"/>
        <v>0</v>
      </c>
      <c r="K89" s="997">
        <f t="shared" si="25"/>
        <v>0</v>
      </c>
      <c r="L89" s="997">
        <v>0</v>
      </c>
      <c r="M89" s="997">
        <f t="shared" si="26"/>
        <v>0</v>
      </c>
      <c r="N89" s="997">
        <f t="shared" si="26"/>
        <v>0</v>
      </c>
    </row>
    <row r="90" spans="1:37" ht="39" thickBot="1">
      <c r="A90" s="1971" t="s">
        <v>2072</v>
      </c>
      <c r="B90" s="1976" t="str">
        <f>估价对象房地状况!G18</f>
        <v>该园区内是否有污染型企业，绿化情况，卫生条件，整体环境状况判断</v>
      </c>
      <c r="C90" s="1881"/>
      <c r="D90" s="998">
        <f t="shared" si="22"/>
        <v>0</v>
      </c>
      <c r="E90" s="702"/>
      <c r="F90" s="1671"/>
      <c r="G90" s="996"/>
      <c r="H90" s="999" t="str">
        <f t="shared" si="23"/>
        <v>——</v>
      </c>
      <c r="I90" s="3062">
        <v>0.05</v>
      </c>
      <c r="J90" s="997">
        <f t="shared" si="24"/>
        <v>0</v>
      </c>
      <c r="K90" s="997">
        <f t="shared" si="25"/>
        <v>0</v>
      </c>
      <c r="L90" s="997">
        <v>0</v>
      </c>
      <c r="M90" s="997">
        <f t="shared" si="26"/>
        <v>0</v>
      </c>
      <c r="N90" s="997">
        <f t="shared" si="26"/>
        <v>0</v>
      </c>
    </row>
    <row r="91" spans="1:37" ht="15">
      <c r="A91" s="3071" t="s">
        <v>2608</v>
      </c>
      <c r="B91" s="3072">
        <f>1+E93</f>
        <v>1</v>
      </c>
      <c r="C91" s="3065"/>
      <c r="D91" s="3066"/>
      <c r="E91" s="1671"/>
      <c r="F91" s="1671"/>
      <c r="G91" s="3067"/>
      <c r="H91" s="3068"/>
      <c r="I91" s="3069"/>
      <c r="J91" s="3070"/>
      <c r="K91" s="3070"/>
      <c r="L91" s="3070"/>
      <c r="M91" s="3070"/>
      <c r="N91" s="3070"/>
    </row>
    <row r="92" spans="1:37" ht="24.75">
      <c r="A92" s="3073" t="s">
        <v>2044</v>
      </c>
      <c r="B92" s="2302"/>
      <c r="C92" s="2302" t="s">
        <v>2046</v>
      </c>
      <c r="D92" s="2302" t="s">
        <v>2047</v>
      </c>
      <c r="E92" s="3045" t="s">
        <v>2048</v>
      </c>
      <c r="F92" s="3075" t="s">
        <v>3278</v>
      </c>
      <c r="G92" s="2302" t="s">
        <v>1989</v>
      </c>
      <c r="H92" s="3082" t="s">
        <v>3282</v>
      </c>
      <c r="I92" s="2302" t="s">
        <v>2051</v>
      </c>
      <c r="J92" s="2144" t="s">
        <v>1721</v>
      </c>
      <c r="K92" s="2144" t="s">
        <v>1722</v>
      </c>
      <c r="L92" s="2144" t="s">
        <v>1723</v>
      </c>
      <c r="M92" s="2144" t="s">
        <v>1724</v>
      </c>
      <c r="N92" s="2144" t="s">
        <v>1725</v>
      </c>
    </row>
    <row r="93" spans="1:37" ht="24">
      <c r="A93" s="3063" t="s">
        <v>3267</v>
      </c>
      <c r="B93" s="1217"/>
      <c r="C93" s="1881"/>
      <c r="D93" s="2302">
        <f>SUMIF($J$92:$N$92,C93,J93:N93)</f>
        <v>0</v>
      </c>
      <c r="E93" s="3076">
        <f>ROUND(SUM(D93:D101),4)</f>
        <v>0</v>
      </c>
      <c r="F93" s="1671" t="str">
        <f>IF(E2="公共服务",SUMIF(L1:L12,G2,N1:N12),"——")</f>
        <v>——</v>
      </c>
      <c r="G93" s="3067"/>
      <c r="H93" s="3111" t="str">
        <f>IFERROR(ROUNDDOWN($F$93*I93/2,4),"——")</f>
        <v>——</v>
      </c>
      <c r="I93" s="3061">
        <v>0.25</v>
      </c>
      <c r="J93" s="1906">
        <f t="shared" ref="J93:J101" si="27">K93+$G93</f>
        <v>0</v>
      </c>
      <c r="K93" s="1906">
        <f t="shared" ref="K93:K101" si="28">$L93+$G93</f>
        <v>0</v>
      </c>
      <c r="L93" s="1906">
        <v>0</v>
      </c>
      <c r="M93" s="1906">
        <f t="shared" ref="M93:N101" si="29">L93-$G93</f>
        <v>0</v>
      </c>
      <c r="N93" s="1906">
        <f t="shared" si="29"/>
        <v>0</v>
      </c>
    </row>
    <row r="94" spans="1:37" ht="51">
      <c r="A94" s="3073" t="s">
        <v>2053</v>
      </c>
      <c r="B94" s="3064" t="str">
        <f>估价对象房地状况!C18</f>
        <v>估价对象周边有196路、B38路、Y25路等多条公交线路，综合评价交通便捷度一般</v>
      </c>
      <c r="C94" s="1881"/>
      <c r="D94" s="2302">
        <f t="shared" ref="D94:D101" si="30">SUMIF($J$60:$N$60,C94,J94:N94)</f>
        <v>0</v>
      </c>
      <c r="E94" s="3077"/>
      <c r="F94" s="1671"/>
      <c r="G94" s="3067"/>
      <c r="H94" s="3111" t="str">
        <f>IFERROR(ROUNDDOWN($F$93*I94/2,4),"——")</f>
        <v>——</v>
      </c>
      <c r="I94" s="3061">
        <v>0.26</v>
      </c>
      <c r="J94" s="1906">
        <f t="shared" si="27"/>
        <v>0</v>
      </c>
      <c r="K94" s="1906">
        <f t="shared" si="28"/>
        <v>0</v>
      </c>
      <c r="L94" s="1906">
        <v>0</v>
      </c>
      <c r="M94" s="1906">
        <f t="shared" si="29"/>
        <v>0</v>
      </c>
      <c r="N94" s="1906">
        <f t="shared" si="29"/>
        <v>0</v>
      </c>
    </row>
    <row r="95" spans="1:37" ht="36">
      <c r="A95" s="3063" t="s">
        <v>3264</v>
      </c>
      <c r="B95" s="3064">
        <f>估价对象房地状况!C19</f>
        <v>0</v>
      </c>
      <c r="C95" s="1881"/>
      <c r="D95" s="2302">
        <f t="shared" si="30"/>
        <v>0</v>
      </c>
      <c r="E95" s="3077"/>
      <c r="F95" s="1671"/>
      <c r="G95" s="3067"/>
      <c r="H95" s="3111" t="str">
        <f t="shared" ref="H95:H101" si="31">IFERROR(ROUNDDOWN($F$93*I95/2,4),"——")</f>
        <v>——</v>
      </c>
      <c r="I95" s="3061">
        <v>0.11</v>
      </c>
      <c r="J95" s="1906">
        <f t="shared" si="27"/>
        <v>0</v>
      </c>
      <c r="K95" s="1906">
        <f t="shared" si="28"/>
        <v>0</v>
      </c>
      <c r="L95" s="1906">
        <v>0</v>
      </c>
      <c r="M95" s="1906">
        <f t="shared" si="29"/>
        <v>0</v>
      </c>
      <c r="N95" s="1906">
        <f t="shared" si="29"/>
        <v>0</v>
      </c>
    </row>
    <row r="96" spans="1:37" ht="36.75">
      <c r="A96" s="3073" t="s">
        <v>2054</v>
      </c>
      <c r="B96" s="3079" t="s">
        <v>3280</v>
      </c>
      <c r="C96" s="1881"/>
      <c r="D96" s="2302">
        <f t="shared" si="30"/>
        <v>0</v>
      </c>
      <c r="E96" s="3077"/>
      <c r="F96" s="1671"/>
      <c r="G96" s="3067"/>
      <c r="H96" s="3111" t="str">
        <f t="shared" si="31"/>
        <v>——</v>
      </c>
      <c r="I96" s="3061">
        <v>0.05</v>
      </c>
      <c r="J96" s="1906">
        <f t="shared" si="27"/>
        <v>0</v>
      </c>
      <c r="K96" s="1906">
        <f t="shared" si="28"/>
        <v>0</v>
      </c>
      <c r="L96" s="1906">
        <v>0</v>
      </c>
      <c r="M96" s="1906">
        <f t="shared" si="29"/>
        <v>0</v>
      </c>
      <c r="N96" s="1906">
        <f t="shared" si="29"/>
        <v>0</v>
      </c>
    </row>
    <row r="97" spans="1:14" ht="24">
      <c r="A97" s="3073" t="s">
        <v>2056</v>
      </c>
      <c r="B97" s="3064">
        <f>估价对象房地状况!C24</f>
        <v>0</v>
      </c>
      <c r="C97" s="1881"/>
      <c r="D97" s="2302">
        <f t="shared" si="30"/>
        <v>0</v>
      </c>
      <c r="E97" s="3077"/>
      <c r="F97" s="1671"/>
      <c r="G97" s="3067"/>
      <c r="H97" s="3111" t="str">
        <f t="shared" si="31"/>
        <v>——</v>
      </c>
      <c r="I97" s="3061">
        <v>0.05</v>
      </c>
      <c r="J97" s="1906">
        <f t="shared" si="27"/>
        <v>0</v>
      </c>
      <c r="K97" s="1906">
        <f t="shared" si="28"/>
        <v>0</v>
      </c>
      <c r="L97" s="1906">
        <v>0</v>
      </c>
      <c r="M97" s="1906">
        <f t="shared" si="29"/>
        <v>0</v>
      </c>
      <c r="N97" s="1906">
        <f t="shared" si="29"/>
        <v>0</v>
      </c>
    </row>
    <row r="98" spans="1:14" ht="24">
      <c r="A98" s="3073" t="s">
        <v>2057</v>
      </c>
      <c r="B98" s="3080" t="s">
        <v>3281</v>
      </c>
      <c r="C98" s="1881"/>
      <c r="D98" s="2302">
        <f t="shared" si="30"/>
        <v>0</v>
      </c>
      <c r="E98" s="3077"/>
      <c r="F98" s="1671"/>
      <c r="G98" s="3067"/>
      <c r="H98" s="3111" t="str">
        <f t="shared" si="31"/>
        <v>——</v>
      </c>
      <c r="I98" s="3061">
        <v>0.06</v>
      </c>
      <c r="J98" s="1906">
        <f t="shared" si="27"/>
        <v>0</v>
      </c>
      <c r="K98" s="1906">
        <f t="shared" si="28"/>
        <v>0</v>
      </c>
      <c r="L98" s="1906">
        <v>0</v>
      </c>
      <c r="M98" s="1906">
        <f t="shared" si="29"/>
        <v>0</v>
      </c>
      <c r="N98" s="1906">
        <f t="shared" si="29"/>
        <v>0</v>
      </c>
    </row>
    <row r="99" spans="1:14" ht="204">
      <c r="A99" s="3073" t="s">
        <v>2059</v>
      </c>
      <c r="B99" s="3064"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99" s="1881"/>
      <c r="D99" s="2302">
        <f t="shared" si="30"/>
        <v>0</v>
      </c>
      <c r="E99" s="3077"/>
      <c r="F99" s="1671"/>
      <c r="G99" s="3067"/>
      <c r="H99" s="3111" t="str">
        <f t="shared" si="31"/>
        <v>——</v>
      </c>
      <c r="I99" s="3061">
        <v>0.06</v>
      </c>
      <c r="J99" s="1906">
        <f t="shared" si="27"/>
        <v>0</v>
      </c>
      <c r="K99" s="1906">
        <f t="shared" si="28"/>
        <v>0</v>
      </c>
      <c r="L99" s="1906">
        <v>0</v>
      </c>
      <c r="M99" s="1906">
        <f t="shared" si="29"/>
        <v>0</v>
      </c>
      <c r="N99" s="1906">
        <f t="shared" si="29"/>
        <v>0</v>
      </c>
    </row>
    <row r="100" spans="1:14" ht="25.5">
      <c r="A100" s="3073" t="s">
        <v>2060</v>
      </c>
      <c r="B100" s="3064" t="str">
        <f>估价对象房地状况!C22</f>
        <v>估价对象所在区域基础设施水平</v>
      </c>
      <c r="C100" s="1881"/>
      <c r="D100" s="2302">
        <f t="shared" si="30"/>
        <v>0</v>
      </c>
      <c r="E100" s="3077"/>
      <c r="F100" s="1671"/>
      <c r="G100" s="3067"/>
      <c r="H100" s="3111" t="str">
        <f t="shared" si="31"/>
        <v>——</v>
      </c>
      <c r="I100" s="3061">
        <v>0.09</v>
      </c>
      <c r="J100" s="1906">
        <f t="shared" si="27"/>
        <v>0</v>
      </c>
      <c r="K100" s="1906">
        <f t="shared" si="28"/>
        <v>0</v>
      </c>
      <c r="L100" s="1906">
        <v>0</v>
      </c>
      <c r="M100" s="1906">
        <f t="shared" si="29"/>
        <v>0</v>
      </c>
      <c r="N100" s="1906">
        <f t="shared" si="29"/>
        <v>0</v>
      </c>
    </row>
    <row r="101" spans="1:14" ht="51.75" thickBot="1">
      <c r="A101" s="3074" t="s">
        <v>2061</v>
      </c>
      <c r="B101" s="3081" t="str">
        <f>估价对象房地状况!C20</f>
        <v>估价对象周边有河南省体育场馆中心、郑州海洋馆等人文景观，东风渠水系等自然景观，综合评价环境状况较好。</v>
      </c>
      <c r="C101" s="1881"/>
      <c r="D101" s="2302">
        <f t="shared" si="30"/>
        <v>0</v>
      </c>
      <c r="E101" s="3078"/>
      <c r="F101" s="1671"/>
      <c r="G101" s="3067"/>
      <c r="H101" s="3111" t="str">
        <f t="shared" si="31"/>
        <v>——</v>
      </c>
      <c r="I101" s="3062">
        <v>7.0000000000000007E-2</v>
      </c>
      <c r="J101" s="1906">
        <f t="shared" si="27"/>
        <v>0</v>
      </c>
      <c r="K101" s="1906">
        <f t="shared" si="28"/>
        <v>0</v>
      </c>
      <c r="L101" s="1906">
        <v>0</v>
      </c>
      <c r="M101" s="1906">
        <f t="shared" si="29"/>
        <v>0</v>
      </c>
      <c r="N101" s="1906">
        <f t="shared" si="29"/>
        <v>0</v>
      </c>
    </row>
    <row r="103" spans="1:14">
      <c r="A103" s="3465" t="s">
        <v>3289</v>
      </c>
      <c r="B103" s="3465"/>
      <c r="C103" s="3465"/>
      <c r="D103" s="3465"/>
      <c r="E103" s="3465"/>
      <c r="F103" s="3465"/>
      <c r="G103" s="3465"/>
      <c r="H103" s="3465"/>
      <c r="I103" s="3465"/>
      <c r="J103" s="3465"/>
      <c r="K103" s="1663"/>
      <c r="L103" s="1663"/>
      <c r="M103" s="1663"/>
      <c r="N103" s="1663"/>
    </row>
    <row r="104" spans="1:14">
      <c r="A104" s="3466" t="s">
        <v>3290</v>
      </c>
      <c r="B104" s="3466" t="s">
        <v>3291</v>
      </c>
      <c r="C104" s="3083" t="s">
        <v>3292</v>
      </c>
      <c r="D104" s="3084"/>
      <c r="E104" s="3084"/>
      <c r="F104" s="3084"/>
      <c r="G104" s="3084"/>
      <c r="H104" s="3084"/>
      <c r="I104" s="3084"/>
      <c r="J104" s="3085"/>
      <c r="K104" s="3086"/>
      <c r="L104" s="3086"/>
      <c r="M104" s="3086"/>
      <c r="N104" s="3086"/>
    </row>
    <row r="105" spans="1:14">
      <c r="A105" s="3466"/>
      <c r="B105" s="3466"/>
      <c r="C105" s="3087" t="s">
        <v>1961</v>
      </c>
      <c r="D105" s="3087" t="s">
        <v>1962</v>
      </c>
      <c r="E105" s="3087" t="s">
        <v>1963</v>
      </c>
      <c r="F105" s="3087" t="s">
        <v>1964</v>
      </c>
      <c r="G105" s="3087" t="s">
        <v>1965</v>
      </c>
      <c r="H105" s="3087" t="s">
        <v>1966</v>
      </c>
      <c r="I105" s="3087" t="s">
        <v>1967</v>
      </c>
      <c r="J105" s="3087" t="s">
        <v>1968</v>
      </c>
      <c r="K105" s="3087" t="s">
        <v>1969</v>
      </c>
      <c r="L105" s="3087" t="s">
        <v>1970</v>
      </c>
      <c r="M105" s="3087" t="s">
        <v>1971</v>
      </c>
      <c r="N105" s="3087" t="s">
        <v>1972</v>
      </c>
    </row>
    <row r="106" spans="1:14">
      <c r="A106" s="3467" t="s">
        <v>3305</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68"/>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68"/>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68"/>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68"/>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68"/>
      <c r="B111" s="3087" t="s">
        <v>3263</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469"/>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470" t="s">
        <v>3306</v>
      </c>
      <c r="B113" s="3470"/>
      <c r="C113" s="3470"/>
      <c r="D113" s="3470"/>
      <c r="E113" s="3470"/>
      <c r="F113" s="3470"/>
      <c r="G113" s="3470"/>
      <c r="H113" s="3470"/>
      <c r="I113" s="3470"/>
      <c r="J113" s="3470"/>
      <c r="K113" s="3089"/>
      <c r="L113" s="3089"/>
      <c r="M113" s="3089"/>
      <c r="N113" s="3089"/>
    </row>
    <row r="114" spans="1:14">
      <c r="A114" s="3090"/>
      <c r="B114" s="3090"/>
      <c r="C114" s="3090"/>
      <c r="D114" s="3090"/>
      <c r="E114" s="3090"/>
      <c r="F114" s="3090"/>
      <c r="G114" s="3090"/>
      <c r="H114" s="3090"/>
      <c r="I114" s="3090"/>
      <c r="J114" s="3090"/>
      <c r="K114" s="1958"/>
      <c r="L114" s="3090"/>
      <c r="M114" s="3090"/>
      <c r="N114" s="3090"/>
    </row>
    <row r="115" spans="1:14" ht="13.5" thickBot="1">
      <c r="A115" s="3090"/>
      <c r="B115" s="3090"/>
      <c r="C115" s="3090"/>
      <c r="D115" s="3090"/>
      <c r="E115" s="3090"/>
      <c r="F115" s="3090"/>
      <c r="G115" s="3090"/>
      <c r="H115" s="3090"/>
      <c r="I115" s="3090"/>
      <c r="J115" s="3090"/>
      <c r="K115" s="1958"/>
      <c r="L115" s="3090"/>
      <c r="M115" s="3090"/>
      <c r="N115" s="3090"/>
    </row>
    <row r="116" spans="1:14" ht="25.5" thickBot="1">
      <c r="A116" s="3091" t="s">
        <v>3307</v>
      </c>
      <c r="B116" s="3107">
        <f>G3</f>
        <v>0</v>
      </c>
      <c r="C116" s="3092" t="s">
        <v>3308</v>
      </c>
      <c r="D116" s="3093">
        <f>SUMPRODUCT((A118:A122=F116)*(B117:M117=H116)*B118:M122)</f>
        <v>0.9415</v>
      </c>
      <c r="E116" s="162" t="s">
        <v>1936</v>
      </c>
      <c r="F116" s="3094" t="str">
        <f>E2</f>
        <v>办公</v>
      </c>
      <c r="G116" s="162" t="s">
        <v>1937</v>
      </c>
      <c r="H116" s="3094" t="str">
        <f>G2</f>
        <v>四级</v>
      </c>
      <c r="I116" s="162"/>
      <c r="J116" s="3095"/>
      <c r="K116" s="3095"/>
      <c r="L116" s="3095"/>
      <c r="M116" s="3095"/>
      <c r="N116" s="3090"/>
    </row>
    <row r="117" spans="1:14">
      <c r="A117" s="3096"/>
      <c r="B117" s="3097" t="s">
        <v>3311</v>
      </c>
      <c r="C117" s="3097" t="s">
        <v>3312</v>
      </c>
      <c r="D117" s="3097" t="s">
        <v>3313</v>
      </c>
      <c r="E117" s="3098" t="s">
        <v>3314</v>
      </c>
      <c r="F117" s="3098" t="s">
        <v>3315</v>
      </c>
      <c r="G117" s="3098" t="s">
        <v>3316</v>
      </c>
      <c r="H117" s="3099" t="s">
        <v>3317</v>
      </c>
      <c r="I117" s="3099" t="s">
        <v>3318</v>
      </c>
      <c r="J117" s="3100" t="s">
        <v>3319</v>
      </c>
      <c r="K117" s="3100" t="s">
        <v>3320</v>
      </c>
      <c r="L117" s="3100" t="s">
        <v>3321</v>
      </c>
      <c r="M117" s="3101" t="s">
        <v>3322</v>
      </c>
      <c r="N117" s="3090"/>
    </row>
    <row r="118" spans="1:14">
      <c r="A118" s="3050" t="s">
        <v>1990</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5">I118</f>
        <v>0.84860000000000002</v>
      </c>
      <c r="K118" s="3082">
        <f t="shared" si="35"/>
        <v>0.84860000000000002</v>
      </c>
      <c r="L118" s="3082">
        <f t="shared" si="35"/>
        <v>0.84860000000000002</v>
      </c>
      <c r="M118" s="3102">
        <f t="shared" si="35"/>
        <v>0.84860000000000002</v>
      </c>
      <c r="N118" s="3090"/>
    </row>
    <row r="119" spans="1:14">
      <c r="A119" s="3050" t="s">
        <v>1991</v>
      </c>
      <c r="B119" s="3082">
        <f>ROUND(0.993-0.0112*B116,4)</f>
        <v>0.99299999999999999</v>
      </c>
      <c r="C119" s="3082">
        <f>B119</f>
        <v>0.99299999999999999</v>
      </c>
      <c r="D119" s="3082">
        <f>ROUND(0.9415-0.0142*B116,4)</f>
        <v>0.9415</v>
      </c>
      <c r="E119" s="3082">
        <f t="shared" ref="E119:H120" si="36">D119</f>
        <v>0.9415</v>
      </c>
      <c r="F119" s="3082">
        <f t="shared" si="36"/>
        <v>0.9415</v>
      </c>
      <c r="G119" s="3082">
        <f t="shared" si="36"/>
        <v>0.9415</v>
      </c>
      <c r="H119" s="3082">
        <f t="shared" si="36"/>
        <v>0.9415</v>
      </c>
      <c r="I119" s="3082">
        <f>ROUND(0.838-0.0182*B116,4)</f>
        <v>0.83799999999999997</v>
      </c>
      <c r="J119" s="3082">
        <f t="shared" si="35"/>
        <v>0.83799999999999997</v>
      </c>
      <c r="K119" s="3082">
        <f t="shared" si="35"/>
        <v>0.83799999999999997</v>
      </c>
      <c r="L119" s="3082">
        <f t="shared" si="35"/>
        <v>0.83799999999999997</v>
      </c>
      <c r="M119" s="3102">
        <f t="shared" si="35"/>
        <v>0.83799999999999997</v>
      </c>
      <c r="N119" s="3090"/>
    </row>
    <row r="120" spans="1:14">
      <c r="A120" s="3050" t="s">
        <v>1992</v>
      </c>
      <c r="B120" s="3082">
        <f>ROUND(0.9448-0.0115*B116,4)</f>
        <v>0.94479999999999997</v>
      </c>
      <c r="C120" s="3082">
        <f>B120</f>
        <v>0.94479999999999997</v>
      </c>
      <c r="D120" s="3082">
        <f>ROUND(0.937-0.0145*B116,4)</f>
        <v>0.93700000000000006</v>
      </c>
      <c r="E120" s="3082">
        <f t="shared" si="36"/>
        <v>0.93700000000000006</v>
      </c>
      <c r="F120" s="3082">
        <f t="shared" si="36"/>
        <v>0.93700000000000006</v>
      </c>
      <c r="G120" s="3082">
        <f t="shared" si="36"/>
        <v>0.93700000000000006</v>
      </c>
      <c r="H120" s="3082">
        <f t="shared" si="36"/>
        <v>0.93700000000000006</v>
      </c>
      <c r="I120" s="3082">
        <f>ROUND(0.7965-0.0185*B116,4)</f>
        <v>0.79649999999999999</v>
      </c>
      <c r="J120" s="3082">
        <f t="shared" si="35"/>
        <v>0.79649999999999999</v>
      </c>
      <c r="K120" s="3082">
        <f t="shared" si="35"/>
        <v>0.79649999999999999</v>
      </c>
      <c r="L120" s="3082">
        <f t="shared" si="35"/>
        <v>0.79649999999999999</v>
      </c>
      <c r="M120" s="3102">
        <f t="shared" si="35"/>
        <v>0.79649999999999999</v>
      </c>
      <c r="N120" s="3090"/>
    </row>
    <row r="121" spans="1:14" ht="13.5" thickBot="1">
      <c r="A121" s="3103" t="s">
        <v>1993</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5"/>
        <v>0.59050000000000002</v>
      </c>
      <c r="K121" s="3104">
        <f t="shared" si="35"/>
        <v>0.59050000000000002</v>
      </c>
      <c r="L121" s="3104">
        <f t="shared" si="35"/>
        <v>0.59050000000000002</v>
      </c>
      <c r="M121" s="3105">
        <f t="shared" si="35"/>
        <v>0.59050000000000002</v>
      </c>
      <c r="N121" s="3090"/>
    </row>
    <row r="122" spans="1:14">
      <c r="A122" s="3106" t="s">
        <v>2608</v>
      </c>
      <c r="B122" s="3082">
        <f>ROUND(0.9404-0.0106*B116,4)</f>
        <v>0.94040000000000001</v>
      </c>
      <c r="C122" s="3082">
        <f>B122</f>
        <v>0.94040000000000001</v>
      </c>
      <c r="D122" s="3082">
        <f>ROUND(0.8955-0.0135*B116,4)</f>
        <v>0.89549999999999996</v>
      </c>
      <c r="E122" s="3082">
        <f t="shared" ref="E122:H122" si="37">D122</f>
        <v>0.89549999999999996</v>
      </c>
      <c r="F122" s="3082">
        <f t="shared" si="37"/>
        <v>0.89549999999999996</v>
      </c>
      <c r="G122" s="3082">
        <f t="shared" si="37"/>
        <v>0.89549999999999996</v>
      </c>
      <c r="H122" s="3082">
        <f t="shared" si="37"/>
        <v>0.89549999999999996</v>
      </c>
      <c r="I122" s="3082">
        <f>ROUND(0.7632-0.0166*B116,4)</f>
        <v>0.76319999999999999</v>
      </c>
      <c r="J122" s="3082">
        <f t="shared" si="35"/>
        <v>0.76319999999999999</v>
      </c>
      <c r="K122" s="3082">
        <f t="shared" si="35"/>
        <v>0.76319999999999999</v>
      </c>
      <c r="L122" s="3082">
        <f t="shared" si="35"/>
        <v>0.76319999999999999</v>
      </c>
      <c r="M122" s="3102">
        <f t="shared" si="35"/>
        <v>0.76319999999999999</v>
      </c>
      <c r="N122" s="3090"/>
    </row>
  </sheetData>
  <sheetProtection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1">
    <dataValidation type="list" allowBlank="1" showInputMessage="1" showErrorMessage="1" sqref="J23" xr:uid="{B06B1218-F20C-45D0-9C60-8D3DD080A675}">
      <formula1>"不用分区数据,中心城区,中心城区以外"</formula1>
    </dataValidation>
    <dataValidation type="list" allowBlank="1" showInputMessage="1" showErrorMessage="1" sqref="H20:O20" xr:uid="{875108F7-DE15-4672-8642-3C4489E37AB3}">
      <formula1>七通一平</formula1>
    </dataValidation>
    <dataValidation type="list" allowBlank="1" showInputMessage="1" showErrorMessage="1" sqref="H23" xr:uid="{A22DBECA-7E42-4BEB-A44B-7E5B9653CFDE}">
      <formula1>"地价指数,季度增幅（自定义）,按公示增长率计算"</formula1>
    </dataValidation>
    <dataValidation type="list" allowBlank="1" showInputMessage="1" showErrorMessage="1" sqref="C61:C69 C72:C80 C50:C58 C83:C91 C93:C101" xr:uid="{251130C7-6660-4FBC-B221-C86705FFB875}">
      <formula1>五等判定</formula1>
    </dataValidation>
    <dataValidation type="list" allowBlank="1" showInputMessage="1" showErrorMessage="1" sqref="E3" xr:uid="{DC35ABE6-0059-4929-A3EA-1DA7750A7426}">
      <formula1>INDIRECT(E2)</formula1>
    </dataValidation>
    <dataValidation type="list" allowBlank="1" showInputMessage="1" showErrorMessage="1" sqref="C8" xr:uid="{DC2873E0-6DCB-4492-8182-6D3DB1FB5985}">
      <formula1>商业街名称</formula1>
    </dataValidation>
    <dataValidation type="list" allowBlank="1" showInputMessage="1" showErrorMessage="1" sqref="F3" xr:uid="{0B19789E-315A-467E-AB89-07E9A4824993}">
      <formula1>"宗地容积率,估价对象容积率,自定义容积率"</formula1>
    </dataValidation>
    <dataValidation type="list" allowBlank="1" showInputMessage="1" showErrorMessage="1" sqref="F21" xr:uid="{10AD6767-3255-4A22-8D2B-7F311ACDF98A}">
      <formula1>"与级别开发程度一致,与级别开发程度不一致"</formula1>
    </dataValidation>
    <dataValidation type="list" allowBlank="1" showInputMessage="1" showErrorMessage="1" sqref="B25" xr:uid="{07F1396C-CA74-4E39-AE1D-23266847F5F8}">
      <formula1>"容积率修正,楼层修正"</formula1>
    </dataValidation>
    <dataValidation type="list" allowBlank="1" showInputMessage="1" showErrorMessage="1" sqref="C15:D15" xr:uid="{6ECC3319-6262-4DBE-8B8A-67BDDB1B2B36}">
      <formula1>"有,无"</formula1>
    </dataValidation>
    <dataValidation type="list" allowBlank="1" showInputMessage="1" showErrorMessage="1" sqref="E15" xr:uid="{297D44B1-60AE-434D-8A85-3F50080E9EC8}">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C7CE87D-1957-4D6F-B43E-E6A9C4DADBCE}">
          <x14:formula1>
            <xm:f>定义!$X$1:$AB$1</xm:f>
          </x14:formula1>
          <xm:sqref>E2</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0" zoomScaleNormal="80" zoomScaleSheetLayoutView="100" workbookViewId="0">
      <selection activeCell="C6" sqref="C6"/>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4" customWidth="1"/>
    <col min="33" max="36" width="9.375" style="1889" customWidth="1"/>
    <col min="37" max="38" width="9.375" style="1839" customWidth="1"/>
    <col min="39" max="16384" width="12" style="1839"/>
  </cols>
  <sheetData>
    <row r="1" spans="1:36" ht="28.5">
      <c r="A1" s="188" t="s">
        <v>1926</v>
      </c>
      <c r="B1" s="189"/>
      <c r="C1" s="193" t="s">
        <v>1927</v>
      </c>
      <c r="D1" s="333" t="e">
        <f>SUM(D33:D34,D37:D42)</f>
        <v>#REF!</v>
      </c>
      <c r="E1" s="1836"/>
      <c r="F1" s="1836"/>
      <c r="G1" s="1836"/>
      <c r="H1" s="1836"/>
      <c r="I1" s="1836"/>
      <c r="J1" s="1836"/>
      <c r="K1" s="1052"/>
      <c r="L1" s="1837" t="s">
        <v>1928</v>
      </c>
      <c r="M1" s="806">
        <f>SUMPRODUCT((区片价!B5:B9=I2)*(区片价!C3:G3=E2)*(区片价!C5:G9))</f>
        <v>0</v>
      </c>
      <c r="N1" s="809">
        <f>SUMPRODUCT((因素修正幅度!B5:B9=I2)*(因素修正幅度!C3:G3=E2)*(因素修正幅度!C5:G9))</f>
        <v>0</v>
      </c>
      <c r="O1" s="1838"/>
      <c r="P1" s="1838"/>
      <c r="Q1" s="1052"/>
      <c r="R1" s="1125" t="s">
        <v>1929</v>
      </c>
      <c r="S1" s="1125" t="s">
        <v>1930</v>
      </c>
      <c r="T1" s="1125" t="s">
        <v>1931</v>
      </c>
      <c r="U1" s="1125" t="s">
        <v>1932</v>
      </c>
      <c r="V1" s="1125" t="s">
        <v>1933</v>
      </c>
      <c r="W1" s="1129"/>
      <c r="X1" s="1129"/>
      <c r="Y1" s="1129"/>
      <c r="Z1" s="1129"/>
      <c r="AA1" s="1129"/>
      <c r="AB1" s="1129"/>
      <c r="AC1" s="1130"/>
      <c r="AD1" s="1131"/>
      <c r="AE1" s="1131"/>
      <c r="AF1" s="1131"/>
      <c r="AG1" s="1131"/>
      <c r="AH1" s="1131"/>
      <c r="AI1" s="1131"/>
      <c r="AJ1" s="1132"/>
    </row>
    <row r="2" spans="1:36" ht="15.75">
      <c r="A2" s="193" t="s">
        <v>1934</v>
      </c>
      <c r="B2" s="196" t="e">
        <f>C30/10000</f>
        <v>#DIV/0!</v>
      </c>
      <c r="C2" s="1840" t="s">
        <v>1935</v>
      </c>
      <c r="D2" s="162" t="s">
        <v>1936</v>
      </c>
      <c r="E2" s="3112"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Ⅳ-通1</v>
      </c>
      <c r="J2" s="1836"/>
      <c r="K2" s="1052"/>
      <c r="L2" s="1841" t="s">
        <v>1939</v>
      </c>
      <c r="M2" s="807">
        <f>SUMPRODUCT((区片价!B10:B29=I2)*(区片价!C3:G3=E2)*(区片价!C10:G29))</f>
        <v>0</v>
      </c>
      <c r="N2" s="809">
        <f>SUMPRODUCT((因素修正幅度!B10:B29=I2)*(因素修正幅度!C3:G3=E2)*(因素修正幅度!C10:G29))</f>
        <v>0</v>
      </c>
      <c r="O2" s="1052"/>
      <c r="P2" s="1052"/>
      <c r="Q2" s="1052"/>
      <c r="R2" s="1125">
        <v>1</v>
      </c>
      <c r="S2" s="3056">
        <f>ROUND(SUMPRODUCT((B106:B110=R2)*(C105:N105=G2)*(C106:N110)),4)</f>
        <v>1.5019</v>
      </c>
      <c r="T2" s="3056" t="e">
        <f>ROUND($C$5*$C$22*$C$23*$C$24*S2*$C$28,0)</f>
        <v>#DIV/0!</v>
      </c>
      <c r="U2" s="1126">
        <v>2364.37</v>
      </c>
      <c r="V2" s="3056" t="e">
        <f>ROUND(T2*U2,0)</f>
        <v>#DIV/0!</v>
      </c>
      <c r="W2" s="1129"/>
      <c r="X2" s="1129"/>
      <c r="Y2" s="1129"/>
      <c r="Z2" s="1129"/>
      <c r="AA2" s="1129"/>
      <c r="AB2" s="1129"/>
      <c r="AC2" s="1130"/>
      <c r="AD2" s="1131"/>
      <c r="AE2" s="1131"/>
      <c r="AF2" s="1131"/>
      <c r="AG2" s="1131"/>
      <c r="AH2" s="1131"/>
      <c r="AI2" s="1131"/>
      <c r="AJ2" s="1132"/>
    </row>
    <row r="3" spans="1:36" ht="15.75">
      <c r="A3" s="195" t="s">
        <v>1940</v>
      </c>
      <c r="B3" s="196" t="e">
        <f>ROUND(B2*10000/D1,0)</f>
        <v>#DIV/0!</v>
      </c>
      <c r="C3" s="1840" t="s">
        <v>1941</v>
      </c>
      <c r="D3" s="162" t="s">
        <v>1942</v>
      </c>
      <c r="E3" s="3110" t="s">
        <v>2435</v>
      </c>
      <c r="F3" s="1842" t="s">
        <v>3423</v>
      </c>
      <c r="G3" s="704">
        <f>IF(F3="宗地容积率",'数据-汇总表'!I4,IF(F3="估价对象容积率",'数据-汇总表'!I6,'数据-汇总表'!I7))</f>
        <v>0</v>
      </c>
      <c r="H3" s="162" t="s">
        <v>1943</v>
      </c>
      <c r="I3" s="725">
        <v>1</v>
      </c>
      <c r="J3" s="1836" t="s">
        <v>1944</v>
      </c>
      <c r="K3" s="1052"/>
      <c r="L3" s="1841" t="s">
        <v>1945</v>
      </c>
      <c r="M3" s="807">
        <f>SUMPRODUCT((区片价!B30:B54=I2)*(区片价!C3:G3=E2)*(区片价!C30:G54))</f>
        <v>0</v>
      </c>
      <c r="N3" s="809">
        <f>SUMPRODUCT((因素修正幅度!B30:B54=I2)*(因素修正幅度!C3:G3=E2)*(因素修正幅度!C30:G54))</f>
        <v>0</v>
      </c>
      <c r="O3" s="1052"/>
      <c r="P3" s="1052"/>
      <c r="Q3" s="1052"/>
      <c r="R3" s="1125">
        <v>2</v>
      </c>
      <c r="S3" s="3056">
        <f>ROUND(SUMPRODUCT((B106:B110=R3)*(C105:N105=G2)*(C106:N110)),4)</f>
        <v>1.1838</v>
      </c>
      <c r="T3" s="3056" t="e">
        <f t="shared" ref="T3:T16" si="0">ROUND($C$5*$C$22*$C$23*$C$24*S3*$C$28,0)</f>
        <v>#DIV/0!</v>
      </c>
      <c r="U3" s="1126">
        <v>2482.7799999999997</v>
      </c>
      <c r="V3" s="3056" t="e">
        <f t="shared" ref="V3:V5" si="1">ROUND(T3*U3,0)</f>
        <v>#DIV/0!</v>
      </c>
      <c r="W3" s="1129"/>
      <c r="X3" s="1129"/>
      <c r="Y3" s="1129"/>
      <c r="Z3" s="1129"/>
      <c r="AA3" s="1129"/>
      <c r="AB3" s="1129"/>
      <c r="AC3" s="1130"/>
      <c r="AD3" s="1131"/>
      <c r="AE3" s="1131"/>
      <c r="AF3" s="1131"/>
      <c r="AG3" s="1131"/>
      <c r="AH3" s="1131"/>
      <c r="AI3" s="1131"/>
      <c r="AJ3" s="1132"/>
    </row>
    <row r="4" spans="1:36" ht="15.75">
      <c r="A4" s="3454"/>
      <c r="B4" s="3455"/>
      <c r="C4" s="3455"/>
      <c r="D4" s="3456"/>
      <c r="E4" s="3456"/>
      <c r="F4" s="3456"/>
      <c r="G4" s="3456"/>
      <c r="H4" s="3456"/>
      <c r="I4" s="3456"/>
      <c r="J4" s="3457"/>
      <c r="K4" s="1052"/>
      <c r="L4" s="1841" t="s">
        <v>1946</v>
      </c>
      <c r="M4" s="807">
        <f>SUMPRODUCT((区片价!B55:B86=I2)*(区片价!C3:G3=E2)*(区片价!C55:G86))</f>
        <v>16610</v>
      </c>
      <c r="N4" s="809">
        <f>SUMPRODUCT((因素修正幅度!B55:B86=I2)*(因素修正幅度!C3:G3=E2)*(因素修正幅度!C55:G86))</f>
        <v>9.8000000000000004E-2</v>
      </c>
      <c r="O4" s="1052"/>
      <c r="P4" s="1052"/>
      <c r="Q4" s="1052"/>
      <c r="R4" s="1125">
        <v>3</v>
      </c>
      <c r="S4" s="3056">
        <f>ROUND(SUMPRODUCT((B106:B110=R4)*(C105:N105=G2)*(C106:N110)),4)</f>
        <v>1.0004999999999999</v>
      </c>
      <c r="T4" s="3056" t="e">
        <f t="shared" si="0"/>
        <v>#DIV/0!</v>
      </c>
      <c r="U4" s="1126">
        <v>3138.87</v>
      </c>
      <c r="V4" s="3056" t="e">
        <f t="shared" si="1"/>
        <v>#DIV/0!</v>
      </c>
      <c r="W4" s="1129"/>
      <c r="X4" s="1129"/>
      <c r="Y4" s="1129"/>
      <c r="Z4" s="1129"/>
      <c r="AA4" s="1129"/>
      <c r="AB4" s="1129"/>
      <c r="AC4" s="1130"/>
      <c r="AD4" s="1131"/>
      <c r="AE4" s="1131"/>
      <c r="AF4" s="1131"/>
      <c r="AG4" s="1131"/>
      <c r="AH4" s="1131"/>
      <c r="AI4" s="1131"/>
      <c r="AJ4" s="1132"/>
    </row>
    <row r="5" spans="1:36" s="1852" customFormat="1" ht="15.75" thickBot="1">
      <c r="A5" s="1843" t="s">
        <v>362</v>
      </c>
      <c r="B5" s="1844" t="s">
        <v>1947</v>
      </c>
      <c r="C5" s="705">
        <f>ROUND(IF(E2="商业",C6*C7*C17+C20,(IF(E2="住宅",C6*C13*C17+C20,IF(E2="办公",C6*C12*C17+C20,C6+C20)))),0)</f>
        <v>16610</v>
      </c>
      <c r="D5" s="1248">
        <f>ROUND(C6*C17+C20,0)</f>
        <v>16610</v>
      </c>
      <c r="E5" s="1248"/>
      <c r="F5" s="1845"/>
      <c r="G5" s="1846"/>
      <c r="H5" s="1846"/>
      <c r="I5" s="1846"/>
      <c r="J5" s="1847"/>
      <c r="K5" s="1848"/>
      <c r="L5" s="1841" t="s">
        <v>1948</v>
      </c>
      <c r="M5" s="807">
        <f>SUMPRODUCT((区片价!B87:B126=I2)*(区片价!C3:G3=E2)*(区片价!C87:G126))</f>
        <v>0</v>
      </c>
      <c r="N5" s="809">
        <f>SUMPRODUCT((因素修正幅度!B87:B126=I2)*(因素修正幅度!C3:G3=E2)*(因素修正幅度!C87:G126))</f>
        <v>0</v>
      </c>
      <c r="O5" s="1052"/>
      <c r="P5" s="1052"/>
      <c r="Q5" s="1052"/>
      <c r="R5" s="1125">
        <v>4</v>
      </c>
      <c r="S5" s="3056">
        <f>ROUND(SUMPRODUCT((B106:B110=R5)*(C105:N105=G2)*(C106:N110)),4)</f>
        <v>0.88239999999999996</v>
      </c>
      <c r="T5" s="3056" t="e">
        <f t="shared" si="0"/>
        <v>#DIV/0!</v>
      </c>
      <c r="U5" s="1126">
        <v>3138.3099999999995</v>
      </c>
      <c r="V5" s="3056" t="e">
        <f t="shared" si="1"/>
        <v>#DIV/0!</v>
      </c>
      <c r="W5" s="1129"/>
      <c r="X5" s="1129"/>
      <c r="Y5" s="1129"/>
      <c r="Z5" s="1129"/>
      <c r="AA5" s="1129"/>
      <c r="AB5" s="1129"/>
      <c r="AC5" s="1849"/>
      <c r="AD5" s="1850"/>
      <c r="AE5" s="1850"/>
      <c r="AF5" s="1850"/>
      <c r="AG5" s="1850"/>
      <c r="AH5" s="1850"/>
      <c r="AI5" s="1850"/>
      <c r="AJ5" s="1851"/>
    </row>
    <row r="6" spans="1:36" ht="15.75" thickBot="1">
      <c r="A6" s="1853" t="s">
        <v>1949</v>
      </c>
      <c r="B6" s="1854" t="s">
        <v>1950</v>
      </c>
      <c r="C6" s="706">
        <f>SUMIF(L1:L12,G2,M1:M12)</f>
        <v>16610</v>
      </c>
      <c r="D6" s="1855"/>
      <c r="E6" s="1856"/>
      <c r="F6" s="1856"/>
      <c r="G6" s="1857"/>
      <c r="H6" s="1857"/>
      <c r="I6" s="1857"/>
      <c r="J6" s="1858"/>
      <c r="K6" s="1288"/>
      <c r="L6" s="1841" t="s">
        <v>1951</v>
      </c>
      <c r="M6" s="807">
        <f>SUMPRODUCT((区片价!B127:B189=I2)*(区片价!C3:G3=E2)*(区片价!C127:G189))</f>
        <v>0</v>
      </c>
      <c r="N6" s="809">
        <f>SUMPRODUCT((因素修正幅度!B127:B189=I2)*(因素修正幅度!C3:G3=E2)*(因素修正幅度!C127:G189))</f>
        <v>0</v>
      </c>
      <c r="O6" s="1052"/>
      <c r="P6" s="1052"/>
      <c r="Q6" s="1052"/>
      <c r="R6" s="1125">
        <v>5</v>
      </c>
      <c r="S6" s="3056">
        <f>ROUND(SUMPRODUCT((B106:B110=R6)*(C105:N105=G2)*(C106:N110)),4)</f>
        <v>0.84799999999999998</v>
      </c>
      <c r="T6" s="3056" t="e">
        <f t="shared" si="0"/>
        <v>#DIV/0!</v>
      </c>
      <c r="U6" s="1126"/>
      <c r="V6" s="3056" t="e">
        <f t="shared" ref="V6:V16" si="2">ROUND(T6*U6/10000,0)</f>
        <v>#DIV/0!</v>
      </c>
      <c r="W6" s="1129"/>
      <c r="X6" s="1129"/>
      <c r="Y6" s="1129"/>
      <c r="Z6" s="1129"/>
      <c r="AA6" s="1129"/>
      <c r="AB6" s="1129"/>
      <c r="AC6" s="1849"/>
      <c r="AD6" s="1850"/>
      <c r="AE6" s="1850"/>
      <c r="AF6" s="1850"/>
      <c r="AG6" s="1850"/>
      <c r="AH6" s="1850"/>
      <c r="AI6" s="1850"/>
      <c r="AJ6" s="1851"/>
    </row>
    <row r="7" spans="1:36" ht="24.75" thickBot="1">
      <c r="A7" s="3005" t="s">
        <v>3233</v>
      </c>
      <c r="B7" s="1859" t="s">
        <v>1952</v>
      </c>
      <c r="C7" s="707">
        <f>IF(C8="不临65条商业街",1,ROUND(1+(1.6*E8+1.2*E9+0.8*E10+0.4*E11)*C9,4))</f>
        <v>1</v>
      </c>
      <c r="D7" s="1860" t="s">
        <v>1953</v>
      </c>
      <c r="E7" s="726"/>
      <c r="F7" s="1861"/>
      <c r="G7" s="1862"/>
      <c r="H7" s="1862"/>
      <c r="I7" s="1862"/>
      <c r="J7" s="1863"/>
      <c r="K7" s="1288"/>
      <c r="L7" s="1841" t="s">
        <v>1954</v>
      </c>
      <c r="M7" s="807">
        <f>SUMPRODUCT((区片价!B190:B233=I2)*(区片价!C3:G3=E2)*(区片价!C190:G233))</f>
        <v>0</v>
      </c>
      <c r="N7" s="809">
        <f>SUMPRODUCT((因素修正幅度!B190:B233=I2)*(因素修正幅度!C3:G3=E2)*(因素修正幅度!C190:G233))</f>
        <v>0</v>
      </c>
      <c r="O7" s="1052"/>
      <c r="P7" s="1052"/>
      <c r="Q7" s="1052"/>
      <c r="R7" s="1125">
        <v>6</v>
      </c>
      <c r="S7" s="3109"/>
      <c r="T7" s="3056" t="e">
        <f t="shared" si="0"/>
        <v>#DIV/0!</v>
      </c>
      <c r="U7" s="1126"/>
      <c r="V7" s="3056" t="e">
        <f t="shared" si="2"/>
        <v>#DIV/0!</v>
      </c>
      <c r="W7" s="1263" t="s">
        <v>1955</v>
      </c>
      <c r="X7" s="1127" t="str">
        <f>G2</f>
        <v>四级</v>
      </c>
      <c r="Y7" s="1127" t="s">
        <v>1956</v>
      </c>
      <c r="Z7" s="1128">
        <f>G3</f>
        <v>0</v>
      </c>
      <c r="AA7" s="1129"/>
      <c r="AB7" s="1129"/>
      <c r="AC7" s="1130"/>
      <c r="AD7" s="1131"/>
      <c r="AE7" s="1131"/>
      <c r="AF7" s="1131"/>
      <c r="AG7" s="1131"/>
      <c r="AH7" s="1131"/>
      <c r="AI7" s="1131"/>
      <c r="AJ7" s="1132"/>
    </row>
    <row r="8" spans="1:36" ht="25.5">
      <c r="A8" s="3002"/>
      <c r="B8" s="162" t="s">
        <v>1957</v>
      </c>
      <c r="C8" s="1864" t="s">
        <v>3430</v>
      </c>
      <c r="D8" s="708" t="s">
        <v>112</v>
      </c>
      <c r="E8" s="709" t="e">
        <f>ROUND(C11/E7,4)</f>
        <v>#DIV/0!</v>
      </c>
      <c r="F8" s="1865" t="s">
        <v>1958</v>
      </c>
      <c r="G8" s="1866"/>
      <c r="H8" s="1866"/>
      <c r="I8" s="1866"/>
      <c r="J8" s="1867"/>
      <c r="K8" s="1052"/>
      <c r="L8" s="1841" t="s">
        <v>1959</v>
      </c>
      <c r="M8" s="807">
        <f>SUMPRODUCT((区片价!B234:B276=I2)*(区片价!C3:G3=E2)*(区片价!C234:G276))</f>
        <v>0</v>
      </c>
      <c r="N8" s="809">
        <f>SUMPRODUCT((因素修正幅度!B234:B276=I2)*(因素修正幅度!C3:G3=E2)*(因素修正幅度!C234:G276))</f>
        <v>0</v>
      </c>
      <c r="O8" s="1052"/>
      <c r="P8" s="1052"/>
      <c r="Q8" s="1052"/>
      <c r="R8" s="1125">
        <v>7</v>
      </c>
      <c r="S8" s="1126"/>
      <c r="T8" s="3056" t="e">
        <f t="shared" si="0"/>
        <v>#DIV/0!</v>
      </c>
      <c r="U8" s="1126"/>
      <c r="V8" s="3056" t="e">
        <f t="shared" si="2"/>
        <v>#DIV/0!</v>
      </c>
      <c r="W8" s="3458" t="s">
        <v>1960</v>
      </c>
      <c r="X8" s="3459"/>
      <c r="Y8" s="1133" t="s">
        <v>1961</v>
      </c>
      <c r="Z8" s="1133" t="s">
        <v>1962</v>
      </c>
      <c r="AA8" s="1133" t="s">
        <v>1963</v>
      </c>
      <c r="AB8" s="1133" t="s">
        <v>1964</v>
      </c>
      <c r="AC8" s="1133" t="s">
        <v>1965</v>
      </c>
      <c r="AD8" s="1133" t="s">
        <v>1966</v>
      </c>
      <c r="AE8" s="1133" t="s">
        <v>1967</v>
      </c>
      <c r="AF8" s="1133" t="s">
        <v>1968</v>
      </c>
      <c r="AG8" s="1133" t="s">
        <v>1969</v>
      </c>
      <c r="AH8" s="1133" t="s">
        <v>1970</v>
      </c>
      <c r="AI8" s="1133" t="s">
        <v>1971</v>
      </c>
      <c r="AJ8" s="1133" t="s">
        <v>1972</v>
      </c>
    </row>
    <row r="9" spans="1:36" ht="15">
      <c r="A9" s="3002"/>
      <c r="B9" s="162" t="s">
        <v>1973</v>
      </c>
      <c r="C9" s="710">
        <f>SUMIF(修正!C73:C140,C8,修正!E73:E140)</f>
        <v>0</v>
      </c>
      <c r="D9" s="163" t="s">
        <v>113</v>
      </c>
      <c r="E9" s="163" t="e">
        <f>ROUND(C11/E7,4)</f>
        <v>#DIV/0!</v>
      </c>
      <c r="F9" s="1865" t="s">
        <v>1974</v>
      </c>
      <c r="G9" s="1866"/>
      <c r="H9" s="1866"/>
      <c r="I9" s="1866"/>
      <c r="J9" s="1867"/>
      <c r="K9" s="1052"/>
      <c r="L9" s="1841" t="s">
        <v>1975</v>
      </c>
      <c r="M9" s="807">
        <f>SUMPRODUCT((区片价!B277:B326=I2)*(区片价!C3:G3=E2)*(区片价!C277:G326))</f>
        <v>0</v>
      </c>
      <c r="N9" s="809">
        <f>SUMPRODUCT((因素修正幅度!B277:B326=I2)*(因素修正幅度!C3:G3=E2)*(因素修正幅度!C277:G326))</f>
        <v>0</v>
      </c>
      <c r="O9" s="1052"/>
      <c r="P9" s="1052"/>
      <c r="Q9" s="1052"/>
      <c r="R9" s="1125">
        <v>8</v>
      </c>
      <c r="S9" s="1126"/>
      <c r="T9" s="3056" t="e">
        <f t="shared" si="0"/>
        <v>#DIV/0!</v>
      </c>
      <c r="U9" s="1126"/>
      <c r="V9" s="3056" t="e">
        <f t="shared" si="2"/>
        <v>#DIV/0!</v>
      </c>
      <c r="W9" s="3460"/>
      <c r="X9" s="3057" t="s">
        <v>3263</v>
      </c>
      <c r="Y9" s="3058">
        <v>6</v>
      </c>
      <c r="Z9" s="3059">
        <f>$Y$9</f>
        <v>6</v>
      </c>
      <c r="AA9" s="3059">
        <f t="shared" ref="AA9:AJ9" si="3">$Y$9</f>
        <v>6</v>
      </c>
      <c r="AB9" s="3059">
        <f t="shared" si="3"/>
        <v>6</v>
      </c>
      <c r="AC9" s="3059">
        <f t="shared" si="3"/>
        <v>6</v>
      </c>
      <c r="AD9" s="3059">
        <f t="shared" si="3"/>
        <v>6</v>
      </c>
      <c r="AE9" s="3059">
        <f t="shared" si="3"/>
        <v>6</v>
      </c>
      <c r="AF9" s="3059">
        <f t="shared" si="3"/>
        <v>6</v>
      </c>
      <c r="AG9" s="3059">
        <f t="shared" si="3"/>
        <v>6</v>
      </c>
      <c r="AH9" s="3059">
        <f t="shared" si="3"/>
        <v>6</v>
      </c>
      <c r="AI9" s="3059">
        <f t="shared" si="3"/>
        <v>6</v>
      </c>
      <c r="AJ9" s="3059">
        <f t="shared" si="3"/>
        <v>6</v>
      </c>
    </row>
    <row r="10" spans="1:36" ht="15">
      <c r="A10" s="3002"/>
      <c r="B10" s="162" t="s">
        <v>1976</v>
      </c>
      <c r="C10" s="163">
        <f>SUMIF(修正!C73:C140,C8,修正!F73:F140)</f>
        <v>0</v>
      </c>
      <c r="D10" s="163" t="s">
        <v>114</v>
      </c>
      <c r="E10" s="163" t="e">
        <f>ROUND(C11/E7,4)</f>
        <v>#DIV/0!</v>
      </c>
      <c r="F10" s="1865" t="s">
        <v>1977</v>
      </c>
      <c r="G10" s="1866"/>
      <c r="H10" s="1866"/>
      <c r="I10" s="1866"/>
      <c r="J10" s="1867"/>
      <c r="K10" s="1052"/>
      <c r="L10" s="1841" t="s">
        <v>1978</v>
      </c>
      <c r="M10" s="807">
        <f>SUMPRODUCT((区片价!B327:B357=I2)*(区片价!C3:G3=E2)*(区片价!C327:G357))</f>
        <v>0</v>
      </c>
      <c r="N10" s="809">
        <f>SUMPRODUCT((因素修正幅度!B327:B357=I2)*(因素修正幅度!C3:G3=E2)*(因素修正幅度!C327:G357))</f>
        <v>0</v>
      </c>
      <c r="O10" s="1052"/>
      <c r="P10" s="1052"/>
      <c r="Q10" s="1052"/>
      <c r="R10" s="1125">
        <v>9</v>
      </c>
      <c r="S10" s="1126"/>
      <c r="T10" s="3056" t="e">
        <f t="shared" si="0"/>
        <v>#DIV/0!</v>
      </c>
      <c r="U10" s="1126"/>
      <c r="V10" s="3056" t="e">
        <f t="shared" si="2"/>
        <v>#DIV/0!</v>
      </c>
      <c r="W10" s="3460"/>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8" t="s">
        <v>1979</v>
      </c>
      <c r="C11" s="711">
        <f>C10/4</f>
        <v>0</v>
      </c>
      <c r="D11" s="711" t="s">
        <v>115</v>
      </c>
      <c r="E11" s="711" t="e">
        <f>ROUND(C11/E7,4)</f>
        <v>#DIV/0!</v>
      </c>
      <c r="F11" s="1869" t="s">
        <v>1980</v>
      </c>
      <c r="G11" s="1870"/>
      <c r="H11" s="1870"/>
      <c r="I11" s="1870"/>
      <c r="J11" s="1871"/>
      <c r="K11" s="1052"/>
      <c r="L11" s="1841" t="s">
        <v>1981</v>
      </c>
      <c r="M11" s="807">
        <f>SUMPRODUCT((区片价!B358:B377=I2)*(区片价!C3:G3=E2)*(区片价!C358:G377))</f>
        <v>0</v>
      </c>
      <c r="N11" s="809">
        <f>SUMPRODUCT((因素修正幅度!B358:B377=I2)*(因素修正幅度!C3:G3=E2)*(因素修正幅度!C358:G377))</f>
        <v>0</v>
      </c>
      <c r="O11" s="1052"/>
      <c r="P11" s="1052"/>
      <c r="Q11" s="1052"/>
      <c r="R11" s="1125">
        <v>10</v>
      </c>
      <c r="S11" s="1126"/>
      <c r="T11" s="3056" t="e">
        <f t="shared" si="0"/>
        <v>#DIV/0!</v>
      </c>
      <c r="U11" s="1126"/>
      <c r="V11" s="3056" t="e">
        <f t="shared" si="2"/>
        <v>#DIV/0!</v>
      </c>
      <c r="W11" s="1129"/>
      <c r="X11" s="1129"/>
      <c r="Y11" s="1129"/>
      <c r="Z11" s="1129"/>
      <c r="AA11" s="1129"/>
      <c r="AB11" s="1129"/>
      <c r="AC11" s="1130"/>
      <c r="AD11" s="2546"/>
      <c r="AE11" s="2546"/>
      <c r="AF11" s="2546"/>
      <c r="AG11" s="2546"/>
      <c r="AH11" s="2546"/>
      <c r="AI11" s="2546"/>
      <c r="AJ11" s="2547"/>
    </row>
    <row r="12" spans="1:36" ht="25.5" thickBot="1">
      <c r="A12" s="3005" t="s">
        <v>3234</v>
      </c>
      <c r="B12" s="3006" t="s">
        <v>3235</v>
      </c>
      <c r="C12" s="3007"/>
      <c r="D12" s="3008" t="s">
        <v>3236</v>
      </c>
      <c r="E12" s="3009" t="s">
        <v>3237</v>
      </c>
      <c r="F12" s="3010"/>
      <c r="G12" s="3011"/>
      <c r="H12" s="3011"/>
      <c r="I12" s="3011"/>
      <c r="J12" s="3012"/>
      <c r="K12" s="1052"/>
      <c r="L12" s="1790" t="s">
        <v>1984</v>
      </c>
      <c r="M12" s="808">
        <f>SUMPRODUCT((区片价!B378:B384=I2)*(区片价!C3:G3=E2)*(区片价!C378:G384))</f>
        <v>0</v>
      </c>
      <c r="N12" s="809">
        <f>SUMPRODUCT((因素修正幅度!B378:B384=I2)*(因素修正幅度!C3:G3=E2)*(因素修正幅度!C378:G384))</f>
        <v>0</v>
      </c>
      <c r="O12" s="1052"/>
      <c r="P12" s="1052"/>
      <c r="Q12" s="1052"/>
      <c r="R12" s="1125">
        <v>11</v>
      </c>
      <c r="S12" s="1126"/>
      <c r="T12" s="3056" t="e">
        <f t="shared" si="0"/>
        <v>#DIV/0!</v>
      </c>
      <c r="U12" s="1126"/>
      <c r="V12" s="3056" t="e">
        <f t="shared" si="2"/>
        <v>#DIV/0!</v>
      </c>
      <c r="W12" s="1129"/>
      <c r="X12" s="1129"/>
      <c r="Y12" s="1129"/>
      <c r="Z12" s="1129"/>
      <c r="AA12" s="1129"/>
      <c r="AB12" s="1129"/>
      <c r="AC12" s="1130"/>
      <c r="AD12" s="2546"/>
      <c r="AE12" s="2546"/>
      <c r="AF12" s="2546"/>
      <c r="AG12" s="2546"/>
      <c r="AH12" s="2546"/>
      <c r="AI12" s="2546"/>
      <c r="AJ12" s="2547"/>
    </row>
    <row r="13" spans="1:36" ht="15.75" thickBot="1">
      <c r="A13" s="3005" t="s">
        <v>3238</v>
      </c>
      <c r="B13" s="1872" t="s">
        <v>1982</v>
      </c>
      <c r="C13" s="707">
        <f>ROUND(C16*D16*E16*F16*G16*H16*I16*J16,4)</f>
        <v>0</v>
      </c>
      <c r="D13" s="1873" t="s">
        <v>1983</v>
      </c>
      <c r="E13" s="1874"/>
      <c r="F13" s="1874"/>
      <c r="G13" s="1875"/>
      <c r="H13" s="1875"/>
      <c r="I13" s="1875"/>
      <c r="J13" s="1876"/>
      <c r="K13" s="1052"/>
      <c r="L13" s="3"/>
      <c r="M13" s="4"/>
      <c r="N13" s="3003"/>
      <c r="O13" s="1052"/>
      <c r="P13" s="1052"/>
      <c r="Q13" s="1052"/>
      <c r="R13" s="1125">
        <v>12</v>
      </c>
      <c r="S13" s="1126"/>
      <c r="T13" s="3056" t="e">
        <f t="shared" si="0"/>
        <v>#DIV/0!</v>
      </c>
      <c r="U13" s="1126"/>
      <c r="V13" s="3056" t="e">
        <f t="shared" si="2"/>
        <v>#DIV/0!</v>
      </c>
      <c r="W13" s="1129"/>
      <c r="X13" s="1129"/>
      <c r="Y13" s="1129"/>
      <c r="Z13" s="1129"/>
      <c r="AA13" s="1129"/>
      <c r="AB13" s="1129"/>
      <c r="AC13" s="1130"/>
      <c r="AD13" s="2546"/>
      <c r="AE13" s="2546"/>
      <c r="AF13" s="2546"/>
      <c r="AG13" s="2546"/>
      <c r="AH13" s="2546"/>
      <c r="AI13" s="2546"/>
      <c r="AJ13" s="2547"/>
    </row>
    <row r="14" spans="1:36" ht="15">
      <c r="A14" s="3001"/>
      <c r="B14" s="1877" t="s">
        <v>1985</v>
      </c>
      <c r="C14" s="1878" t="s">
        <v>1986</v>
      </c>
      <c r="D14" s="1257" t="s">
        <v>1987</v>
      </c>
      <c r="E14" s="27" t="s">
        <v>1988</v>
      </c>
      <c r="F14" s="3013" t="s">
        <v>3239</v>
      </c>
      <c r="G14" s="3013" t="s">
        <v>3239</v>
      </c>
      <c r="H14" s="3013" t="s">
        <v>3239</v>
      </c>
      <c r="I14" s="3013" t="s">
        <v>3239</v>
      </c>
      <c r="J14" s="3013" t="s">
        <v>3239</v>
      </c>
      <c r="K14" s="1052"/>
      <c r="L14" s="1052"/>
      <c r="M14" s="1052"/>
      <c r="N14" s="1052"/>
      <c r="O14" s="1052"/>
      <c r="P14" s="1052"/>
      <c r="Q14" s="1052"/>
      <c r="R14" s="1125">
        <v>13</v>
      </c>
      <c r="S14" s="1126"/>
      <c r="T14" s="3056" t="e">
        <f t="shared" si="0"/>
        <v>#DIV/0!</v>
      </c>
      <c r="U14" s="1126"/>
      <c r="V14" s="3056" t="e">
        <f t="shared" si="2"/>
        <v>#DIV/0!</v>
      </c>
      <c r="W14" s="1129"/>
      <c r="X14" s="1129"/>
      <c r="Y14" s="1129"/>
      <c r="Z14" s="1129"/>
      <c r="AA14" s="1129"/>
      <c r="AB14" s="1129"/>
      <c r="AC14" s="1130"/>
      <c r="AD14" s="2546"/>
      <c r="AE14" s="2546"/>
      <c r="AF14" s="2546"/>
      <c r="AG14" s="2546"/>
      <c r="AH14" s="2546"/>
      <c r="AI14" s="2546"/>
      <c r="AJ14" s="2547"/>
    </row>
    <row r="15" spans="1:36" ht="15">
      <c r="A15" s="3001"/>
      <c r="B15" s="1879"/>
      <c r="C15" s="1880"/>
      <c r="D15" s="1881"/>
      <c r="E15" s="1882"/>
      <c r="F15" s="1466" t="s">
        <v>3240</v>
      </c>
      <c r="G15" s="1922"/>
      <c r="H15" s="3014"/>
      <c r="I15" s="3015"/>
      <c r="J15" s="3016"/>
      <c r="K15" s="1052"/>
      <c r="L15" s="1052"/>
      <c r="M15" s="1052"/>
      <c r="N15" s="1052"/>
      <c r="O15" s="1052"/>
      <c r="P15" s="1052"/>
      <c r="Q15" s="1052"/>
      <c r="R15" s="1125">
        <v>14</v>
      </c>
      <c r="S15" s="1126"/>
      <c r="T15" s="3056" t="e">
        <f t="shared" si="0"/>
        <v>#DIV/0!</v>
      </c>
      <c r="U15" s="1126"/>
      <c r="V15" s="3056" t="e">
        <f t="shared" si="2"/>
        <v>#DIV/0!</v>
      </c>
      <c r="W15" s="1129"/>
      <c r="X15" s="1129"/>
      <c r="Y15" s="1129"/>
      <c r="Z15" s="1129"/>
      <c r="AA15" s="1129"/>
      <c r="AB15" s="1129"/>
      <c r="AC15" s="1130"/>
      <c r="AD15" s="2546"/>
      <c r="AE15" s="2546"/>
      <c r="AF15" s="2546"/>
      <c r="AG15" s="2546"/>
      <c r="AH15" s="2546"/>
      <c r="AI15" s="2546"/>
      <c r="AJ15" s="2547"/>
    </row>
    <row r="16" spans="1:36" ht="15.75" thickBot="1">
      <c r="A16" s="3001"/>
      <c r="B16" s="3019" t="s">
        <v>1989</v>
      </c>
      <c r="C16" s="3017"/>
      <c r="D16" s="3017"/>
      <c r="E16" s="3017"/>
      <c r="F16" s="3017">
        <v>1</v>
      </c>
      <c r="G16" s="3017">
        <v>1</v>
      </c>
      <c r="H16" s="3017">
        <v>1</v>
      </c>
      <c r="I16" s="3017">
        <v>1</v>
      </c>
      <c r="J16" s="3018">
        <v>1</v>
      </c>
      <c r="K16" s="1052"/>
      <c r="L16" s="1838"/>
      <c r="M16" s="1838"/>
      <c r="N16" s="1838"/>
      <c r="O16" s="1838"/>
      <c r="P16" s="1838"/>
      <c r="Q16" s="1052"/>
      <c r="R16" s="1125">
        <v>15</v>
      </c>
      <c r="S16" s="1126"/>
      <c r="T16" s="3056" t="e">
        <f t="shared" si="0"/>
        <v>#DIV/0!</v>
      </c>
      <c r="U16" s="1126"/>
      <c r="V16" s="3056" t="e">
        <f t="shared" si="2"/>
        <v>#DIV/0!</v>
      </c>
      <c r="W16" s="1129"/>
      <c r="X16" s="1129"/>
      <c r="Y16" s="1129"/>
      <c r="Z16" s="1129"/>
      <c r="AA16" s="1129"/>
      <c r="AB16" s="1129"/>
      <c r="AC16" s="1130"/>
      <c r="AD16" s="2546"/>
      <c r="AE16" s="2546"/>
      <c r="AF16" s="2546"/>
      <c r="AG16" s="2546"/>
      <c r="AH16" s="2546"/>
      <c r="AI16" s="2546"/>
      <c r="AJ16" s="2547"/>
    </row>
    <row r="17" spans="1:37">
      <c r="A17" s="3028" t="s">
        <v>3241</v>
      </c>
      <c r="B17" s="3020" t="s">
        <v>3242</v>
      </c>
      <c r="C17" s="3029">
        <f>ROUND(IF(OR(E2="工业",E2="公共服务"),1,IF(AND(E18=0,E19=0),1,IF(AND(E18=J24,E19=G19),0.8,IF(E19=0,1+E17*(-0.2),1+E17*G17*(-0.2))))),4)</f>
        <v>1</v>
      </c>
      <c r="D17" s="3021" t="s">
        <v>3243</v>
      </c>
      <c r="E17" s="3029">
        <f>ROUND(G18/I18,2)</f>
        <v>0</v>
      </c>
      <c r="F17" s="3021" t="s">
        <v>3246</v>
      </c>
      <c r="G17" s="3029" t="e">
        <f>ROUND(E19/G19,2)</f>
        <v>#DIV/0!</v>
      </c>
      <c r="H17" s="3029"/>
      <c r="I17" s="3029"/>
      <c r="J17" s="3030"/>
      <c r="K17" s="1052"/>
      <c r="L17" s="1838"/>
      <c r="M17" s="1838"/>
      <c r="N17" s="1838"/>
      <c r="O17" s="1838"/>
      <c r="P17" s="1838"/>
      <c r="Q17" s="1052"/>
      <c r="R17" s="1052"/>
      <c r="S17" s="1052"/>
      <c r="T17" s="1052"/>
      <c r="U17" s="1052"/>
      <c r="V17" s="1052"/>
      <c r="W17" s="1052"/>
      <c r="X17" s="1052"/>
      <c r="Y17" s="1052"/>
      <c r="Z17" s="1053"/>
      <c r="AA17" s="1053"/>
      <c r="AB17" s="1053"/>
      <c r="AC17" s="1053"/>
      <c r="AD17" s="1053"/>
      <c r="AE17" s="1052"/>
      <c r="AF17" s="1052"/>
      <c r="AG17" s="1838"/>
      <c r="AH17" s="1838"/>
      <c r="AI17" s="1838"/>
      <c r="AJ17" s="1838"/>
    </row>
    <row r="18" spans="1:37" s="1852" customFormat="1" ht="14.25">
      <c r="A18" s="3031"/>
      <c r="B18" s="2302"/>
      <c r="C18" s="3027"/>
      <c r="D18" s="3022" t="s">
        <v>3244</v>
      </c>
      <c r="E18" s="2349"/>
      <c r="F18" s="3023" t="s">
        <v>3247</v>
      </c>
      <c r="G18" s="3027">
        <f>ROUND(1-(1/(POWER(1+G24,E18))),4)</f>
        <v>0</v>
      </c>
      <c r="H18" s="3023" t="s">
        <v>3249</v>
      </c>
      <c r="I18" s="3027">
        <f>ROUND(1-(1/(POWER(1+G24,J24))),4)</f>
        <v>0.88249999999999995</v>
      </c>
      <c r="J18" s="3032"/>
      <c r="K18" s="1052"/>
      <c r="L18" s="1838"/>
      <c r="M18" s="1838"/>
      <c r="N18" s="1838"/>
      <c r="O18" s="1838"/>
      <c r="P18" s="1838"/>
      <c r="Q18" s="1052"/>
      <c r="R18" s="1056"/>
      <c r="S18" s="1056"/>
      <c r="T18" s="1053"/>
      <c r="U18" s="1053"/>
      <c r="V18" s="1053"/>
      <c r="W18" s="1052"/>
      <c r="X18" s="1052"/>
      <c r="Y18" s="1052"/>
      <c r="Z18" s="1057"/>
      <c r="AA18" s="1057"/>
      <c r="AB18" s="1057"/>
      <c r="AC18" s="1057"/>
      <c r="AD18" s="1057"/>
      <c r="AE18" s="1053"/>
      <c r="AF18" s="1053"/>
      <c r="AG18" s="1974"/>
      <c r="AH18" s="1974"/>
      <c r="AI18" s="1974"/>
      <c r="AJ18" s="2545"/>
    </row>
    <row r="19" spans="1:37" s="1852" customFormat="1" ht="15" thickBot="1">
      <c r="A19" s="3033"/>
      <c r="B19" s="3034"/>
      <c r="C19" s="3035"/>
      <c r="D19" s="3035" t="s">
        <v>3245</v>
      </c>
      <c r="E19" s="3036"/>
      <c r="F19" s="3037" t="s">
        <v>3248</v>
      </c>
      <c r="G19" s="3036"/>
      <c r="H19" s="3035"/>
      <c r="I19" s="3035"/>
      <c r="J19" s="3038"/>
      <c r="K19" s="1052"/>
      <c r="L19" s="1838"/>
      <c r="M19" s="1838"/>
      <c r="N19" s="1838"/>
      <c r="O19" s="1838"/>
      <c r="P19" s="1838"/>
      <c r="Q19" s="1056"/>
      <c r="R19" s="1056"/>
      <c r="S19" s="1056"/>
      <c r="T19" s="1053"/>
      <c r="U19" s="1053"/>
      <c r="V19" s="1053"/>
      <c r="W19" s="1052"/>
      <c r="X19" s="1052"/>
      <c r="Y19" s="1052"/>
      <c r="Z19" s="1057"/>
      <c r="AA19" s="1057"/>
      <c r="AB19" s="1057"/>
      <c r="AC19" s="1057"/>
      <c r="AD19" s="1057"/>
      <c r="AE19" s="1057"/>
      <c r="AF19" s="1056"/>
      <c r="AG19" s="2548"/>
      <c r="AH19" s="1974"/>
      <c r="AI19" s="561"/>
      <c r="AJ19" s="561"/>
      <c r="AK19" s="1893"/>
    </row>
    <row r="20" spans="1:37" s="1852" customFormat="1" ht="14.25">
      <c r="A20" s="3461" t="s">
        <v>3250</v>
      </c>
      <c r="B20" s="159" t="s">
        <v>1994</v>
      </c>
      <c r="C20" s="3024">
        <f>ROUND(IF(F21="与级别开发程度一致",0,(G21-E21)/C21),0)</f>
        <v>0</v>
      </c>
      <c r="D20" s="3039" t="s">
        <v>1998</v>
      </c>
      <c r="E20" s="3040"/>
      <c r="F20" s="3463" t="s">
        <v>1995</v>
      </c>
      <c r="G20" s="3464"/>
      <c r="H20" s="3025"/>
      <c r="I20" s="3025"/>
      <c r="J20" s="3026"/>
      <c r="K20" s="1883"/>
      <c r="L20" s="1883"/>
      <c r="M20" s="1883"/>
      <c r="N20" s="1883"/>
      <c r="O20" s="1884"/>
      <c r="P20" s="1838"/>
      <c r="Q20" s="1056"/>
      <c r="R20" s="1056"/>
      <c r="S20" s="1056"/>
      <c r="T20" s="1053"/>
      <c r="U20" s="1053"/>
      <c r="V20" s="1053"/>
      <c r="W20" s="1052"/>
      <c r="X20" s="1052"/>
      <c r="Y20" s="1052"/>
      <c r="Z20" s="1057"/>
      <c r="AA20" s="1057"/>
      <c r="AB20" s="1057"/>
      <c r="AC20" s="1057"/>
      <c r="AD20" s="1057"/>
      <c r="AE20" s="1057"/>
      <c r="AF20" s="1057"/>
      <c r="AG20" s="2545"/>
      <c r="AH20" s="2545"/>
      <c r="AI20" s="2545"/>
      <c r="AJ20" s="2545"/>
    </row>
    <row r="21" spans="1:37" s="1852" customFormat="1" ht="26.25" thickBot="1">
      <c r="A21" s="3462"/>
      <c r="B21" s="1996" t="s">
        <v>1997</v>
      </c>
      <c r="C21" s="1997">
        <f>IF(E3="M4科研用地",SUMPRODUCT((修正!A2:A7=E3)*(修正!B1:M1=G2)*(修正!B2:M7)),SUMPRODUCT((修正!A2:A7=E2)*(修正!B1:M1=G2)*(修正!B2:M7)))</f>
        <v>2.5</v>
      </c>
      <c r="D21" s="179" t="str">
        <f>IF(OR(G2="八级",G2="九级",G2="十级",G2="十一级",G2="十二级"),"五通一平","七通一平")</f>
        <v>七通一平</v>
      </c>
      <c r="E21" s="1987">
        <f>SUMPRODUCT((修正!B1:M1=G2)*(修正!B17:M17))</f>
        <v>315</v>
      </c>
      <c r="F21" s="1988" t="s">
        <v>3425</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5"/>
      <c r="R21" s="1056"/>
      <c r="S21" s="1056"/>
      <c r="T21" s="1053"/>
      <c r="U21" s="1053"/>
      <c r="V21" s="1053"/>
      <c r="W21" s="1052"/>
      <c r="X21" s="1052"/>
      <c r="Y21" s="1052"/>
      <c r="Z21" s="1057"/>
      <c r="AA21" s="1057"/>
      <c r="AB21" s="1057"/>
      <c r="AC21" s="1057"/>
      <c r="AD21" s="1057"/>
      <c r="AE21" s="1057"/>
      <c r="AF21" s="1057"/>
      <c r="AG21" s="2545"/>
      <c r="AH21" s="2545"/>
      <c r="AI21" s="2545"/>
      <c r="AJ21" s="2545"/>
    </row>
    <row r="22" spans="1:37" s="1852" customFormat="1" ht="15.75" thickBot="1">
      <c r="A22" s="1990" t="s">
        <v>363</v>
      </c>
      <c r="B22" s="1991" t="s">
        <v>2000</v>
      </c>
      <c r="C22" s="1992">
        <f>SUMIF(修正!C20:C53,E3,修正!E20:E53)</f>
        <v>1</v>
      </c>
      <c r="D22" s="1993"/>
      <c r="E22" s="1994"/>
      <c r="F22" s="1994"/>
      <c r="G22" s="1994"/>
      <c r="H22" s="1994"/>
      <c r="I22" s="1994"/>
      <c r="J22" s="1995"/>
      <c r="K22" s="1057"/>
      <c r="L22" s="2545"/>
      <c r="M22" s="2545"/>
      <c r="N22" s="2545"/>
      <c r="O22" s="1055"/>
      <c r="P22" s="1055"/>
      <c r="Q22" s="2545"/>
      <c r="R22" s="1056"/>
      <c r="S22" s="1056"/>
      <c r="T22" s="1053"/>
      <c r="U22" s="1053"/>
      <c r="V22" s="1053"/>
      <c r="W22" s="1052"/>
      <c r="X22" s="1052"/>
      <c r="Y22" s="1052"/>
      <c r="Z22" s="1057"/>
      <c r="AA22" s="1057"/>
      <c r="AB22" s="1057"/>
      <c r="AC22" s="1057"/>
      <c r="AD22" s="1057"/>
      <c r="AE22" s="1057"/>
      <c r="AF22" s="1057"/>
      <c r="AG22" s="2545"/>
      <c r="AH22" s="2545"/>
      <c r="AI22" s="2545"/>
      <c r="AJ22" s="2545"/>
    </row>
    <row r="23" spans="1:37" ht="26.25" thickBot="1">
      <c r="A23" s="1886" t="s">
        <v>364</v>
      </c>
      <c r="B23" s="1887" t="s">
        <v>2001</v>
      </c>
      <c r="C23" s="71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0" t="s">
        <v>2002</v>
      </c>
      <c r="E23" s="713">
        <v>44197</v>
      </c>
      <c r="F23" s="1890" t="s">
        <v>2003</v>
      </c>
      <c r="G23" s="714">
        <f>'数据-取费表'!B2</f>
        <v>45940</v>
      </c>
      <c r="H23" s="3041" t="s">
        <v>3251</v>
      </c>
      <c r="I23" s="3042" t="str">
        <f>IF(H23="季度增幅（自定义）",SUMIF(N25:N28,E2,O25:O28),"")</f>
        <v/>
      </c>
      <c r="J23" s="3132" t="s">
        <v>3431</v>
      </c>
      <c r="K23" s="1057"/>
      <c r="L23" s="1891" t="s">
        <v>2004</v>
      </c>
      <c r="M23" s="1237">
        <f>ROUND(SUMIF(地价!B2:G2,E2,地价!B16:G16),0)</f>
        <v>350</v>
      </c>
      <c r="N23" s="1892" t="s">
        <v>2005</v>
      </c>
      <c r="O23" s="715">
        <f>ROUNDDOWN(DATEDIF(E23,G23,"M")/3,0)</f>
        <v>19</v>
      </c>
      <c r="P23" s="1053"/>
      <c r="Q23" s="2545"/>
      <c r="R23" s="1056"/>
      <c r="S23" s="1056"/>
      <c r="T23" s="1053"/>
      <c r="U23" s="1053"/>
      <c r="V23" s="1053"/>
      <c r="W23" s="1052"/>
      <c r="X23" s="1052"/>
      <c r="Y23" s="1052"/>
      <c r="Z23" s="1057"/>
      <c r="AA23" s="1057"/>
      <c r="AB23" s="1057"/>
      <c r="AC23" s="1057"/>
      <c r="AD23" s="1057"/>
      <c r="AE23" s="1053"/>
      <c r="AF23" s="1053"/>
      <c r="AG23" s="1974"/>
      <c r="AH23" s="1974"/>
      <c r="AI23" s="1974"/>
      <c r="AJ23" s="1974"/>
      <c r="AK23" s="1889"/>
    </row>
    <row r="24" spans="1:37" s="1852" customFormat="1" ht="24.75" thickBot="1">
      <c r="A24" s="1894" t="s">
        <v>365</v>
      </c>
      <c r="B24" s="1895" t="s">
        <v>2006</v>
      </c>
      <c r="C24" s="716" t="e">
        <f>ROUND(POWER(1+G24,J24-I24)*(POWER(1+G24,I24)-1)/(POWER(1+G24,J24)-1),4)</f>
        <v>#DIV/0!</v>
      </c>
      <c r="D24" s="1896" t="s">
        <v>2007</v>
      </c>
      <c r="E24" s="1244">
        <f>存贷款利率!E28/100</f>
        <v>4.3499999999999997E-2</v>
      </c>
      <c r="F24" s="1896" t="s">
        <v>1999</v>
      </c>
      <c r="G24" s="720">
        <f>SUMIF(M30:Q30,E2,M33:Q33)</f>
        <v>5.5E-2</v>
      </c>
      <c r="H24" s="1896" t="s">
        <v>2008</v>
      </c>
      <c r="I24" s="721" t="e">
        <f>SUMIF('数据-取费表'!C6:C15,E2,'数据-取费表'!F6:F15)/COUNTIF('数据-取费表'!C6:C15,E2)</f>
        <v>#DIV/0!</v>
      </c>
      <c r="J24" s="722">
        <f>IF(E2="住宅",70,IF(E2="商业",40,50))</f>
        <v>40</v>
      </c>
      <c r="K24" s="1057"/>
      <c r="L24" s="1897" t="s">
        <v>2009</v>
      </c>
      <c r="M24" s="1238">
        <f>ROUND(SUMPRODUCT((地价!A4:A16=YEAR(G23)&amp;"-"&amp;ROUNDUP(MONTH(G23)/3,0))*(地价!B2:G2=E2)*(地价!B4:G16)),0)</f>
        <v>0</v>
      </c>
      <c r="N24" s="1898" t="s">
        <v>2010</v>
      </c>
      <c r="O24" s="1899" t="s">
        <v>2011</v>
      </c>
      <c r="P24" s="1900" t="s">
        <v>2012</v>
      </c>
      <c r="Q24" s="1838"/>
      <c r="R24" s="1056"/>
      <c r="S24" s="1056"/>
      <c r="T24" s="1053"/>
      <c r="U24" s="1053"/>
      <c r="V24" s="1053"/>
      <c r="W24" s="1052"/>
      <c r="X24" s="1052"/>
      <c r="Y24" s="1052"/>
      <c r="Z24" s="1057"/>
      <c r="AA24" s="1057"/>
      <c r="AB24" s="1057"/>
      <c r="AC24" s="1057"/>
      <c r="AD24" s="1057"/>
      <c r="AE24" s="1057"/>
      <c r="AF24" s="1057"/>
      <c r="AG24" s="2545"/>
      <c r="AH24" s="2545"/>
      <c r="AI24" s="2545"/>
      <c r="AJ24" s="2545"/>
    </row>
    <row r="25" spans="1:37" ht="15">
      <c r="A25" s="1901" t="s">
        <v>366</v>
      </c>
      <c r="B25" s="1902" t="s">
        <v>3429</v>
      </c>
      <c r="C25" s="461">
        <f>IF(B25="容积率修正",IF(G3&lt;10,D26,J26),C27)</f>
        <v>1.5019</v>
      </c>
      <c r="D25" s="1903"/>
      <c r="E25" s="1903"/>
      <c r="F25" s="1903"/>
      <c r="G25" s="1903"/>
      <c r="H25" s="1903"/>
      <c r="I25" s="1903"/>
      <c r="J25" s="1904"/>
      <c r="K25" s="1057"/>
      <c r="L25" s="2545"/>
      <c r="M25" s="2545"/>
      <c r="N25" s="1905" t="s">
        <v>2013</v>
      </c>
      <c r="O25" s="1089"/>
      <c r="P25" s="1090">
        <f>SUMPRODUCT((地价!A3:A40=YEAR(G23)&amp;"-"&amp;ROUNDUP(MONTH(G23)/3,0))*(地价!AD2:AH2=N25)*(地价!AD3:AH40))</f>
        <v>0</v>
      </c>
      <c r="Q25" s="2545"/>
      <c r="R25" s="1056"/>
      <c r="S25" s="1056"/>
      <c r="T25" s="1053"/>
      <c r="U25" s="1053"/>
      <c r="V25" s="1053"/>
      <c r="W25" s="1052"/>
      <c r="X25" s="1052"/>
      <c r="Y25" s="1052"/>
      <c r="Z25" s="1057"/>
      <c r="AA25" s="1057"/>
      <c r="AB25" s="1057"/>
      <c r="AC25" s="1057"/>
      <c r="AD25" s="1057"/>
      <c r="AE25" s="1053"/>
      <c r="AF25" s="1053"/>
      <c r="AG25" s="1974"/>
      <c r="AH25" s="1974"/>
      <c r="AI25" s="1974"/>
      <c r="AJ25" s="1974"/>
    </row>
    <row r="26" spans="1:37" ht="14.25">
      <c r="A26" s="1800" t="s">
        <v>2014</v>
      </c>
      <c r="B26" s="1906" t="s">
        <v>2015</v>
      </c>
      <c r="C26" s="1906" t="s">
        <v>3252</v>
      </c>
      <c r="D26" s="1259">
        <f>IF(E26=G26,F26,IF(G3&lt;10,ROUND(F26+(H26-F26)*(G3-E26)/(G26-E26),4),"——"))</f>
        <v>0</v>
      </c>
      <c r="E26" s="704">
        <f>ROUNDDOWN(G3,1)</f>
        <v>0</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4">
        <f>ROUNDUP(G3,1)</f>
        <v>0</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6" t="s">
        <v>3253</v>
      </c>
      <c r="J26" s="374" t="str">
        <f>IF(G3&gt;=10,D115,"——")</f>
        <v>——</v>
      </c>
      <c r="K26" s="1057"/>
      <c r="L26" s="2545"/>
      <c r="M26" s="2545"/>
      <c r="N26" s="1905" t="s">
        <v>2016</v>
      </c>
      <c r="O26" s="1089"/>
      <c r="P26" s="1090">
        <f>SUMPRODUCT((地价!A3:A40=YEAR(G23)&amp;"-"&amp;ROUNDUP(MONTH(G23)/3,0))*(地价!AD2:AH2=N26)*(地价!AD3:AH40))</f>
        <v>0</v>
      </c>
      <c r="Q26" s="1838"/>
      <c r="R26" s="1056"/>
      <c r="S26" s="1056"/>
      <c r="T26" s="1053"/>
      <c r="U26" s="1053"/>
      <c r="V26" s="1053"/>
      <c r="W26" s="1052"/>
      <c r="X26" s="1052"/>
      <c r="Y26" s="1052"/>
      <c r="Z26" s="1057"/>
      <c r="AA26" s="1057"/>
      <c r="AB26" s="1057"/>
      <c r="AC26" s="1057"/>
      <c r="AD26" s="1057"/>
      <c r="AE26" s="1053"/>
      <c r="AF26" s="1053"/>
      <c r="AG26" s="1974"/>
      <c r="AH26" s="1974"/>
      <c r="AI26" s="1974"/>
      <c r="AJ26" s="1974"/>
    </row>
    <row r="27" spans="1:37" ht="15.75" thickBot="1">
      <c r="A27" s="1800" t="s">
        <v>2017</v>
      </c>
      <c r="B27" s="1907" t="s">
        <v>2018</v>
      </c>
      <c r="C27" s="787">
        <f>ROUND(IF(I3&lt;6,SUMPRODUCT((B106:B110=I3)*(C105:N105=G2)*(C106:N110)),SUMIF(C105:N105,G2,C112:N112)),4)</f>
        <v>1.5019</v>
      </c>
      <c r="D27" s="1836"/>
      <c r="E27" s="1836"/>
      <c r="F27" s="1908"/>
      <c r="G27" s="1909"/>
      <c r="H27" s="1910"/>
      <c r="I27" s="1911"/>
      <c r="J27" s="1912"/>
      <c r="K27" s="1052"/>
      <c r="L27" s="1838"/>
      <c r="M27" s="1838"/>
      <c r="N27" s="1905" t="s">
        <v>2019</v>
      </c>
      <c r="O27" s="1089"/>
      <c r="P27" s="1090">
        <f>SUMPRODUCT((地价!A3:A40=YEAR(G23)&amp;"-"&amp;ROUNDUP(MONTH(G23)/3,0))*(地价!AD2:AH2=N27)*(地价!AD3:AH40))</f>
        <v>0</v>
      </c>
      <c r="Q27" s="1838"/>
      <c r="R27" s="1056"/>
      <c r="S27" s="1056"/>
      <c r="T27" s="1053"/>
      <c r="U27" s="1053"/>
      <c r="V27" s="1053"/>
      <c r="W27" s="1052"/>
      <c r="X27" s="1052"/>
      <c r="Y27" s="1052"/>
      <c r="Z27" s="1057"/>
      <c r="AA27" s="1057"/>
      <c r="AB27" s="1057"/>
      <c r="AC27" s="1057"/>
      <c r="AD27" s="1057"/>
      <c r="AE27" s="1053"/>
      <c r="AF27" s="1053"/>
      <c r="AG27" s="1974"/>
      <c r="AH27" s="1974"/>
      <c r="AI27" s="1974"/>
      <c r="AJ27" s="1974"/>
    </row>
    <row r="28" spans="1:37" ht="15.75" thickBot="1">
      <c r="A28" s="1894" t="s">
        <v>367</v>
      </c>
      <c r="B28" s="1887" t="s">
        <v>2020</v>
      </c>
      <c r="C28" s="712">
        <f>SUMIF(A47:A101,E2,B47:B101)</f>
        <v>1.0568</v>
      </c>
      <c r="D28" s="1888"/>
      <c r="E28" s="1913"/>
      <c r="F28" s="1913"/>
      <c r="G28" s="1913"/>
      <c r="H28" s="1913"/>
      <c r="I28" s="1913"/>
      <c r="J28" s="1914"/>
      <c r="K28" s="1057"/>
      <c r="L28" s="2545"/>
      <c r="M28" s="2545"/>
      <c r="N28" s="1915" t="s">
        <v>2021</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4"/>
      <c r="AH28" s="1974"/>
      <c r="AI28" s="1974"/>
      <c r="AJ28" s="1974"/>
    </row>
    <row r="29" spans="1:37" ht="15.75" thickBot="1">
      <c r="A29" s="1894" t="s">
        <v>368</v>
      </c>
      <c r="B29" s="1916" t="s">
        <v>2022</v>
      </c>
      <c r="C29" s="717"/>
      <c r="D29" s="1862"/>
      <c r="E29" s="1862"/>
      <c r="F29" s="1917"/>
      <c r="G29" s="1862"/>
      <c r="H29" s="1862"/>
      <c r="I29" s="1862"/>
      <c r="J29" s="1863"/>
      <c r="K29" s="1052"/>
      <c r="L29" s="1838"/>
      <c r="M29" s="1838"/>
      <c r="N29" s="2542" t="s">
        <v>2023</v>
      </c>
      <c r="O29" s="2543"/>
      <c r="P29" s="2544">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8"/>
      <c r="AH29" s="1838"/>
      <c r="AI29" s="1838"/>
      <c r="AJ29" s="1838"/>
    </row>
    <row r="30" spans="1:37" ht="15">
      <c r="A30" s="1918"/>
      <c r="B30" s="1906" t="s">
        <v>2024</v>
      </c>
      <c r="C30" s="2139" t="e">
        <f>IF(B25="容积率修正",E33+SUM(E37:E42),SUM(V2:V16)+SUM(E37:E42))</f>
        <v>#DIV/0!</v>
      </c>
      <c r="D30" s="1919"/>
      <c r="E30" s="1836"/>
      <c r="F30" s="1920"/>
      <c r="G30" s="1836"/>
      <c r="H30" s="1836"/>
      <c r="I30" s="1836"/>
      <c r="J30" s="1921"/>
      <c r="K30" s="1052"/>
      <c r="L30" s="3048" t="s">
        <v>1936</v>
      </c>
      <c r="M30" s="3049" t="s">
        <v>1990</v>
      </c>
      <c r="N30" s="3049" t="s">
        <v>1991</v>
      </c>
      <c r="O30" s="3049" t="s">
        <v>1992</v>
      </c>
      <c r="P30" s="3049" t="s">
        <v>1993</v>
      </c>
      <c r="Q30" s="3052" t="s">
        <v>3257</v>
      </c>
      <c r="R30" s="1056"/>
      <c r="S30" s="1056"/>
      <c r="T30" s="1053"/>
      <c r="U30" s="1053"/>
      <c r="V30" s="1053"/>
      <c r="W30" s="1052"/>
      <c r="X30" s="1052"/>
      <c r="Y30" s="1052"/>
      <c r="Z30" s="1057"/>
      <c r="AA30" s="1057"/>
      <c r="AB30" s="1057"/>
      <c r="AC30" s="1057"/>
      <c r="AD30" s="1057"/>
      <c r="AE30" s="1052"/>
      <c r="AF30" s="1052"/>
      <c r="AG30" s="1838"/>
      <c r="AH30" s="1838"/>
      <c r="AI30" s="1838"/>
      <c r="AJ30" s="1838"/>
    </row>
    <row r="31" spans="1:37" ht="15.75" thickBot="1">
      <c r="A31" s="1918"/>
      <c r="B31" s="1922" t="s">
        <v>2025</v>
      </c>
      <c r="C31" s="718" t="e">
        <f>E34+SUM(I37:I42)</f>
        <v>#DIV/0!</v>
      </c>
      <c r="D31" s="1923"/>
      <c r="E31" s="1924"/>
      <c r="F31" s="1925"/>
      <c r="G31" s="1924"/>
      <c r="H31" s="1924"/>
      <c r="I31" s="1924"/>
      <c r="J31" s="1926"/>
      <c r="K31" s="1052"/>
      <c r="L31" s="3050" t="s">
        <v>1996</v>
      </c>
      <c r="M31" s="162">
        <v>0.25</v>
      </c>
      <c r="N31" s="162">
        <v>0.2</v>
      </c>
      <c r="O31" s="162">
        <v>0.15</v>
      </c>
      <c r="P31" s="162">
        <v>0.1</v>
      </c>
      <c r="Q31" s="3045">
        <v>0.15</v>
      </c>
      <c r="R31" s="1056"/>
      <c r="S31" s="1056"/>
      <c r="T31" s="1053"/>
      <c r="U31" s="1053"/>
      <c r="V31" s="1053"/>
      <c r="W31" s="1052"/>
      <c r="X31" s="1052"/>
      <c r="Y31" s="1052"/>
      <c r="Z31" s="1057"/>
      <c r="AA31" s="1057"/>
      <c r="AB31" s="1057"/>
      <c r="AC31" s="1057"/>
      <c r="AD31" s="1057"/>
      <c r="AE31" s="1052"/>
      <c r="AF31" s="1052"/>
      <c r="AG31" s="1838"/>
      <c r="AH31" s="1838"/>
      <c r="AI31" s="1838"/>
      <c r="AJ31" s="1838"/>
    </row>
    <row r="32" spans="1:37" ht="15.75" thickBot="1">
      <c r="A32" s="1927"/>
      <c r="B32" s="1928" t="s">
        <v>2026</v>
      </c>
      <c r="C32" s="1929" t="s">
        <v>2027</v>
      </c>
      <c r="D32" s="1929" t="s">
        <v>2028</v>
      </c>
      <c r="E32" s="1930" t="s">
        <v>2029</v>
      </c>
      <c r="F32" s="1931"/>
      <c r="G32" s="1875"/>
      <c r="H32" s="1875"/>
      <c r="I32" s="1875"/>
      <c r="J32" s="1876"/>
      <c r="K32" s="1052"/>
      <c r="L32" s="3051" t="s">
        <v>1999</v>
      </c>
      <c r="M32" s="2348">
        <f>ROUND($E$24*(1+M31),3)</f>
        <v>5.3999999999999999E-2</v>
      </c>
      <c r="N32" s="2348">
        <f>ROUND($E$24*(1+N31),3)</f>
        <v>5.1999999999999998E-2</v>
      </c>
      <c r="O32" s="2348">
        <f>ROUND($E$24*(1+O31),3)</f>
        <v>0.05</v>
      </c>
      <c r="P32" s="2348">
        <f>ROUND($E$24*(1+P31),3)</f>
        <v>4.8000000000000001E-2</v>
      </c>
      <c r="Q32" s="3053">
        <f>ROUND($E$24*(1+Q31),3)</f>
        <v>0.05</v>
      </c>
      <c r="R32" s="1056"/>
      <c r="S32" s="1056"/>
      <c r="T32" s="1053"/>
      <c r="U32" s="1053"/>
      <c r="V32" s="1053"/>
      <c r="W32" s="1052"/>
      <c r="X32" s="1052"/>
      <c r="Y32" s="1052"/>
      <c r="Z32" s="1057"/>
      <c r="AA32" s="1057"/>
      <c r="AB32" s="1057"/>
      <c r="AC32" s="1057"/>
      <c r="AD32" s="1057"/>
      <c r="AE32" s="1052"/>
      <c r="AF32" s="1052"/>
      <c r="AG32" s="1838"/>
      <c r="AH32" s="1838"/>
      <c r="AI32" s="1838"/>
      <c r="AJ32" s="1838"/>
    </row>
    <row r="33" spans="1:37" ht="14.25">
      <c r="A33" s="1932"/>
      <c r="B33" s="1933" t="s">
        <v>2030</v>
      </c>
      <c r="C33" s="167" t="e">
        <f>ROUND(C5*C22*C23*C24*C25*C28,0)</f>
        <v>#DIV/0!</v>
      </c>
      <c r="D33" s="1934" t="e">
        <f>#REF!</f>
        <v>#REF!</v>
      </c>
      <c r="E33" s="723" t="e">
        <f>ROUND(C33*D33/10000,0)</f>
        <v>#DIV/0!</v>
      </c>
      <c r="F33" s="3043" t="s">
        <v>3255</v>
      </c>
      <c r="G33" s="1935"/>
      <c r="H33" s="1935"/>
      <c r="I33" s="1935"/>
      <c r="J33" s="1936"/>
      <c r="K33" s="1052"/>
      <c r="L33" s="3046" t="s">
        <v>3258</v>
      </c>
      <c r="M33" s="3047">
        <v>5.5E-2</v>
      </c>
      <c r="N33" s="3047">
        <v>5.5E-2</v>
      </c>
      <c r="O33" s="3047">
        <v>0.05</v>
      </c>
      <c r="P33" s="3047">
        <v>0.05</v>
      </c>
      <c r="Q33" s="3047">
        <v>0.05</v>
      </c>
      <c r="R33" s="1056"/>
      <c r="S33" s="1056"/>
      <c r="T33" s="1053"/>
      <c r="U33" s="1053"/>
      <c r="V33" s="1053"/>
      <c r="W33" s="1052"/>
      <c r="X33" s="1052"/>
      <c r="Y33" s="1052"/>
      <c r="Z33" s="1057"/>
      <c r="AA33" s="1057"/>
      <c r="AB33" s="1057"/>
      <c r="AC33" s="1057"/>
      <c r="AD33" s="1057"/>
      <c r="AE33" s="1053"/>
      <c r="AF33" s="1053"/>
      <c r="AG33" s="1974"/>
      <c r="AH33" s="1974"/>
      <c r="AI33" s="1974"/>
      <c r="AJ33" s="1974"/>
    </row>
    <row r="34" spans="1:37" ht="25.5" thickBot="1">
      <c r="A34" s="1937"/>
      <c r="B34" s="1938" t="s">
        <v>2031</v>
      </c>
      <c r="C34" s="179" t="e">
        <f>ROUND(IF(E2="工业",C33*M42,IF(B25="楼层修正",SUM(V2:V16)*M41*10000/D34,C33*M41)),0)</f>
        <v>#DIV/0!</v>
      </c>
      <c r="D34" s="1939"/>
      <c r="E34" s="723" t="e">
        <f>ROUND(IF(B25="楼层修正",SUM(V2:V16)*M40,C34*D34/10000),0)</f>
        <v>#DIV/0!</v>
      </c>
      <c r="F34" s="1940" t="s">
        <v>2032</v>
      </c>
      <c r="G34" s="1941"/>
      <c r="H34" s="1941"/>
      <c r="I34" s="1941"/>
      <c r="J34" s="1942"/>
      <c r="K34" s="1052"/>
      <c r="L34" s="3046" t="s">
        <v>3259</v>
      </c>
      <c r="M34" s="3047">
        <v>6.5000000000000002E-2</v>
      </c>
      <c r="N34" s="3047">
        <v>6.5000000000000002E-2</v>
      </c>
      <c r="O34" s="3047">
        <v>0.06</v>
      </c>
      <c r="P34" s="3047">
        <v>0.06</v>
      </c>
      <c r="Q34" s="3047">
        <v>0.06</v>
      </c>
      <c r="R34" s="1056"/>
      <c r="S34" s="1056"/>
      <c r="T34" s="1053"/>
      <c r="U34" s="1053"/>
      <c r="V34" s="1053"/>
      <c r="W34" s="1052"/>
      <c r="X34" s="1052"/>
      <c r="Y34" s="1052"/>
      <c r="Z34" s="1057"/>
      <c r="AA34" s="1057"/>
      <c r="AB34" s="1057"/>
      <c r="AC34" s="1057"/>
      <c r="AD34" s="1057"/>
      <c r="AE34" s="1053"/>
      <c r="AF34" s="1053"/>
      <c r="AG34" s="1974"/>
      <c r="AH34" s="1974"/>
      <c r="AI34" s="1974"/>
      <c r="AJ34" s="1974"/>
    </row>
    <row r="35" spans="1:37">
      <c r="A35" s="1943"/>
      <c r="B35" s="1944" t="s">
        <v>2033</v>
      </c>
      <c r="C35" s="3044" t="s">
        <v>3256</v>
      </c>
      <c r="D35" s="1875"/>
      <c r="E35" s="1945"/>
      <c r="F35" s="1945"/>
      <c r="G35" s="1873" t="s">
        <v>2034</v>
      </c>
      <c r="H35" s="1875"/>
      <c r="I35" s="1946"/>
      <c r="J35" s="1876"/>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4"/>
      <c r="AH35" s="1974"/>
      <c r="AI35" s="1974"/>
      <c r="AJ35" s="1974"/>
    </row>
    <row r="36" spans="1:37" ht="24.75" thickBot="1">
      <c r="A36" s="1932"/>
      <c r="B36" s="1947"/>
      <c r="C36" s="436" t="s">
        <v>2027</v>
      </c>
      <c r="D36" s="433" t="s">
        <v>2028</v>
      </c>
      <c r="E36" s="433" t="s">
        <v>2029</v>
      </c>
      <c r="F36" s="333" t="s">
        <v>2035</v>
      </c>
      <c r="G36" s="1948" t="s">
        <v>2027</v>
      </c>
      <c r="H36" s="1948" t="s">
        <v>2028</v>
      </c>
      <c r="I36" s="1948" t="s">
        <v>2029</v>
      </c>
      <c r="J36" s="235"/>
      <c r="K36" s="1958" t="s">
        <v>3260</v>
      </c>
      <c r="L36" s="3133">
        <f ca="1">'数据-取费表'!B40</f>
        <v>0.03</v>
      </c>
      <c r="M36" s="2358">
        <f ca="1">ROUND($L$36*(1+M31),3)</f>
        <v>3.7999999999999999E-2</v>
      </c>
      <c r="N36" s="2358">
        <f ca="1">ROUND($L$36*(1+N31),3)</f>
        <v>3.5999999999999997E-2</v>
      </c>
      <c r="O36" s="2358">
        <f ca="1">ROUND($L$36*(1+O31),3)</f>
        <v>3.5000000000000003E-2</v>
      </c>
      <c r="P36" s="2358">
        <f ca="1">ROUND($L$36*(1+P31),3)</f>
        <v>3.3000000000000002E-2</v>
      </c>
      <c r="Q36" s="2358">
        <f ca="1">ROUND($L$36*(1+Q31),3)</f>
        <v>3.5000000000000003E-2</v>
      </c>
      <c r="R36" s="1052"/>
      <c r="S36" s="1052"/>
      <c r="T36" s="1052"/>
      <c r="U36" s="1052"/>
      <c r="V36" s="1052"/>
      <c r="W36" s="1052"/>
      <c r="X36" s="1052"/>
      <c r="Y36" s="1052"/>
      <c r="Z36" s="1053"/>
      <c r="AA36" s="1053"/>
      <c r="AB36" s="1053"/>
      <c r="AC36" s="1053"/>
      <c r="AD36" s="1053"/>
      <c r="AE36" s="1053"/>
      <c r="AF36" s="1053"/>
      <c r="AG36" s="1974"/>
      <c r="AH36" s="1974"/>
      <c r="AI36" s="1974"/>
      <c r="AJ36" s="1974"/>
    </row>
    <row r="37" spans="1:37" ht="24.75" thickBot="1">
      <c r="A37" s="3452"/>
      <c r="B37" s="1949" t="s">
        <v>2036</v>
      </c>
      <c r="C37" s="167" t="e">
        <f>ROUND(D5*C22*C23*C24*C28*F37,0)</f>
        <v>#DIV/0!</v>
      </c>
      <c r="D37" s="1934" t="e">
        <f>#REF!</f>
        <v>#REF!</v>
      </c>
      <c r="E37" s="163" t="e">
        <f>ROUND(C37*D37,0)</f>
        <v>#DIV/0!</v>
      </c>
      <c r="F37" s="163">
        <f>SUMIF(修正!A59:A70,G2,修正!B59:B70)</f>
        <v>0.6</v>
      </c>
      <c r="G37" s="163" t="e">
        <f>ROUND(IF(E2="工业",C37*$M$42,C37*$M$41),0)</f>
        <v>#DIV/0!</v>
      </c>
      <c r="H37" s="163" t="e">
        <f>D37</f>
        <v>#REF!</v>
      </c>
      <c r="I37" s="163" t="e">
        <f>ROUND(G37*H37,0)</f>
        <v>#DIV/0!</v>
      </c>
      <c r="J37" s="2747"/>
      <c r="K37" s="3054" t="s">
        <v>3261</v>
      </c>
      <c r="L37" s="1958">
        <f ca="1">L36+K38</f>
        <v>3.4999999999999996E-2</v>
      </c>
      <c r="M37" s="2358">
        <f ca="1">ROUND($L$37*(1+M31),3)</f>
        <v>4.3999999999999997E-2</v>
      </c>
      <c r="N37" s="2358">
        <f t="shared" ref="N37:Q37" ca="1" si="4">ROUND($L$37*(1+N31),3)</f>
        <v>4.2000000000000003E-2</v>
      </c>
      <c r="O37" s="2358">
        <f t="shared" ca="1" si="4"/>
        <v>0.04</v>
      </c>
      <c r="P37" s="2358">
        <f t="shared" ca="1" si="4"/>
        <v>3.9E-2</v>
      </c>
      <c r="Q37" s="2358">
        <f t="shared" ca="1" si="4"/>
        <v>0.04</v>
      </c>
      <c r="R37" s="1052"/>
      <c r="S37" s="1052"/>
      <c r="T37" s="1052"/>
      <c r="U37" s="1052"/>
      <c r="V37" s="1052"/>
      <c r="W37" s="1052"/>
      <c r="X37" s="1052"/>
      <c r="Y37" s="1052"/>
      <c r="Z37" s="1053"/>
      <c r="AA37" s="1053"/>
      <c r="AB37" s="1053"/>
      <c r="AC37" s="1053"/>
      <c r="AD37" s="1053"/>
      <c r="AE37" s="1053"/>
      <c r="AF37" s="1053"/>
      <c r="AG37" s="1974"/>
      <c r="AH37" s="1974"/>
      <c r="AI37" s="1974"/>
      <c r="AJ37" s="1974"/>
    </row>
    <row r="38" spans="1:37">
      <c r="A38" s="3453"/>
      <c r="B38" s="1878" t="s">
        <v>2037</v>
      </c>
      <c r="C38" s="167" t="e">
        <f>ROUND(D5*C22*C23*C24*C28*F38,0)</f>
        <v>#DIV/0!</v>
      </c>
      <c r="D38" s="1934"/>
      <c r="E38" s="163" t="e">
        <f t="shared" ref="E38:E42" si="5">ROUND(C38*D38/10000,0)</f>
        <v>#DIV/0!</v>
      </c>
      <c r="F38" s="163">
        <f>SUMIF(修正!A59:A70,G2,修正!C59:C70)</f>
        <v>0.3</v>
      </c>
      <c r="G38" s="163" t="e">
        <f>ROUND(IF(E2="工业",C38*$M$42,C38*$M$41),0)</f>
        <v>#DIV/0!</v>
      </c>
      <c r="H38" s="163">
        <f t="shared" ref="H38:H42" si="6">D38</f>
        <v>0</v>
      </c>
      <c r="I38" s="163" t="e">
        <f t="shared" ref="I38:I42" si="7">ROUND(G38*H38/10000,0)</f>
        <v>#DIV/0!</v>
      </c>
      <c r="J38" s="2746"/>
      <c r="K38" s="1958">
        <v>5.0000000000000001E-3</v>
      </c>
      <c r="L38" s="1958"/>
      <c r="M38" s="1958"/>
      <c r="N38" s="1958"/>
      <c r="O38" s="1958"/>
      <c r="P38" s="1958"/>
      <c r="Q38" s="1958"/>
      <c r="R38" s="1052"/>
      <c r="S38" s="1052"/>
      <c r="T38" s="1052"/>
      <c r="U38" s="1052"/>
      <c r="V38" s="1052"/>
      <c r="W38" s="1052"/>
      <c r="X38" s="1052"/>
      <c r="Y38" s="1052"/>
      <c r="Z38" s="1053"/>
      <c r="AA38" s="1053"/>
      <c r="AB38" s="1053"/>
      <c r="AC38" s="1053"/>
      <c r="AD38" s="1053"/>
    </row>
    <row r="39" spans="1:37" ht="13.5" thickBot="1">
      <c r="A39" s="3453"/>
      <c r="B39" s="1878" t="s">
        <v>3254</v>
      </c>
      <c r="C39" s="167" t="e">
        <f>ROUND(D5*C22*C23*C24*C28*F39,0)</f>
        <v>#DIV/0!</v>
      </c>
      <c r="D39" s="1934"/>
      <c r="E39" s="163" t="e">
        <f t="shared" si="5"/>
        <v>#DIV/0!</v>
      </c>
      <c r="F39" s="163">
        <f>SUMIF(修正!A59:A70,G2,修正!D59:D70)</f>
        <v>0.25</v>
      </c>
      <c r="G39" s="163" t="e">
        <f>ROUND(IF(E2="工业",C39*$M$42,C39*$M$41),0)</f>
        <v>#DIV/0!</v>
      </c>
      <c r="H39" s="163">
        <f t="shared" si="6"/>
        <v>0</v>
      </c>
      <c r="I39" s="163" t="e">
        <f t="shared" si="7"/>
        <v>#DIV/0!</v>
      </c>
      <c r="J39" s="2746"/>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0"/>
      <c r="B40" s="1878" t="s">
        <v>2038</v>
      </c>
      <c r="C40" s="163" t="e">
        <f>ROUND(D5*C22*C23*C24*C28*F40,0)</f>
        <v>#DIV/0!</v>
      </c>
      <c r="D40" s="1934"/>
      <c r="E40" s="163" t="e">
        <f t="shared" si="5"/>
        <v>#DIV/0!</v>
      </c>
      <c r="F40" s="167">
        <f>SUMIF(修正!A59:A70,G2,修正!E59:E70)</f>
        <v>0.25</v>
      </c>
      <c r="G40" s="163" t="e">
        <f>ROUND(IF(E2="工业",C40*$M$42,C40*$M$41),0)</f>
        <v>#DIV/0!</v>
      </c>
      <c r="H40" s="163">
        <f t="shared" si="6"/>
        <v>0</v>
      </c>
      <c r="I40" s="163" t="e">
        <f t="shared" si="7"/>
        <v>#DIV/0!</v>
      </c>
      <c r="J40" s="935"/>
      <c r="L40" s="1951" t="s">
        <v>2039</v>
      </c>
      <c r="M40" s="1952"/>
      <c r="Z40" s="1053"/>
      <c r="AA40" s="1053"/>
      <c r="AB40" s="1053"/>
      <c r="AC40" s="1053"/>
      <c r="AD40" s="1053"/>
      <c r="AE40" s="1053"/>
      <c r="AF40" s="1053"/>
      <c r="AG40" s="1053"/>
      <c r="AH40" s="1053"/>
      <c r="AI40" s="1053"/>
      <c r="AJ40" s="1053"/>
    </row>
    <row r="41" spans="1:37" s="1052" customFormat="1">
      <c r="A41" s="1950"/>
      <c r="B41" s="1878" t="s">
        <v>2040</v>
      </c>
      <c r="C41" s="163">
        <f>ROUND(D5*C22*C23*C44*C28*F41,0)</f>
        <v>0</v>
      </c>
      <c r="D41" s="1934"/>
      <c r="E41" s="163">
        <f t="shared" si="5"/>
        <v>0</v>
      </c>
      <c r="F41" s="167">
        <f>SUMIF(修正!A59:A70,G2,修正!F59:F70)</f>
        <v>0.25</v>
      </c>
      <c r="G41" s="163">
        <f>ROUND(IF(E2="工业",C41*$M$42,C41*$M$41),0)</f>
        <v>0</v>
      </c>
      <c r="H41" s="163">
        <f t="shared" si="6"/>
        <v>0</v>
      </c>
      <c r="I41" s="163">
        <f t="shared" si="7"/>
        <v>0</v>
      </c>
      <c r="J41" s="935"/>
      <c r="L41" s="3055" t="s">
        <v>3262</v>
      </c>
      <c r="M41" s="1953">
        <v>0.25</v>
      </c>
      <c r="Z41" s="1053"/>
      <c r="AA41" s="1053"/>
      <c r="AB41" s="1053"/>
      <c r="AC41" s="1053"/>
      <c r="AD41" s="1053"/>
      <c r="AE41" s="1053"/>
      <c r="AF41" s="1053"/>
      <c r="AG41" s="1053"/>
      <c r="AH41" s="1053"/>
      <c r="AI41" s="1053"/>
      <c r="AJ41" s="1053"/>
    </row>
    <row r="42" spans="1:37" s="1052" customFormat="1" ht="13.5" thickBot="1">
      <c r="A42" s="1937"/>
      <c r="B42" s="1954" t="s">
        <v>2041</v>
      </c>
      <c r="C42" s="179">
        <f>ROUND(D5*C22*C23*C44*C28*F42,0)</f>
        <v>0</v>
      </c>
      <c r="D42" s="1939"/>
      <c r="E42" s="179">
        <f t="shared" si="5"/>
        <v>0</v>
      </c>
      <c r="F42" s="719">
        <f>SUMIF(修正!A59:A70,G2,修正!G59:G70)</f>
        <v>0.15</v>
      </c>
      <c r="G42" s="179">
        <f>ROUND(IF(E2="工业",C42*$M$42,C42*$M$41),0)</f>
        <v>0</v>
      </c>
      <c r="H42" s="179">
        <f t="shared" si="6"/>
        <v>0</v>
      </c>
      <c r="I42" s="179">
        <f t="shared" si="7"/>
        <v>0</v>
      </c>
      <c r="J42" s="1955"/>
      <c r="L42" s="1956" t="s">
        <v>1993</v>
      </c>
      <c r="M42" s="1957">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6" t="s">
        <v>2122</v>
      </c>
      <c r="C44" s="333">
        <f>ROUND(POWER(1+E44,H44-G44)*(POWER(1+E44,G44)-1)/(POWER(1+E44,H44)-1),4)</f>
        <v>0</v>
      </c>
      <c r="D44" s="163" t="s">
        <v>1999</v>
      </c>
      <c r="E44" s="1985">
        <f>G24</f>
        <v>5.5E-2</v>
      </c>
      <c r="F44" s="163" t="s">
        <v>2008</v>
      </c>
      <c r="G44" s="175"/>
      <c r="H44" s="163">
        <v>50</v>
      </c>
      <c r="Z44" s="1053"/>
      <c r="AA44" s="1053"/>
      <c r="AB44" s="1053"/>
      <c r="AC44" s="1053"/>
      <c r="AD44" s="1053"/>
      <c r="AE44" s="1053"/>
      <c r="AF44" s="1053"/>
      <c r="AG44" s="1053"/>
      <c r="AH44" s="1053"/>
      <c r="AI44" s="1053"/>
      <c r="AJ44" s="1053"/>
    </row>
    <row r="45" spans="1:37" s="1052" customFormat="1">
      <c r="A45" s="1053"/>
      <c r="B45" s="1958"/>
      <c r="Z45" s="1053"/>
      <c r="AA45" s="1053"/>
      <c r="AB45" s="1053"/>
      <c r="AC45" s="1053"/>
      <c r="AD45" s="1053"/>
      <c r="AE45" s="1053"/>
      <c r="AF45" s="1053"/>
      <c r="AG45" s="1053"/>
      <c r="AH45" s="1053"/>
      <c r="AI45" s="1053"/>
      <c r="AJ45" s="1053"/>
    </row>
    <row r="46" spans="1:37" s="1052" customFormat="1">
      <c r="A46" s="1053"/>
      <c r="B46" s="1958"/>
      <c r="AA46" s="1053"/>
      <c r="AB46" s="1053"/>
      <c r="AC46" s="1053"/>
      <c r="AD46" s="1053"/>
      <c r="AE46" s="1053"/>
      <c r="AF46" s="1053"/>
      <c r="AG46" s="1053"/>
      <c r="AH46" s="1053"/>
      <c r="AI46" s="1053"/>
      <c r="AJ46" s="1053"/>
      <c r="AK46" s="1053"/>
    </row>
    <row r="47" spans="1:37" s="1052" customFormat="1" ht="15.75" thickBot="1">
      <c r="A47" s="1959" t="s">
        <v>2042</v>
      </c>
      <c r="B47" s="1960"/>
      <c r="C47" s="4"/>
      <c r="D47" s="4"/>
      <c r="E47" s="4"/>
      <c r="F47" s="3"/>
      <c r="G47" s="3"/>
      <c r="H47" s="3"/>
      <c r="I47" s="1677"/>
      <c r="J47" s="1677"/>
      <c r="K47" s="1677"/>
      <c r="L47" s="1677"/>
      <c r="M47" s="1677"/>
      <c r="AA47" s="1053"/>
      <c r="AB47" s="1053"/>
      <c r="AC47" s="1053"/>
      <c r="AD47" s="1053"/>
      <c r="AE47" s="1053"/>
      <c r="AF47" s="1053"/>
      <c r="AG47" s="1053"/>
      <c r="AH47" s="1053"/>
      <c r="AI47" s="1053"/>
      <c r="AJ47" s="1053"/>
      <c r="AK47" s="1053"/>
    </row>
    <row r="48" spans="1:37" s="1052" customFormat="1" ht="15">
      <c r="A48" s="1961" t="s">
        <v>2043</v>
      </c>
      <c r="B48" s="1962">
        <f>1+E50</f>
        <v>1.0568</v>
      </c>
      <c r="C48" s="1722"/>
      <c r="D48" s="695"/>
      <c r="E48" s="696"/>
      <c r="F48" s="1963"/>
      <c r="G48" s="3"/>
      <c r="H48" s="4"/>
      <c r="I48" s="1677"/>
      <c r="J48" s="1677"/>
      <c r="K48" s="1677"/>
      <c r="L48" s="1677"/>
      <c r="M48" s="1677"/>
      <c r="AA48" s="1053"/>
      <c r="AB48" s="1053"/>
      <c r="AC48" s="1053"/>
      <c r="AD48" s="1053"/>
      <c r="AE48" s="1053"/>
      <c r="AF48" s="1053"/>
      <c r="AG48" s="1053"/>
      <c r="AH48" s="1053"/>
      <c r="AI48" s="1053"/>
      <c r="AJ48" s="1053"/>
      <c r="AK48" s="1053"/>
    </row>
    <row r="49" spans="1:37" s="1052" customFormat="1" ht="24.75">
      <c r="A49" s="1964" t="s">
        <v>2044</v>
      </c>
      <c r="B49" s="1258" t="s">
        <v>2045</v>
      </c>
      <c r="C49" s="1258" t="s">
        <v>2046</v>
      </c>
      <c r="D49" s="1258" t="s">
        <v>2047</v>
      </c>
      <c r="E49" s="697" t="s">
        <v>2048</v>
      </c>
      <c r="F49" s="1965" t="s">
        <v>2049</v>
      </c>
      <c r="G49" s="1258" t="s">
        <v>310</v>
      </c>
      <c r="H49" s="1966" t="s">
        <v>2050</v>
      </c>
      <c r="I49" s="1258" t="s">
        <v>2051</v>
      </c>
      <c r="J49" s="530" t="s">
        <v>1721</v>
      </c>
      <c r="K49" s="530" t="s">
        <v>1722</v>
      </c>
      <c r="L49" s="530" t="s">
        <v>1723</v>
      </c>
      <c r="M49" s="530" t="s">
        <v>1724</v>
      </c>
      <c r="N49" s="530" t="s">
        <v>1725</v>
      </c>
      <c r="AA49" s="1053"/>
      <c r="AB49" s="1053"/>
      <c r="AC49" s="1053"/>
      <c r="AD49" s="1053"/>
      <c r="AE49" s="1053"/>
      <c r="AF49" s="1053"/>
      <c r="AG49" s="1053"/>
      <c r="AH49" s="1053"/>
      <c r="AI49" s="1053"/>
      <c r="AJ49" s="1053"/>
      <c r="AK49" s="1053"/>
    </row>
    <row r="50" spans="1:37" s="1052" customFormat="1" ht="51">
      <c r="A50" s="1964" t="s">
        <v>2052</v>
      </c>
      <c r="B50" s="1967" t="str">
        <f>估价对象房地状况!C4</f>
        <v>估价对象位于北京城市副中心商务中心区，周边商业氛围较成熟，人流量较大，商业繁华度较好</v>
      </c>
      <c r="C50" s="1881" t="s">
        <v>3426</v>
      </c>
      <c r="D50" s="998">
        <f t="shared" ref="D50:D58" si="8">SUMIF($J$49:$N$49,C50,J50:N50)</f>
        <v>1.47E-2</v>
      </c>
      <c r="E50" s="698">
        <f>ROUND(SUM(D50:D58),4)</f>
        <v>5.6800000000000003E-2</v>
      </c>
      <c r="F50" s="1671">
        <f>IF(E2="商业",SUMIF(L1:L12,G2,N1:N12),"——")</f>
        <v>9.8000000000000004E-2</v>
      </c>
      <c r="G50" s="996">
        <v>1.47E-2</v>
      </c>
      <c r="H50" s="999">
        <f t="shared" ref="H50:H58" si="9">IFERROR(ROUNDDOWN($F$50*I50/2,4),"——")</f>
        <v>1.47E-2</v>
      </c>
      <c r="I50" s="3061">
        <v>0.3</v>
      </c>
      <c r="J50" s="997">
        <f t="shared" ref="J50:J58" si="10">K50+$G50</f>
        <v>2.9399999999999999E-2</v>
      </c>
      <c r="K50" s="997">
        <f t="shared" ref="K50:K58" si="11">$L50+$G50</f>
        <v>1.47E-2</v>
      </c>
      <c r="L50" s="997">
        <v>0</v>
      </c>
      <c r="M50" s="997">
        <f t="shared" ref="M50:N58" si="12">L50-$G50</f>
        <v>-1.47E-2</v>
      </c>
      <c r="N50" s="997">
        <f t="shared" si="12"/>
        <v>-2.9399999999999999E-2</v>
      </c>
      <c r="AA50" s="1053"/>
      <c r="AB50" s="1053"/>
      <c r="AC50" s="1053"/>
      <c r="AD50" s="1053"/>
      <c r="AE50" s="1053"/>
      <c r="AF50" s="1053"/>
      <c r="AG50" s="1053"/>
      <c r="AH50" s="1053"/>
      <c r="AI50" s="1053"/>
      <c r="AJ50" s="1053"/>
      <c r="AK50" s="1053"/>
    </row>
    <row r="51" spans="1:37" s="1052" customFormat="1" ht="51">
      <c r="A51" s="1964" t="s">
        <v>2053</v>
      </c>
      <c r="B51" s="1258" t="str">
        <f>估价对象房地状况!C18</f>
        <v>估价对象周边有196路、B38路、Y25路等多条公交线路，综合评价交通便捷度一般</v>
      </c>
      <c r="C51" s="1881" t="s">
        <v>3426</v>
      </c>
      <c r="D51" s="998">
        <f t="shared" si="8"/>
        <v>1.0699999999999999E-2</v>
      </c>
      <c r="E51" s="699"/>
      <c r="F51" s="1671"/>
      <c r="G51" s="996">
        <v>1.0699999999999999E-2</v>
      </c>
      <c r="H51" s="999">
        <f t="shared" si="9"/>
        <v>1.0699999999999999E-2</v>
      </c>
      <c r="I51" s="3061">
        <v>0.22</v>
      </c>
      <c r="J51" s="997">
        <f t="shared" si="10"/>
        <v>2.1399999999999999E-2</v>
      </c>
      <c r="K51" s="997">
        <f t="shared" si="11"/>
        <v>1.0699999999999999E-2</v>
      </c>
      <c r="L51" s="997">
        <v>0</v>
      </c>
      <c r="M51" s="997">
        <f t="shared" si="12"/>
        <v>-1.0699999999999999E-2</v>
      </c>
      <c r="N51" s="997">
        <f t="shared" si="12"/>
        <v>-2.1399999999999999E-2</v>
      </c>
      <c r="AA51" s="1053"/>
      <c r="AB51" s="1053"/>
      <c r="AC51" s="1053"/>
      <c r="AD51" s="1053"/>
      <c r="AE51" s="1053"/>
      <c r="AF51" s="1053"/>
      <c r="AG51" s="1053"/>
      <c r="AH51" s="1053"/>
      <c r="AI51" s="1053"/>
      <c r="AJ51" s="1053"/>
      <c r="AK51" s="1053"/>
    </row>
    <row r="52" spans="1:37" s="1052" customFormat="1" ht="36">
      <c r="A52" s="3063" t="s">
        <v>3264</v>
      </c>
      <c r="B52" s="1258">
        <f>估价对象房地状况!C19</f>
        <v>0</v>
      </c>
      <c r="C52" s="1881" t="s">
        <v>3427</v>
      </c>
      <c r="D52" s="998">
        <f t="shared" si="8"/>
        <v>1.1599999999999999E-2</v>
      </c>
      <c r="E52" s="699"/>
      <c r="F52" s="1671"/>
      <c r="G52" s="996">
        <v>5.7999999999999996E-3</v>
      </c>
      <c r="H52" s="999">
        <f t="shared" si="9"/>
        <v>5.7999999999999996E-3</v>
      </c>
      <c r="I52" s="3061">
        <v>0.12</v>
      </c>
      <c r="J52" s="997">
        <f t="shared" si="10"/>
        <v>1.1599999999999999E-2</v>
      </c>
      <c r="K52" s="997">
        <f t="shared" si="11"/>
        <v>5.7999999999999996E-3</v>
      </c>
      <c r="L52" s="997">
        <v>0</v>
      </c>
      <c r="M52" s="997">
        <f t="shared" si="12"/>
        <v>-5.7999999999999996E-3</v>
      </c>
      <c r="N52" s="997">
        <f t="shared" si="12"/>
        <v>-1.1599999999999999E-2</v>
      </c>
      <c r="AA52" s="1053"/>
      <c r="AB52" s="1053"/>
      <c r="AC52" s="1053"/>
      <c r="AD52" s="1053"/>
      <c r="AE52" s="1053"/>
      <c r="AF52" s="1053"/>
      <c r="AG52" s="1053"/>
      <c r="AH52" s="1053"/>
      <c r="AI52" s="1053"/>
      <c r="AJ52" s="1053"/>
      <c r="AK52" s="1053"/>
    </row>
    <row r="53" spans="1:37" s="1052" customFormat="1" ht="36.75">
      <c r="A53" s="1964" t="s">
        <v>2054</v>
      </c>
      <c r="B53" s="1968" t="s">
        <v>2055</v>
      </c>
      <c r="C53" s="1881" t="s">
        <v>3426</v>
      </c>
      <c r="D53" s="998">
        <f t="shared" si="8"/>
        <v>2.3999999999999998E-3</v>
      </c>
      <c r="E53" s="699"/>
      <c r="F53" s="1671"/>
      <c r="G53" s="996">
        <v>2.3999999999999998E-3</v>
      </c>
      <c r="H53" s="999">
        <f t="shared" si="9"/>
        <v>2.3999999999999998E-3</v>
      </c>
      <c r="I53" s="3061">
        <v>0.05</v>
      </c>
      <c r="J53" s="997">
        <f t="shared" si="10"/>
        <v>4.7999999999999996E-3</v>
      </c>
      <c r="K53" s="997">
        <f t="shared" si="11"/>
        <v>2.3999999999999998E-3</v>
      </c>
      <c r="L53" s="997">
        <v>0</v>
      </c>
      <c r="M53" s="997">
        <f t="shared" si="12"/>
        <v>-2.3999999999999998E-3</v>
      </c>
      <c r="N53" s="997">
        <f t="shared" si="12"/>
        <v>-4.7999999999999996E-3</v>
      </c>
      <c r="AA53" s="1053"/>
      <c r="AB53" s="1053"/>
      <c r="AC53" s="1053"/>
      <c r="AD53" s="1053"/>
      <c r="AE53" s="1053"/>
      <c r="AF53" s="1053"/>
      <c r="AG53" s="1053"/>
      <c r="AH53" s="1053"/>
      <c r="AI53" s="1053"/>
      <c r="AJ53" s="1053"/>
      <c r="AK53" s="1053"/>
    </row>
    <row r="54" spans="1:37" s="1052" customFormat="1" ht="24">
      <c r="A54" s="1964" t="s">
        <v>2056</v>
      </c>
      <c r="B54" s="1258">
        <f>估价对象房地状况!C24</f>
        <v>0</v>
      </c>
      <c r="C54" s="1881" t="s">
        <v>3428</v>
      </c>
      <c r="D54" s="998">
        <f t="shared" si="8"/>
        <v>0</v>
      </c>
      <c r="E54" s="699"/>
      <c r="F54" s="1671"/>
      <c r="G54" s="996">
        <v>3.8999999999999998E-3</v>
      </c>
      <c r="H54" s="999">
        <f t="shared" si="9"/>
        <v>3.8999999999999998E-3</v>
      </c>
      <c r="I54" s="3061">
        <v>0.08</v>
      </c>
      <c r="J54" s="997">
        <f t="shared" si="10"/>
        <v>7.7999999999999996E-3</v>
      </c>
      <c r="K54" s="997">
        <f t="shared" si="11"/>
        <v>3.8999999999999998E-3</v>
      </c>
      <c r="L54" s="997">
        <v>0</v>
      </c>
      <c r="M54" s="997">
        <f t="shared" si="12"/>
        <v>-3.8999999999999998E-3</v>
      </c>
      <c r="N54" s="997">
        <f t="shared" si="12"/>
        <v>-7.7999999999999996E-3</v>
      </c>
      <c r="AA54" s="1053"/>
      <c r="AB54" s="1053"/>
      <c r="AC54" s="1053"/>
      <c r="AD54" s="1053"/>
      <c r="AE54" s="1053"/>
      <c r="AF54" s="1053"/>
      <c r="AG54" s="1053"/>
      <c r="AH54" s="1053"/>
      <c r="AI54" s="1053"/>
      <c r="AJ54" s="1053"/>
      <c r="AK54" s="1053"/>
    </row>
    <row r="55" spans="1:37" s="1052" customFormat="1" ht="24">
      <c r="A55" s="1964" t="s">
        <v>2057</v>
      </c>
      <c r="B55" s="1969" t="s">
        <v>2058</v>
      </c>
      <c r="C55" s="1881" t="s">
        <v>3426</v>
      </c>
      <c r="D55" s="998">
        <f t="shared" si="8"/>
        <v>2.3999999999999998E-3</v>
      </c>
      <c r="E55" s="699"/>
      <c r="F55" s="1671"/>
      <c r="G55" s="996">
        <v>2.3999999999999998E-3</v>
      </c>
      <c r="H55" s="999">
        <f t="shared" si="9"/>
        <v>2.3999999999999998E-3</v>
      </c>
      <c r="I55" s="3061">
        <v>0.05</v>
      </c>
      <c r="J55" s="997">
        <f t="shared" si="10"/>
        <v>4.7999999999999996E-3</v>
      </c>
      <c r="K55" s="997">
        <f t="shared" si="11"/>
        <v>2.3999999999999998E-3</v>
      </c>
      <c r="L55" s="997">
        <v>0</v>
      </c>
      <c r="M55" s="997">
        <f t="shared" si="12"/>
        <v>-2.3999999999999998E-3</v>
      </c>
      <c r="N55" s="997">
        <f t="shared" si="12"/>
        <v>-4.7999999999999996E-3</v>
      </c>
      <c r="AA55" s="1053"/>
      <c r="AB55" s="1053"/>
      <c r="AC55" s="1053"/>
      <c r="AD55" s="1053"/>
      <c r="AE55" s="1053"/>
      <c r="AF55" s="1053"/>
      <c r="AG55" s="1053"/>
      <c r="AH55" s="1053"/>
      <c r="AI55" s="1053"/>
      <c r="AJ55" s="1053"/>
      <c r="AK55" s="1053"/>
    </row>
    <row r="56" spans="1:37" s="1052" customFormat="1" ht="204">
      <c r="A56" s="1970" t="s">
        <v>2059</v>
      </c>
      <c r="B56"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56" s="1881" t="s">
        <v>3427</v>
      </c>
      <c r="D56" s="998">
        <f t="shared" si="8"/>
        <v>4.7999999999999996E-3</v>
      </c>
      <c r="E56" s="699"/>
      <c r="F56" s="1671"/>
      <c r="G56" s="996">
        <v>2.3999999999999998E-3</v>
      </c>
      <c r="H56" s="999">
        <f t="shared" si="9"/>
        <v>2.3999999999999998E-3</v>
      </c>
      <c r="I56" s="3061">
        <v>0.05</v>
      </c>
      <c r="J56" s="997">
        <f t="shared" si="10"/>
        <v>4.7999999999999996E-3</v>
      </c>
      <c r="K56" s="997">
        <f t="shared" si="11"/>
        <v>2.3999999999999998E-3</v>
      </c>
      <c r="L56" s="997">
        <v>0</v>
      </c>
      <c r="M56" s="997">
        <f t="shared" si="12"/>
        <v>-2.3999999999999998E-3</v>
      </c>
      <c r="N56" s="997">
        <f t="shared" si="12"/>
        <v>-4.7999999999999996E-3</v>
      </c>
      <c r="AA56" s="1053"/>
      <c r="AB56" s="1053"/>
      <c r="AC56" s="1053"/>
      <c r="AD56" s="1053"/>
      <c r="AE56" s="1053"/>
      <c r="AF56" s="1053"/>
      <c r="AG56" s="1053"/>
      <c r="AH56" s="1053"/>
      <c r="AI56" s="1053"/>
      <c r="AJ56" s="1053"/>
      <c r="AK56" s="1053"/>
    </row>
    <row r="57" spans="1:37" s="1052" customFormat="1" ht="25.5">
      <c r="A57" s="1970" t="s">
        <v>2060</v>
      </c>
      <c r="B57" s="1258" t="str">
        <f>估价对象房地状况!C22</f>
        <v>估价对象所在区域基础设施水平</v>
      </c>
      <c r="C57" s="1881" t="s">
        <v>3427</v>
      </c>
      <c r="D57" s="998">
        <f t="shared" si="8"/>
        <v>7.7999999999999996E-3</v>
      </c>
      <c r="E57" s="699"/>
      <c r="F57" s="1671"/>
      <c r="G57" s="996">
        <v>3.8999999999999998E-3</v>
      </c>
      <c r="H57" s="999">
        <f t="shared" si="9"/>
        <v>3.8999999999999998E-3</v>
      </c>
      <c r="I57" s="3061">
        <v>0.08</v>
      </c>
      <c r="J57" s="997">
        <f t="shared" si="10"/>
        <v>7.7999999999999996E-3</v>
      </c>
      <c r="K57" s="997">
        <f t="shared" si="11"/>
        <v>3.8999999999999998E-3</v>
      </c>
      <c r="L57" s="997">
        <v>0</v>
      </c>
      <c r="M57" s="997">
        <f t="shared" si="12"/>
        <v>-3.8999999999999998E-3</v>
      </c>
      <c r="N57" s="997">
        <f t="shared" si="12"/>
        <v>-7.7999999999999996E-3</v>
      </c>
      <c r="AA57" s="1053"/>
      <c r="AB57" s="1053"/>
      <c r="AC57" s="1053"/>
      <c r="AD57" s="1053"/>
      <c r="AE57" s="1053"/>
      <c r="AF57" s="1053"/>
      <c r="AG57" s="1053"/>
      <c r="AH57" s="1053"/>
      <c r="AI57" s="1053"/>
      <c r="AJ57" s="1053"/>
      <c r="AK57" s="1053"/>
    </row>
    <row r="58" spans="1:37" s="1052" customFormat="1" ht="51.75" thickBot="1">
      <c r="A58" s="1971" t="s">
        <v>2061</v>
      </c>
      <c r="B58" s="1972" t="str">
        <f>估价对象房地状况!C20</f>
        <v>估价对象周边有河南省体育场馆中心、郑州海洋馆等人文景观，东风渠水系等自然景观，综合评价环境状况较好。</v>
      </c>
      <c r="C58" s="1881" t="s">
        <v>3426</v>
      </c>
      <c r="D58" s="998">
        <f t="shared" si="8"/>
        <v>2.3999999999999998E-3</v>
      </c>
      <c r="E58" s="700"/>
      <c r="F58" s="1671"/>
      <c r="G58" s="996">
        <v>2.3999999999999998E-3</v>
      </c>
      <c r="H58" s="999">
        <f t="shared" si="9"/>
        <v>2.3999999999999998E-3</v>
      </c>
      <c r="I58" s="3062">
        <v>0.05</v>
      </c>
      <c r="J58" s="997">
        <f t="shared" si="10"/>
        <v>4.7999999999999996E-3</v>
      </c>
      <c r="K58" s="997">
        <f t="shared" si="11"/>
        <v>2.3999999999999998E-3</v>
      </c>
      <c r="L58" s="997">
        <v>0</v>
      </c>
      <c r="M58" s="997">
        <f t="shared" si="12"/>
        <v>-2.3999999999999998E-3</v>
      </c>
      <c r="N58" s="997">
        <f t="shared" si="12"/>
        <v>-4.7999999999999996E-3</v>
      </c>
      <c r="AA58" s="1053"/>
      <c r="AB58" s="1053"/>
      <c r="AC58" s="1053"/>
      <c r="AD58" s="1053"/>
      <c r="AE58" s="1053"/>
      <c r="AF58" s="1053"/>
      <c r="AG58" s="1053"/>
      <c r="AH58" s="1053"/>
      <c r="AI58" s="1053"/>
      <c r="AJ58" s="1053"/>
      <c r="AK58" s="1053"/>
    </row>
    <row r="59" spans="1:37" s="1052" customFormat="1" ht="15">
      <c r="A59" s="1961" t="s">
        <v>2062</v>
      </c>
      <c r="B59" s="1962">
        <f>1+E61</f>
        <v>1</v>
      </c>
      <c r="C59" s="695"/>
      <c r="D59" s="695"/>
      <c r="E59" s="696"/>
      <c r="F59" s="1963"/>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4" t="s">
        <v>2044</v>
      </c>
      <c r="B60" s="1258"/>
      <c r="C60" s="1258" t="s">
        <v>2046</v>
      </c>
      <c r="D60" s="1258" t="s">
        <v>2047</v>
      </c>
      <c r="E60" s="697" t="s">
        <v>2048</v>
      </c>
      <c r="F60" s="1965" t="s">
        <v>2063</v>
      </c>
      <c r="G60" s="1258" t="s">
        <v>310</v>
      </c>
      <c r="H60" s="1966" t="s">
        <v>2050</v>
      </c>
      <c r="I60" s="1258" t="s">
        <v>2051</v>
      </c>
      <c r="J60" s="530" t="s">
        <v>1721</v>
      </c>
      <c r="K60" s="530" t="s">
        <v>1722</v>
      </c>
      <c r="L60" s="530" t="s">
        <v>1723</v>
      </c>
      <c r="M60" s="530" t="s">
        <v>1724</v>
      </c>
      <c r="N60" s="530" t="s">
        <v>1725</v>
      </c>
      <c r="AA60" s="1053"/>
      <c r="AB60" s="1053"/>
      <c r="AC60" s="1053"/>
      <c r="AD60" s="1053"/>
      <c r="AE60" s="1053"/>
      <c r="AF60" s="1053"/>
      <c r="AG60" s="1053"/>
      <c r="AH60" s="1053"/>
      <c r="AI60" s="1053"/>
      <c r="AJ60" s="1053"/>
      <c r="AK60" s="1053"/>
    </row>
    <row r="61" spans="1:37" s="1052" customFormat="1" ht="51">
      <c r="A61" s="1964" t="s">
        <v>2064</v>
      </c>
      <c r="B61" s="1967" t="str">
        <f>估价对象房地状况!C17</f>
        <v>估价对象位于北京城市副中心商务中心区，周边办公楼项目较多，入驻率较高，办公集聚程度较好</v>
      </c>
      <c r="C61" s="1881"/>
      <c r="D61" s="998">
        <f t="shared" ref="D61:D69" si="13">SUMIF($J$60:$N$60,C61,J61:N61)</f>
        <v>0</v>
      </c>
      <c r="E61" s="698">
        <f>ROUND(SUM(D61:D69),4)</f>
        <v>0</v>
      </c>
      <c r="F61" s="1671" t="str">
        <f>IF(E2="办公",SUMIF(L1:L12,G2,N1:N12),"——")</f>
        <v>——</v>
      </c>
      <c r="G61" s="996"/>
      <c r="H61" s="999" t="str">
        <f t="shared" ref="H61:H69" si="14">IFERROR(ROUNDDOWN($F$61*I61/2,4),"——")</f>
        <v>——</v>
      </c>
      <c r="I61" s="3061">
        <v>0.25</v>
      </c>
      <c r="J61" s="997">
        <f t="shared" ref="J61:J69" si="15">K61+$G61</f>
        <v>0</v>
      </c>
      <c r="K61" s="997">
        <f t="shared" ref="K61:K69" si="16">$L61+$G61</f>
        <v>0</v>
      </c>
      <c r="L61" s="997">
        <v>0</v>
      </c>
      <c r="M61" s="997">
        <f t="shared" ref="M61:N69" si="17">L61-$G61</f>
        <v>0</v>
      </c>
      <c r="N61" s="997">
        <f t="shared" si="17"/>
        <v>0</v>
      </c>
      <c r="AA61" s="1053"/>
      <c r="AB61" s="1053"/>
      <c r="AC61" s="1053"/>
      <c r="AD61" s="1053"/>
      <c r="AE61" s="1053"/>
      <c r="AF61" s="1053"/>
      <c r="AG61" s="1053"/>
      <c r="AH61" s="1053"/>
      <c r="AI61" s="1053"/>
      <c r="AJ61" s="1053"/>
      <c r="AK61" s="1053"/>
    </row>
    <row r="62" spans="1:37" s="1052" customFormat="1" ht="51">
      <c r="A62" s="1964" t="s">
        <v>2053</v>
      </c>
      <c r="B62" s="1258" t="str">
        <f>估价对象房地状况!C18</f>
        <v>估价对象周边有196路、B38路、Y25路等多条公交线路，综合评价交通便捷度一般</v>
      </c>
      <c r="C62" s="1881"/>
      <c r="D62" s="998">
        <f t="shared" si="13"/>
        <v>0</v>
      </c>
      <c r="E62" s="699"/>
      <c r="F62" s="1671"/>
      <c r="G62" s="996"/>
      <c r="H62" s="999" t="str">
        <f t="shared" si="14"/>
        <v>——</v>
      </c>
      <c r="I62" s="3061">
        <v>0.26</v>
      </c>
      <c r="J62" s="997">
        <f t="shared" si="15"/>
        <v>0</v>
      </c>
      <c r="K62" s="997">
        <f t="shared" si="16"/>
        <v>0</v>
      </c>
      <c r="L62" s="997">
        <v>0</v>
      </c>
      <c r="M62" s="997">
        <f t="shared" si="17"/>
        <v>0</v>
      </c>
      <c r="N62" s="997">
        <f t="shared" si="17"/>
        <v>0</v>
      </c>
      <c r="AA62" s="1053"/>
      <c r="AB62" s="1053"/>
      <c r="AC62" s="1053"/>
      <c r="AD62" s="1053"/>
      <c r="AE62" s="1053"/>
      <c r="AF62" s="1053"/>
      <c r="AG62" s="1053"/>
      <c r="AH62" s="1053"/>
      <c r="AI62" s="1053"/>
      <c r="AJ62" s="1053"/>
      <c r="AK62" s="1053"/>
    </row>
    <row r="63" spans="1:37" s="1052" customFormat="1" ht="36">
      <c r="A63" s="3063" t="s">
        <v>3264</v>
      </c>
      <c r="B63" s="1258">
        <f>估价对象房地状况!C19</f>
        <v>0</v>
      </c>
      <c r="C63" s="1881"/>
      <c r="D63" s="998">
        <f t="shared" si="13"/>
        <v>0</v>
      </c>
      <c r="E63" s="699"/>
      <c r="F63" s="1671"/>
      <c r="G63" s="996"/>
      <c r="H63" s="999" t="str">
        <f t="shared" si="14"/>
        <v>——</v>
      </c>
      <c r="I63" s="3061">
        <v>0.11</v>
      </c>
      <c r="J63" s="997">
        <f t="shared" si="15"/>
        <v>0</v>
      </c>
      <c r="K63" s="997">
        <f t="shared" si="16"/>
        <v>0</v>
      </c>
      <c r="L63" s="997">
        <v>0</v>
      </c>
      <c r="M63" s="997">
        <f t="shared" si="17"/>
        <v>0</v>
      </c>
      <c r="N63" s="997">
        <f t="shared" si="17"/>
        <v>0</v>
      </c>
      <c r="AA63" s="1053"/>
      <c r="AB63" s="1053"/>
      <c r="AC63" s="1053"/>
      <c r="AD63" s="1053"/>
      <c r="AE63" s="1053"/>
      <c r="AF63" s="1053"/>
      <c r="AG63" s="1053"/>
      <c r="AH63" s="1053"/>
      <c r="AI63" s="1053"/>
      <c r="AJ63" s="1053"/>
      <c r="AK63" s="1053"/>
    </row>
    <row r="64" spans="1:37" s="1052" customFormat="1" ht="36.75">
      <c r="A64" s="1964" t="s">
        <v>2054</v>
      </c>
      <c r="B64" s="1968" t="s">
        <v>2055</v>
      </c>
      <c r="C64" s="1881"/>
      <c r="D64" s="998">
        <f t="shared" si="13"/>
        <v>0</v>
      </c>
      <c r="E64" s="699"/>
      <c r="F64" s="1671"/>
      <c r="G64" s="996"/>
      <c r="H64" s="999" t="str">
        <f t="shared" si="14"/>
        <v>——</v>
      </c>
      <c r="I64" s="3061">
        <v>0.05</v>
      </c>
      <c r="J64" s="997">
        <f t="shared" si="15"/>
        <v>0</v>
      </c>
      <c r="K64" s="997">
        <f t="shared" si="16"/>
        <v>0</v>
      </c>
      <c r="L64" s="997">
        <v>0</v>
      </c>
      <c r="M64" s="997">
        <f t="shared" si="17"/>
        <v>0</v>
      </c>
      <c r="N64" s="997">
        <f t="shared" si="17"/>
        <v>0</v>
      </c>
      <c r="AA64" s="1053"/>
      <c r="AB64" s="1053"/>
      <c r="AC64" s="1053"/>
      <c r="AD64" s="1053"/>
      <c r="AE64" s="1053"/>
      <c r="AF64" s="1053"/>
      <c r="AG64" s="1053"/>
      <c r="AH64" s="1053"/>
      <c r="AI64" s="1053"/>
      <c r="AJ64" s="1053"/>
      <c r="AK64" s="1053"/>
    </row>
    <row r="65" spans="1:37" s="1052" customFormat="1" ht="24">
      <c r="A65" s="1964" t="s">
        <v>2056</v>
      </c>
      <c r="B65" s="1258">
        <f>估价对象房地状况!C24</f>
        <v>0</v>
      </c>
      <c r="C65" s="1881"/>
      <c r="D65" s="998">
        <f t="shared" si="13"/>
        <v>0</v>
      </c>
      <c r="E65" s="699"/>
      <c r="F65" s="1671"/>
      <c r="G65" s="996"/>
      <c r="H65" s="999" t="str">
        <f t="shared" si="14"/>
        <v>——</v>
      </c>
      <c r="I65" s="3061">
        <v>0.05</v>
      </c>
      <c r="J65" s="997">
        <f t="shared" si="15"/>
        <v>0</v>
      </c>
      <c r="K65" s="997">
        <f t="shared" si="16"/>
        <v>0</v>
      </c>
      <c r="L65" s="997">
        <v>0</v>
      </c>
      <c r="M65" s="997">
        <f t="shared" si="17"/>
        <v>0</v>
      </c>
      <c r="N65" s="997">
        <f t="shared" si="17"/>
        <v>0</v>
      </c>
      <c r="AA65" s="1053"/>
      <c r="AB65" s="1053"/>
      <c r="AC65" s="1053"/>
      <c r="AD65" s="1053"/>
      <c r="AE65" s="1053"/>
      <c r="AF65" s="1053"/>
      <c r="AG65" s="1053"/>
      <c r="AH65" s="1053"/>
      <c r="AI65" s="1053"/>
      <c r="AJ65" s="1053"/>
      <c r="AK65" s="1053"/>
    </row>
    <row r="66" spans="1:37" s="1052" customFormat="1" ht="24">
      <c r="A66" s="1964" t="s">
        <v>2057</v>
      </c>
      <c r="B66" s="1969" t="s">
        <v>2058</v>
      </c>
      <c r="C66" s="1881"/>
      <c r="D66" s="998">
        <f t="shared" si="13"/>
        <v>0</v>
      </c>
      <c r="E66" s="699"/>
      <c r="F66" s="1671"/>
      <c r="G66" s="996"/>
      <c r="H66" s="999" t="str">
        <f t="shared" si="14"/>
        <v>——</v>
      </c>
      <c r="I66" s="3061">
        <v>0.06</v>
      </c>
      <c r="J66" s="997">
        <f t="shared" si="15"/>
        <v>0</v>
      </c>
      <c r="K66" s="997">
        <f t="shared" si="16"/>
        <v>0</v>
      </c>
      <c r="L66" s="997">
        <v>0</v>
      </c>
      <c r="M66" s="997">
        <f t="shared" si="17"/>
        <v>0</v>
      </c>
      <c r="N66" s="997">
        <f t="shared" si="17"/>
        <v>0</v>
      </c>
      <c r="AA66" s="1053"/>
      <c r="AB66" s="1053"/>
      <c r="AC66" s="1053"/>
      <c r="AD66" s="1053"/>
      <c r="AE66" s="1053"/>
      <c r="AF66" s="1053"/>
      <c r="AG66" s="1053"/>
      <c r="AH66" s="1053"/>
      <c r="AI66" s="1053"/>
      <c r="AJ66" s="1053"/>
      <c r="AK66" s="1053"/>
    </row>
    <row r="67" spans="1:37" s="1052" customFormat="1" ht="204">
      <c r="A67" s="1964" t="s">
        <v>2059</v>
      </c>
      <c r="B67"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67" s="1881"/>
      <c r="D67" s="998">
        <f t="shared" si="13"/>
        <v>0</v>
      </c>
      <c r="E67" s="699"/>
      <c r="F67" s="1671"/>
      <c r="G67" s="996"/>
      <c r="H67" s="999" t="str">
        <f t="shared" si="14"/>
        <v>——</v>
      </c>
      <c r="I67" s="3061">
        <v>0.06</v>
      </c>
      <c r="J67" s="997">
        <f t="shared" si="15"/>
        <v>0</v>
      </c>
      <c r="K67" s="997">
        <f t="shared" si="16"/>
        <v>0</v>
      </c>
      <c r="L67" s="997">
        <v>0</v>
      </c>
      <c r="M67" s="997">
        <f t="shared" si="17"/>
        <v>0</v>
      </c>
      <c r="N67" s="997">
        <f t="shared" si="17"/>
        <v>0</v>
      </c>
      <c r="AA67" s="1053"/>
      <c r="AB67" s="1053"/>
      <c r="AC67" s="1053"/>
      <c r="AD67" s="1053"/>
      <c r="AE67" s="1053"/>
      <c r="AF67" s="1053"/>
      <c r="AG67" s="1053"/>
      <c r="AH67" s="1053"/>
      <c r="AI67" s="1053"/>
      <c r="AJ67" s="1053"/>
      <c r="AK67" s="1053"/>
    </row>
    <row r="68" spans="1:37" s="1052" customFormat="1" ht="25.5">
      <c r="A68" s="1964" t="s">
        <v>2060</v>
      </c>
      <c r="B68" s="1236" t="str">
        <f>估价对象房地状况!C22</f>
        <v>估价对象所在区域基础设施水平</v>
      </c>
      <c r="C68" s="1881"/>
      <c r="D68" s="998">
        <f t="shared" si="13"/>
        <v>0</v>
      </c>
      <c r="E68" s="699"/>
      <c r="F68" s="1671"/>
      <c r="G68" s="996"/>
      <c r="H68" s="999" t="str">
        <f t="shared" si="14"/>
        <v>——</v>
      </c>
      <c r="I68" s="3061">
        <v>0.09</v>
      </c>
      <c r="J68" s="997">
        <f t="shared" si="15"/>
        <v>0</v>
      </c>
      <c r="K68" s="997">
        <f t="shared" si="16"/>
        <v>0</v>
      </c>
      <c r="L68" s="997">
        <v>0</v>
      </c>
      <c r="M68" s="997">
        <f t="shared" si="17"/>
        <v>0</v>
      </c>
      <c r="N68" s="997">
        <f t="shared" si="17"/>
        <v>0</v>
      </c>
      <c r="AA68" s="1053"/>
      <c r="AB68" s="1053"/>
      <c r="AC68" s="1053"/>
      <c r="AD68" s="1053"/>
      <c r="AE68" s="1053"/>
      <c r="AF68" s="1053"/>
      <c r="AG68" s="1053"/>
      <c r="AH68" s="1053"/>
      <c r="AI68" s="1053"/>
      <c r="AJ68" s="1053"/>
      <c r="AK68" s="1053"/>
    </row>
    <row r="69" spans="1:37" s="1052" customFormat="1" ht="51.75" thickBot="1">
      <c r="A69" s="1971" t="s">
        <v>2061</v>
      </c>
      <c r="B69" s="1973" t="str">
        <f>估价对象房地状况!C20</f>
        <v>估价对象周边有河南省体育场馆中心、郑州海洋馆等人文景观，东风渠水系等自然景观，综合评价环境状况较好。</v>
      </c>
      <c r="C69" s="1881"/>
      <c r="D69" s="998">
        <f t="shared" si="13"/>
        <v>0</v>
      </c>
      <c r="E69" s="700"/>
      <c r="F69" s="1671"/>
      <c r="G69" s="996"/>
      <c r="H69" s="999" t="str">
        <f t="shared" si="14"/>
        <v>——</v>
      </c>
      <c r="I69" s="3062">
        <v>7.0000000000000007E-2</v>
      </c>
      <c r="J69" s="997">
        <f t="shared" si="15"/>
        <v>0</v>
      </c>
      <c r="K69" s="997">
        <f t="shared" si="16"/>
        <v>0</v>
      </c>
      <c r="L69" s="997">
        <v>0</v>
      </c>
      <c r="M69" s="997">
        <f t="shared" si="17"/>
        <v>0</v>
      </c>
      <c r="N69" s="997">
        <f t="shared" si="17"/>
        <v>0</v>
      </c>
      <c r="AA69" s="1053"/>
      <c r="AB69" s="1053"/>
      <c r="AC69" s="1053"/>
      <c r="AD69" s="1053"/>
      <c r="AE69" s="1053"/>
      <c r="AF69" s="1053"/>
      <c r="AG69" s="1053"/>
      <c r="AH69" s="1053"/>
      <c r="AI69" s="1053"/>
      <c r="AJ69" s="1053"/>
      <c r="AK69" s="1053"/>
    </row>
    <row r="70" spans="1:37" s="1052" customFormat="1" ht="15">
      <c r="A70" s="1961" t="s">
        <v>2065</v>
      </c>
      <c r="B70" s="1962">
        <f>1+E72</f>
        <v>1</v>
      </c>
      <c r="C70" s="695"/>
      <c r="D70" s="695"/>
      <c r="E70" s="696"/>
      <c r="F70" s="1963"/>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4" t="s">
        <v>2044</v>
      </c>
      <c r="B71" s="1258"/>
      <c r="C71" s="1258" t="s">
        <v>2046</v>
      </c>
      <c r="D71" s="1258" t="s">
        <v>2047</v>
      </c>
      <c r="E71" s="697" t="s">
        <v>2048</v>
      </c>
      <c r="F71" s="1965" t="s">
        <v>2063</v>
      </c>
      <c r="G71" s="1258" t="s">
        <v>310</v>
      </c>
      <c r="H71" s="1966" t="s">
        <v>2050</v>
      </c>
      <c r="I71" s="1258" t="s">
        <v>2051</v>
      </c>
      <c r="J71" s="530" t="s">
        <v>1721</v>
      </c>
      <c r="K71" s="530" t="s">
        <v>1722</v>
      </c>
      <c r="L71" s="530" t="s">
        <v>1723</v>
      </c>
      <c r="M71" s="530" t="s">
        <v>1724</v>
      </c>
      <c r="N71" s="530" t="s">
        <v>1725</v>
      </c>
      <c r="AA71" s="1053"/>
      <c r="AB71" s="1053"/>
      <c r="AC71" s="1053"/>
      <c r="AD71" s="1053"/>
      <c r="AE71" s="1053"/>
      <c r="AF71" s="1053"/>
      <c r="AG71" s="1053"/>
      <c r="AH71" s="1053"/>
      <c r="AI71" s="1053"/>
      <c r="AJ71" s="1053"/>
      <c r="AK71" s="1053"/>
    </row>
    <row r="72" spans="1:37" s="1052" customFormat="1" ht="51">
      <c r="A72" s="1964" t="s">
        <v>2066</v>
      </c>
      <c r="B72" s="1967" t="str">
        <f>估价对象房地状况!C15</f>
        <v>周边有阳光嘉苑、瑞祥花园、园田花园、四月天等住宅小区，居住社区成熟度较好。</v>
      </c>
      <c r="C72" s="1881"/>
      <c r="D72" s="998">
        <f t="shared" ref="D72:D80" si="18">SUMIF($J$71:$N$71,C72,J72:N72)</f>
        <v>0</v>
      </c>
      <c r="E72" s="698">
        <f>ROUND(SUM(D72:D80),4)</f>
        <v>0</v>
      </c>
      <c r="F72" s="1671" t="str">
        <f>IF(E2="住宅",SUMIF(L1:L12,G2,N1:N12),"——")</f>
        <v>——</v>
      </c>
      <c r="G72" s="996"/>
      <c r="H72" s="999" t="str">
        <f t="shared" ref="H72:H80" si="19">IFERROR(ROUNDDOWN($F$72*I72/2,4),"——")</f>
        <v>——</v>
      </c>
      <c r="I72" s="3061">
        <v>0.2</v>
      </c>
      <c r="J72" s="997">
        <f t="shared" ref="J72:J80" si="20">K72+$G72</f>
        <v>0</v>
      </c>
      <c r="K72" s="997">
        <f t="shared" ref="K72:K80" si="21">$L72+$G72</f>
        <v>0</v>
      </c>
      <c r="L72" s="997">
        <v>0</v>
      </c>
      <c r="M72" s="997">
        <f t="shared" ref="M72:N80" si="22">L72-$G72</f>
        <v>0</v>
      </c>
      <c r="N72" s="997">
        <f t="shared" si="22"/>
        <v>0</v>
      </c>
      <c r="AA72" s="1053"/>
      <c r="AB72" s="1053"/>
      <c r="AC72" s="1053"/>
      <c r="AD72" s="1053"/>
      <c r="AE72" s="1053"/>
      <c r="AF72" s="1053"/>
      <c r="AG72" s="1053"/>
      <c r="AH72" s="1053"/>
      <c r="AI72" s="1053"/>
      <c r="AJ72" s="1053"/>
      <c r="AK72" s="1053"/>
    </row>
    <row r="73" spans="1:37" s="1052" customFormat="1" ht="51">
      <c r="A73" s="1964" t="s">
        <v>2053</v>
      </c>
      <c r="B73" s="1258" t="str">
        <f>估价对象房地状况!C18</f>
        <v>估价对象周边有196路、B38路、Y25路等多条公交线路，综合评价交通便捷度一般</v>
      </c>
      <c r="C73" s="1881"/>
      <c r="D73" s="998">
        <f t="shared" si="18"/>
        <v>0</v>
      </c>
      <c r="E73" s="701"/>
      <c r="F73" s="1671"/>
      <c r="G73" s="996"/>
      <c r="H73" s="999" t="str">
        <f t="shared" si="19"/>
        <v>——</v>
      </c>
      <c r="I73" s="3061">
        <v>0.26</v>
      </c>
      <c r="J73" s="997">
        <f t="shared" si="20"/>
        <v>0</v>
      </c>
      <c r="K73" s="997">
        <f t="shared" si="21"/>
        <v>0</v>
      </c>
      <c r="L73" s="997">
        <v>0</v>
      </c>
      <c r="M73" s="997">
        <f t="shared" si="22"/>
        <v>0</v>
      </c>
      <c r="N73" s="997">
        <f t="shared" si="22"/>
        <v>0</v>
      </c>
      <c r="AA73" s="1053"/>
      <c r="AB73" s="1053"/>
      <c r="AC73" s="1053"/>
      <c r="AD73" s="1053"/>
      <c r="AE73" s="1053"/>
      <c r="AF73" s="1053"/>
      <c r="AG73" s="1053"/>
      <c r="AH73" s="1053"/>
      <c r="AI73" s="1053"/>
      <c r="AJ73" s="1053"/>
      <c r="AK73" s="1053"/>
    </row>
    <row r="74" spans="1:37" s="1838" customFormat="1" ht="36">
      <c r="A74" s="3063" t="s">
        <v>3264</v>
      </c>
      <c r="B74" s="1258">
        <f>估价对象房地状况!C19</f>
        <v>0</v>
      </c>
      <c r="C74" s="1881"/>
      <c r="D74" s="998">
        <f t="shared" si="18"/>
        <v>0</v>
      </c>
      <c r="E74" s="701"/>
      <c r="F74" s="1671"/>
      <c r="G74" s="996"/>
      <c r="H74" s="999" t="str">
        <f t="shared" si="19"/>
        <v>——</v>
      </c>
      <c r="I74" s="3061">
        <v>0.1</v>
      </c>
      <c r="J74" s="997">
        <f t="shared" si="20"/>
        <v>0</v>
      </c>
      <c r="K74" s="997">
        <f t="shared" si="21"/>
        <v>0</v>
      </c>
      <c r="L74" s="997">
        <v>0</v>
      </c>
      <c r="M74" s="997">
        <f t="shared" si="22"/>
        <v>0</v>
      </c>
      <c r="N74" s="997">
        <f t="shared" si="22"/>
        <v>0</v>
      </c>
      <c r="O74" s="1052"/>
      <c r="P74" s="1052"/>
      <c r="Q74" s="1052"/>
      <c r="AA74" s="1974"/>
      <c r="AB74" s="1053"/>
      <c r="AC74" s="1053"/>
      <c r="AD74" s="1053"/>
      <c r="AE74" s="1053"/>
      <c r="AF74" s="1053"/>
      <c r="AG74" s="1053"/>
      <c r="AH74" s="1974"/>
      <c r="AI74" s="1974"/>
      <c r="AJ74" s="1974"/>
      <c r="AK74" s="1974"/>
    </row>
    <row r="75" spans="1:37" ht="14.25">
      <c r="A75" s="1964" t="s">
        <v>2067</v>
      </c>
      <c r="B75" s="1258">
        <f>估价对象房地状况!C24</f>
        <v>0</v>
      </c>
      <c r="C75" s="1881"/>
      <c r="D75" s="998">
        <f t="shared" si="18"/>
        <v>0</v>
      </c>
      <c r="E75" s="701"/>
      <c r="F75" s="1671"/>
      <c r="G75" s="996"/>
      <c r="H75" s="999" t="str">
        <f t="shared" si="19"/>
        <v>——</v>
      </c>
      <c r="I75" s="3061">
        <v>0.05</v>
      </c>
      <c r="J75" s="997">
        <f t="shared" si="20"/>
        <v>0</v>
      </c>
      <c r="K75" s="997">
        <f t="shared" si="21"/>
        <v>0</v>
      </c>
      <c r="L75" s="997">
        <v>0</v>
      </c>
      <c r="M75" s="997">
        <f t="shared" si="22"/>
        <v>0</v>
      </c>
      <c r="N75" s="997">
        <f t="shared" si="22"/>
        <v>0</v>
      </c>
      <c r="O75" s="1052"/>
      <c r="P75" s="1052"/>
      <c r="Q75" s="1838"/>
      <c r="Z75" s="1839"/>
      <c r="AA75" s="1889"/>
      <c r="AG75" s="1054"/>
      <c r="AK75" s="1889"/>
    </row>
    <row r="76" spans="1:37" ht="204">
      <c r="A76" s="1964" t="s">
        <v>2059</v>
      </c>
      <c r="B76"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76" s="1881"/>
      <c r="D76" s="998">
        <f t="shared" si="18"/>
        <v>0</v>
      </c>
      <c r="E76" s="701"/>
      <c r="F76" s="1671"/>
      <c r="G76" s="996"/>
      <c r="H76" s="999" t="str">
        <f t="shared" si="19"/>
        <v>——</v>
      </c>
      <c r="I76" s="3061">
        <v>0.08</v>
      </c>
      <c r="J76" s="997">
        <f t="shared" si="20"/>
        <v>0</v>
      </c>
      <c r="K76" s="997">
        <f t="shared" si="21"/>
        <v>0</v>
      </c>
      <c r="L76" s="997">
        <v>0</v>
      </c>
      <c r="M76" s="997">
        <f t="shared" si="22"/>
        <v>0</v>
      </c>
      <c r="N76" s="997">
        <f t="shared" si="22"/>
        <v>0</v>
      </c>
      <c r="O76" s="1052"/>
      <c r="P76" s="1052"/>
      <c r="Z76" s="1839"/>
      <c r="AA76" s="1889"/>
      <c r="AG76" s="1054"/>
      <c r="AK76" s="1889"/>
    </row>
    <row r="77" spans="1:37" ht="25.5">
      <c r="A77" s="1964" t="s">
        <v>2060</v>
      </c>
      <c r="B77" s="1236" t="str">
        <f>估价对象房地状况!C22</f>
        <v>估价对象所在区域基础设施水平</v>
      </c>
      <c r="C77" s="1881"/>
      <c r="D77" s="998">
        <f t="shared" si="18"/>
        <v>0</v>
      </c>
      <c r="E77" s="701"/>
      <c r="F77" s="1671"/>
      <c r="G77" s="996"/>
      <c r="H77" s="999" t="str">
        <f t="shared" si="19"/>
        <v>——</v>
      </c>
      <c r="I77" s="3061">
        <v>0.09</v>
      </c>
      <c r="J77" s="997">
        <f t="shared" si="20"/>
        <v>0</v>
      </c>
      <c r="K77" s="997">
        <f t="shared" si="21"/>
        <v>0</v>
      </c>
      <c r="L77" s="997">
        <v>0</v>
      </c>
      <c r="M77" s="997">
        <f t="shared" si="22"/>
        <v>0</v>
      </c>
      <c r="N77" s="997">
        <f t="shared" si="22"/>
        <v>0</v>
      </c>
      <c r="O77" s="1052"/>
      <c r="P77" s="1052"/>
      <c r="Z77" s="1839"/>
      <c r="AA77" s="1889"/>
      <c r="AG77" s="1054"/>
      <c r="AK77" s="1889"/>
    </row>
    <row r="78" spans="1:37" ht="24">
      <c r="A78" s="1964" t="s">
        <v>2057</v>
      </c>
      <c r="B78" s="1969" t="s">
        <v>2058</v>
      </c>
      <c r="C78" s="1881"/>
      <c r="D78" s="998">
        <f t="shared" si="18"/>
        <v>0</v>
      </c>
      <c r="E78" s="701"/>
      <c r="F78" s="1671"/>
      <c r="G78" s="996"/>
      <c r="H78" s="999" t="str">
        <f t="shared" si="19"/>
        <v>——</v>
      </c>
      <c r="I78" s="3061">
        <v>0.05</v>
      </c>
      <c r="J78" s="997">
        <f t="shared" si="20"/>
        <v>0</v>
      </c>
      <c r="K78" s="997">
        <f t="shared" si="21"/>
        <v>0</v>
      </c>
      <c r="L78" s="997">
        <v>0</v>
      </c>
      <c r="M78" s="997">
        <f t="shared" si="22"/>
        <v>0</v>
      </c>
      <c r="N78" s="997">
        <f t="shared" si="22"/>
        <v>0</v>
      </c>
      <c r="O78" s="1838"/>
      <c r="P78" s="1838"/>
      <c r="Z78" s="1839"/>
      <c r="AA78" s="1889"/>
      <c r="AG78" s="1054"/>
      <c r="AK78" s="1889"/>
    </row>
    <row r="79" spans="1:37" ht="51">
      <c r="A79" s="1964" t="s">
        <v>2061</v>
      </c>
      <c r="B79" s="1967" t="str">
        <f>估价对象房地状况!C20</f>
        <v>估价对象周边有河南省体育场馆中心、郑州海洋馆等人文景观，东风渠水系等自然景观，综合评价环境状况较好。</v>
      </c>
      <c r="C79" s="1881"/>
      <c r="D79" s="998">
        <f t="shared" si="18"/>
        <v>0</v>
      </c>
      <c r="E79" s="701"/>
      <c r="F79" s="1671"/>
      <c r="G79" s="996"/>
      <c r="H79" s="999" t="str">
        <f t="shared" si="19"/>
        <v>——</v>
      </c>
      <c r="I79" s="3061">
        <v>0.12</v>
      </c>
      <c r="J79" s="997">
        <f t="shared" si="20"/>
        <v>0</v>
      </c>
      <c r="K79" s="997">
        <f t="shared" si="21"/>
        <v>0</v>
      </c>
      <c r="L79" s="997">
        <v>0</v>
      </c>
      <c r="M79" s="997">
        <f t="shared" si="22"/>
        <v>0</v>
      </c>
      <c r="N79" s="997">
        <f t="shared" si="22"/>
        <v>0</v>
      </c>
      <c r="Z79" s="1839"/>
      <c r="AA79" s="1889"/>
      <c r="AG79" s="1054"/>
      <c r="AK79" s="1889"/>
    </row>
    <row r="80" spans="1:37" ht="24.75" thickBot="1">
      <c r="A80" s="1971" t="s">
        <v>2068</v>
      </c>
      <c r="B80" s="1975"/>
      <c r="C80" s="1881"/>
      <c r="D80" s="998">
        <f t="shared" si="18"/>
        <v>0</v>
      </c>
      <c r="E80" s="702"/>
      <c r="F80" s="1671"/>
      <c r="G80" s="996"/>
      <c r="H80" s="999" t="str">
        <f t="shared" si="19"/>
        <v>——</v>
      </c>
      <c r="I80" s="3062">
        <v>0.05</v>
      </c>
      <c r="J80" s="997">
        <f t="shared" si="20"/>
        <v>0</v>
      </c>
      <c r="K80" s="997">
        <f t="shared" si="21"/>
        <v>0</v>
      </c>
      <c r="L80" s="997">
        <v>0</v>
      </c>
      <c r="M80" s="997">
        <f t="shared" si="22"/>
        <v>0</v>
      </c>
      <c r="N80" s="997">
        <f t="shared" si="22"/>
        <v>0</v>
      </c>
      <c r="Z80" s="1839"/>
      <c r="AA80" s="1889"/>
      <c r="AG80" s="1054"/>
      <c r="AK80" s="1889"/>
    </row>
    <row r="81" spans="1:37" ht="15">
      <c r="A81" s="1961" t="s">
        <v>2069</v>
      </c>
      <c r="B81" s="1962">
        <f>1+E83</f>
        <v>1</v>
      </c>
      <c r="C81" s="695"/>
      <c r="D81" s="695"/>
      <c r="E81" s="696"/>
      <c r="F81" s="1963"/>
      <c r="G81" s="3"/>
      <c r="H81" s="3"/>
      <c r="I81" s="3"/>
      <c r="J81" s="4"/>
      <c r="K81" s="4"/>
      <c r="L81" s="4"/>
      <c r="M81" s="4"/>
      <c r="N81" s="4"/>
      <c r="Z81" s="1839"/>
      <c r="AA81" s="1889"/>
      <c r="AG81" s="1054"/>
      <c r="AK81" s="1889"/>
    </row>
    <row r="82" spans="1:37" ht="24.75">
      <c r="A82" s="1964" t="s">
        <v>2044</v>
      </c>
      <c r="B82" s="1258"/>
      <c r="C82" s="1258" t="s">
        <v>2046</v>
      </c>
      <c r="D82" s="1258" t="s">
        <v>2047</v>
      </c>
      <c r="E82" s="697" t="s">
        <v>2048</v>
      </c>
      <c r="F82" s="1965" t="s">
        <v>2063</v>
      </c>
      <c r="G82" s="1258" t="s">
        <v>310</v>
      </c>
      <c r="H82" s="1966" t="s">
        <v>2050</v>
      </c>
      <c r="I82" s="1258" t="s">
        <v>2051</v>
      </c>
      <c r="J82" s="530" t="s">
        <v>1721</v>
      </c>
      <c r="K82" s="530" t="s">
        <v>1722</v>
      </c>
      <c r="L82" s="530" t="s">
        <v>1723</v>
      </c>
      <c r="M82" s="530" t="s">
        <v>1724</v>
      </c>
      <c r="N82" s="530" t="s">
        <v>1725</v>
      </c>
      <c r="Z82" s="1839"/>
      <c r="AA82" s="1889"/>
      <c r="AG82" s="1054"/>
      <c r="AK82" s="1889"/>
    </row>
    <row r="83" spans="1:37" ht="38.25">
      <c r="A83" s="1964" t="s">
        <v>2070</v>
      </c>
      <c r="B83" s="1258" t="str">
        <f>估价对象房地状况!G15</f>
        <v>估价对象位于XX开发区，园区建设成熟度XX，产业集聚程度XX</v>
      </c>
      <c r="C83" s="1881"/>
      <c r="D83" s="998">
        <f t="shared" ref="D83:D90" si="23">SUMIF($J$82:$N$82,C83,J83:N83)</f>
        <v>0</v>
      </c>
      <c r="E83" s="698">
        <f>ROUND(SUM(D83:D90),4)</f>
        <v>0</v>
      </c>
      <c r="F83" s="1671" t="str">
        <f>IF(E2="工业",SUMIF(L1:L12,G2,N1:N12),"——")</f>
        <v>——</v>
      </c>
      <c r="G83" s="996"/>
      <c r="H83" s="999" t="str">
        <f t="shared" ref="H83:H90" si="24">IFERROR(ROUNDDOWN($F$83*I83/2,4),"——")</f>
        <v>——</v>
      </c>
      <c r="I83" s="3061">
        <v>0.26</v>
      </c>
      <c r="J83" s="997">
        <f t="shared" ref="J83:J90" si="25">K83+$G83</f>
        <v>0</v>
      </c>
      <c r="K83" s="997">
        <f t="shared" ref="K83:K90" si="26">$L83+$G83</f>
        <v>0</v>
      </c>
      <c r="L83" s="997">
        <v>0</v>
      </c>
      <c r="M83" s="997">
        <f t="shared" ref="M83:N90" si="27">L83-$G83</f>
        <v>0</v>
      </c>
      <c r="N83" s="997">
        <f t="shared" si="27"/>
        <v>0</v>
      </c>
      <c r="Z83" s="1839"/>
      <c r="AA83" s="1889"/>
      <c r="AG83" s="1054"/>
      <c r="AK83" s="1889"/>
    </row>
    <row r="84" spans="1:37" ht="38.25">
      <c r="A84" s="1964" t="s">
        <v>2053</v>
      </c>
      <c r="B84" s="1258" t="str">
        <f>估价对象房地状况!G16</f>
        <v>估价对象周边道路状况、公共交通通达情况、停车便捷程度，综合评价交通便捷度较好</v>
      </c>
      <c r="C84" s="1881"/>
      <c r="D84" s="998">
        <f t="shared" si="23"/>
        <v>0</v>
      </c>
      <c r="E84" s="701"/>
      <c r="F84" s="1671"/>
      <c r="G84" s="996"/>
      <c r="H84" s="999" t="str">
        <f t="shared" si="24"/>
        <v>——</v>
      </c>
      <c r="I84" s="3061">
        <v>0.3</v>
      </c>
      <c r="J84" s="997">
        <f t="shared" si="25"/>
        <v>0</v>
      </c>
      <c r="K84" s="997">
        <f t="shared" si="26"/>
        <v>0</v>
      </c>
      <c r="L84" s="997">
        <v>0</v>
      </c>
      <c r="M84" s="997">
        <f t="shared" si="27"/>
        <v>0</v>
      </c>
      <c r="N84" s="997">
        <f t="shared" si="27"/>
        <v>0</v>
      </c>
      <c r="Z84" s="1839"/>
      <c r="AA84" s="1889"/>
      <c r="AG84" s="1054"/>
      <c r="AK84" s="1889"/>
    </row>
    <row r="85" spans="1:37" ht="36">
      <c r="A85" s="3063" t="s">
        <v>3265</v>
      </c>
      <c r="B85" s="1258">
        <f>估价对象房地状况!G17</f>
        <v>0</v>
      </c>
      <c r="C85" s="1881"/>
      <c r="D85" s="998">
        <f t="shared" si="23"/>
        <v>0</v>
      </c>
      <c r="E85" s="701"/>
      <c r="F85" s="1671"/>
      <c r="G85" s="996"/>
      <c r="H85" s="999" t="str">
        <f t="shared" si="24"/>
        <v>——</v>
      </c>
      <c r="I85" s="3061">
        <v>0.1</v>
      </c>
      <c r="J85" s="997">
        <f t="shared" si="25"/>
        <v>0</v>
      </c>
      <c r="K85" s="997">
        <f t="shared" si="26"/>
        <v>0</v>
      </c>
      <c r="L85" s="997">
        <v>0</v>
      </c>
      <c r="M85" s="997">
        <f t="shared" si="27"/>
        <v>0</v>
      </c>
      <c r="N85" s="997">
        <f t="shared" si="27"/>
        <v>0</v>
      </c>
      <c r="Z85" s="1839"/>
      <c r="AA85" s="1889"/>
      <c r="AG85" s="1054"/>
      <c r="AK85" s="1889"/>
    </row>
    <row r="86" spans="1:37" ht="14.25">
      <c r="A86" s="1964" t="s">
        <v>2067</v>
      </c>
      <c r="B86" s="1258">
        <f>估价对象房地状况!G22</f>
        <v>0</v>
      </c>
      <c r="C86" s="1881"/>
      <c r="D86" s="998">
        <f t="shared" si="23"/>
        <v>0</v>
      </c>
      <c r="E86" s="701"/>
      <c r="F86" s="1671"/>
      <c r="G86" s="996"/>
      <c r="H86" s="999" t="str">
        <f t="shared" si="24"/>
        <v>——</v>
      </c>
      <c r="I86" s="3061">
        <v>0.05</v>
      </c>
      <c r="J86" s="997">
        <f t="shared" si="25"/>
        <v>0</v>
      </c>
      <c r="K86" s="997">
        <f t="shared" si="26"/>
        <v>0</v>
      </c>
      <c r="L86" s="997">
        <v>0</v>
      </c>
      <c r="M86" s="997">
        <f t="shared" si="27"/>
        <v>0</v>
      </c>
      <c r="N86" s="997">
        <f t="shared" si="27"/>
        <v>0</v>
      </c>
      <c r="Z86" s="1839"/>
      <c r="AA86" s="1889"/>
      <c r="AG86" s="1054"/>
      <c r="AK86" s="1889"/>
    </row>
    <row r="87" spans="1:37" ht="25.5">
      <c r="A87" s="1964" t="s">
        <v>2059</v>
      </c>
      <c r="B87" s="1236" t="str">
        <f>估价对象房地状况!G19</f>
        <v>估价对象所在区域公共配套设施齐备情况</v>
      </c>
      <c r="C87" s="1881"/>
      <c r="D87" s="998">
        <f t="shared" si="23"/>
        <v>0</v>
      </c>
      <c r="E87" s="701"/>
      <c r="F87" s="1671"/>
      <c r="G87" s="996"/>
      <c r="H87" s="999" t="str">
        <f t="shared" si="24"/>
        <v>——</v>
      </c>
      <c r="I87" s="3061">
        <v>0.06</v>
      </c>
      <c r="J87" s="997">
        <f t="shared" si="25"/>
        <v>0</v>
      </c>
      <c r="K87" s="997">
        <f t="shared" si="26"/>
        <v>0</v>
      </c>
      <c r="L87" s="997">
        <v>0</v>
      </c>
      <c r="M87" s="997">
        <f t="shared" si="27"/>
        <v>0</v>
      </c>
      <c r="N87" s="997">
        <f t="shared" si="27"/>
        <v>0</v>
      </c>
    </row>
    <row r="88" spans="1:37" ht="25.5">
      <c r="A88" s="1964" t="s">
        <v>2060</v>
      </c>
      <c r="B88" s="1236" t="str">
        <f>估价对象房地状况!G20</f>
        <v>估价对象所在区域基础设施水平</v>
      </c>
      <c r="C88" s="1881"/>
      <c r="D88" s="998">
        <f t="shared" si="23"/>
        <v>0</v>
      </c>
      <c r="E88" s="701"/>
      <c r="F88" s="1671"/>
      <c r="G88" s="996"/>
      <c r="H88" s="999" t="str">
        <f t="shared" si="24"/>
        <v>——</v>
      </c>
      <c r="I88" s="3061">
        <v>0.12</v>
      </c>
      <c r="J88" s="997">
        <f t="shared" si="25"/>
        <v>0</v>
      </c>
      <c r="K88" s="997">
        <f t="shared" si="26"/>
        <v>0</v>
      </c>
      <c r="L88" s="997">
        <v>0</v>
      </c>
      <c r="M88" s="997">
        <f t="shared" si="27"/>
        <v>0</v>
      </c>
      <c r="N88" s="997">
        <f t="shared" si="27"/>
        <v>0</v>
      </c>
    </row>
    <row r="89" spans="1:37" ht="24">
      <c r="A89" s="1964" t="s">
        <v>2057</v>
      </c>
      <c r="B89" s="1969" t="s">
        <v>2071</v>
      </c>
      <c r="C89" s="1881"/>
      <c r="D89" s="998">
        <f t="shared" si="23"/>
        <v>0</v>
      </c>
      <c r="E89" s="701"/>
      <c r="F89" s="1671"/>
      <c r="G89" s="996"/>
      <c r="H89" s="999" t="str">
        <f t="shared" si="24"/>
        <v>——</v>
      </c>
      <c r="I89" s="3061">
        <v>0.06</v>
      </c>
      <c r="J89" s="997">
        <f t="shared" si="25"/>
        <v>0</v>
      </c>
      <c r="K89" s="997">
        <f t="shared" si="26"/>
        <v>0</v>
      </c>
      <c r="L89" s="997">
        <v>0</v>
      </c>
      <c r="M89" s="997">
        <f t="shared" si="27"/>
        <v>0</v>
      </c>
      <c r="N89" s="997">
        <f t="shared" si="27"/>
        <v>0</v>
      </c>
    </row>
    <row r="90" spans="1:37" ht="39" thickBot="1">
      <c r="A90" s="1971" t="s">
        <v>2072</v>
      </c>
      <c r="B90" s="1976" t="str">
        <f>估价对象房地状况!G18</f>
        <v>该园区内是否有污染型企业，绿化情况，卫生条件，整体环境状况判断</v>
      </c>
      <c r="C90" s="1881"/>
      <c r="D90" s="998">
        <f t="shared" si="23"/>
        <v>0</v>
      </c>
      <c r="E90" s="702"/>
      <c r="F90" s="1671"/>
      <c r="G90" s="996"/>
      <c r="H90" s="999" t="str">
        <f t="shared" si="24"/>
        <v>——</v>
      </c>
      <c r="I90" s="3062">
        <v>0.05</v>
      </c>
      <c r="J90" s="997">
        <f t="shared" si="25"/>
        <v>0</v>
      </c>
      <c r="K90" s="997">
        <f t="shared" si="26"/>
        <v>0</v>
      </c>
      <c r="L90" s="997">
        <v>0</v>
      </c>
      <c r="M90" s="997">
        <f t="shared" si="27"/>
        <v>0</v>
      </c>
      <c r="N90" s="997">
        <f t="shared" si="27"/>
        <v>0</v>
      </c>
    </row>
    <row r="91" spans="1:37" ht="15">
      <c r="A91" s="3071" t="s">
        <v>2608</v>
      </c>
      <c r="B91" s="3072">
        <f>1+E93</f>
        <v>1</v>
      </c>
      <c r="C91" s="3065"/>
      <c r="D91" s="3066"/>
      <c r="E91" s="1671"/>
      <c r="F91" s="1671"/>
      <c r="G91" s="3067"/>
      <c r="H91" s="3068"/>
      <c r="I91" s="3069"/>
      <c r="J91" s="3070"/>
      <c r="K91" s="3070"/>
      <c r="L91" s="3070"/>
      <c r="M91" s="3070"/>
      <c r="N91" s="3070"/>
    </row>
    <row r="92" spans="1:37" ht="24.75">
      <c r="A92" s="3073" t="s">
        <v>3266</v>
      </c>
      <c r="B92" s="2302"/>
      <c r="C92" s="2302" t="s">
        <v>3275</v>
      </c>
      <c r="D92" s="2302" t="s">
        <v>3276</v>
      </c>
      <c r="E92" s="3045" t="s">
        <v>3277</v>
      </c>
      <c r="F92" s="3075" t="s">
        <v>3278</v>
      </c>
      <c r="G92" s="2302" t="s">
        <v>3279</v>
      </c>
      <c r="H92" s="3082" t="s">
        <v>3282</v>
      </c>
      <c r="I92" s="2302" t="s">
        <v>3283</v>
      </c>
      <c r="J92" s="2144" t="s">
        <v>3284</v>
      </c>
      <c r="K92" s="2144" t="s">
        <v>3285</v>
      </c>
      <c r="L92" s="2144" t="s">
        <v>3286</v>
      </c>
      <c r="M92" s="2144" t="s">
        <v>3287</v>
      </c>
      <c r="N92" s="2144" t="s">
        <v>3288</v>
      </c>
    </row>
    <row r="93" spans="1:37" ht="24">
      <c r="A93" s="3063" t="s">
        <v>3267</v>
      </c>
      <c r="B93" s="1217"/>
      <c r="C93" s="1881"/>
      <c r="D93" s="2302">
        <f>SUMIF($J$92:$N$92,C93,J93:N93)</f>
        <v>0</v>
      </c>
      <c r="E93" s="3076">
        <f>ROUND(SUM(D93:D101),4)</f>
        <v>0</v>
      </c>
      <c r="F93" s="1671" t="str">
        <f>IF(E2="公共服务",SUMIF(L1:L12,G2,N1:N12),"——")</f>
        <v>——</v>
      </c>
      <c r="G93" s="3067"/>
      <c r="H93" s="3111" t="str">
        <f>IFERROR(ROUNDDOWN($F$93*I93/2,4),"——")</f>
        <v>——</v>
      </c>
      <c r="I93" s="3061">
        <v>0.25</v>
      </c>
      <c r="J93" s="1906">
        <f t="shared" ref="J93:J101" si="28">K93+$G93</f>
        <v>0</v>
      </c>
      <c r="K93" s="1906">
        <f t="shared" ref="K93:K101" si="29">$L93+$G93</f>
        <v>0</v>
      </c>
      <c r="L93" s="1906">
        <v>0</v>
      </c>
      <c r="M93" s="1906">
        <f t="shared" ref="M93:N101" si="30">L93-$G93</f>
        <v>0</v>
      </c>
      <c r="N93" s="1906">
        <f t="shared" si="30"/>
        <v>0</v>
      </c>
    </row>
    <row r="94" spans="1:37" ht="51">
      <c r="A94" s="3073" t="s">
        <v>3268</v>
      </c>
      <c r="B94" s="3064" t="str">
        <f>估价对象房地状况!C18</f>
        <v>估价对象周边有196路、B38路、Y25路等多条公交线路，综合评价交通便捷度一般</v>
      </c>
      <c r="C94" s="1881"/>
      <c r="D94" s="2302">
        <f t="shared" ref="D94:D101" si="31">SUMIF($J$60:$N$60,C94,J94:N94)</f>
        <v>0</v>
      </c>
      <c r="E94" s="3077"/>
      <c r="F94" s="1671"/>
      <c r="G94" s="3067"/>
      <c r="H94" s="3111" t="str">
        <f>IFERROR(ROUNDDOWN($F$93*I94/2,4),"——")</f>
        <v>——</v>
      </c>
      <c r="I94" s="3061">
        <v>0.26</v>
      </c>
      <c r="J94" s="1906">
        <f t="shared" si="28"/>
        <v>0</v>
      </c>
      <c r="K94" s="1906">
        <f t="shared" si="29"/>
        <v>0</v>
      </c>
      <c r="L94" s="1906">
        <v>0</v>
      </c>
      <c r="M94" s="1906">
        <f t="shared" si="30"/>
        <v>0</v>
      </c>
      <c r="N94" s="1906">
        <f t="shared" si="30"/>
        <v>0</v>
      </c>
    </row>
    <row r="95" spans="1:37" ht="36">
      <c r="A95" s="3063" t="s">
        <v>3264</v>
      </c>
      <c r="B95" s="3064">
        <f>估价对象房地状况!C19</f>
        <v>0</v>
      </c>
      <c r="C95" s="1881"/>
      <c r="D95" s="2302">
        <f t="shared" si="31"/>
        <v>0</v>
      </c>
      <c r="E95" s="3077"/>
      <c r="F95" s="1671"/>
      <c r="G95" s="3067"/>
      <c r="H95" s="3111" t="str">
        <f t="shared" ref="H95:H101" si="32">IFERROR(ROUNDDOWN($F$93*I95/2,4),"——")</f>
        <v>——</v>
      </c>
      <c r="I95" s="3061">
        <v>0.11</v>
      </c>
      <c r="J95" s="1906">
        <f t="shared" si="28"/>
        <v>0</v>
      </c>
      <c r="K95" s="1906">
        <f t="shared" si="29"/>
        <v>0</v>
      </c>
      <c r="L95" s="1906">
        <v>0</v>
      </c>
      <c r="M95" s="1906">
        <f t="shared" si="30"/>
        <v>0</v>
      </c>
      <c r="N95" s="1906">
        <f t="shared" si="30"/>
        <v>0</v>
      </c>
    </row>
    <row r="96" spans="1:37" ht="36.75">
      <c r="A96" s="3073" t="s">
        <v>3269</v>
      </c>
      <c r="B96" s="3079" t="s">
        <v>3280</v>
      </c>
      <c r="C96" s="1881"/>
      <c r="D96" s="2302">
        <f t="shared" si="31"/>
        <v>0</v>
      </c>
      <c r="E96" s="3077"/>
      <c r="F96" s="1671"/>
      <c r="G96" s="3067"/>
      <c r="H96" s="3111" t="str">
        <f t="shared" si="32"/>
        <v>——</v>
      </c>
      <c r="I96" s="3061">
        <v>0.05</v>
      </c>
      <c r="J96" s="1906">
        <f t="shared" si="28"/>
        <v>0</v>
      </c>
      <c r="K96" s="1906">
        <f t="shared" si="29"/>
        <v>0</v>
      </c>
      <c r="L96" s="1906">
        <v>0</v>
      </c>
      <c r="M96" s="1906">
        <f t="shared" si="30"/>
        <v>0</v>
      </c>
      <c r="N96" s="1906">
        <f t="shared" si="30"/>
        <v>0</v>
      </c>
    </row>
    <row r="97" spans="1:14" ht="24">
      <c r="A97" s="3073" t="s">
        <v>3270</v>
      </c>
      <c r="B97" s="3064">
        <f>估价对象房地状况!C24</f>
        <v>0</v>
      </c>
      <c r="C97" s="1881"/>
      <c r="D97" s="2302">
        <f t="shared" si="31"/>
        <v>0</v>
      </c>
      <c r="E97" s="3077"/>
      <c r="F97" s="1671"/>
      <c r="G97" s="3067"/>
      <c r="H97" s="3111" t="str">
        <f t="shared" si="32"/>
        <v>——</v>
      </c>
      <c r="I97" s="3061">
        <v>0.05</v>
      </c>
      <c r="J97" s="1906">
        <f t="shared" si="28"/>
        <v>0</v>
      </c>
      <c r="K97" s="1906">
        <f t="shared" si="29"/>
        <v>0</v>
      </c>
      <c r="L97" s="1906">
        <v>0</v>
      </c>
      <c r="M97" s="1906">
        <f t="shared" si="30"/>
        <v>0</v>
      </c>
      <c r="N97" s="1906">
        <f t="shared" si="30"/>
        <v>0</v>
      </c>
    </row>
    <row r="98" spans="1:14" ht="24">
      <c r="A98" s="3073" t="s">
        <v>3271</v>
      </c>
      <c r="B98" s="3080" t="s">
        <v>3281</v>
      </c>
      <c r="C98" s="1881"/>
      <c r="D98" s="2302">
        <f t="shared" si="31"/>
        <v>0</v>
      </c>
      <c r="E98" s="3077"/>
      <c r="F98" s="1671"/>
      <c r="G98" s="3067"/>
      <c r="H98" s="3111" t="str">
        <f t="shared" si="32"/>
        <v>——</v>
      </c>
      <c r="I98" s="3061">
        <v>0.06</v>
      </c>
      <c r="J98" s="1906">
        <f t="shared" si="28"/>
        <v>0</v>
      </c>
      <c r="K98" s="1906">
        <f t="shared" si="29"/>
        <v>0</v>
      </c>
      <c r="L98" s="1906">
        <v>0</v>
      </c>
      <c r="M98" s="1906">
        <f t="shared" si="30"/>
        <v>0</v>
      </c>
      <c r="N98" s="1906">
        <f t="shared" si="30"/>
        <v>0</v>
      </c>
    </row>
    <row r="99" spans="1:14" ht="204">
      <c r="A99" s="3073" t="s">
        <v>3272</v>
      </c>
      <c r="B99" s="3064"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99" s="1881"/>
      <c r="D99" s="2302">
        <f t="shared" si="31"/>
        <v>0</v>
      </c>
      <c r="E99" s="3077"/>
      <c r="F99" s="1671"/>
      <c r="G99" s="3067"/>
      <c r="H99" s="3111" t="str">
        <f t="shared" si="32"/>
        <v>——</v>
      </c>
      <c r="I99" s="3061">
        <v>0.06</v>
      </c>
      <c r="J99" s="1906">
        <f t="shared" si="28"/>
        <v>0</v>
      </c>
      <c r="K99" s="1906">
        <f t="shared" si="29"/>
        <v>0</v>
      </c>
      <c r="L99" s="1906">
        <v>0</v>
      </c>
      <c r="M99" s="1906">
        <f t="shared" si="30"/>
        <v>0</v>
      </c>
      <c r="N99" s="1906">
        <f t="shared" si="30"/>
        <v>0</v>
      </c>
    </row>
    <row r="100" spans="1:14" ht="25.5">
      <c r="A100" s="3073" t="s">
        <v>3273</v>
      </c>
      <c r="B100" s="3064" t="str">
        <f>估价对象房地状况!C22</f>
        <v>估价对象所在区域基础设施水平</v>
      </c>
      <c r="C100" s="1881"/>
      <c r="D100" s="2302">
        <f t="shared" si="31"/>
        <v>0</v>
      </c>
      <c r="E100" s="3077"/>
      <c r="F100" s="1671"/>
      <c r="G100" s="3067"/>
      <c r="H100" s="3111" t="str">
        <f t="shared" si="32"/>
        <v>——</v>
      </c>
      <c r="I100" s="3061">
        <v>0.09</v>
      </c>
      <c r="J100" s="1906">
        <f t="shared" si="28"/>
        <v>0</v>
      </c>
      <c r="K100" s="1906">
        <f t="shared" si="29"/>
        <v>0</v>
      </c>
      <c r="L100" s="1906">
        <v>0</v>
      </c>
      <c r="M100" s="1906">
        <f t="shared" si="30"/>
        <v>0</v>
      </c>
      <c r="N100" s="1906">
        <f t="shared" si="30"/>
        <v>0</v>
      </c>
    </row>
    <row r="101" spans="1:14" ht="51.75" thickBot="1">
      <c r="A101" s="3074" t="s">
        <v>3274</v>
      </c>
      <c r="B101" s="3081" t="str">
        <f>估价对象房地状况!C20</f>
        <v>估价对象周边有河南省体育场馆中心、郑州海洋馆等人文景观，东风渠水系等自然景观，综合评价环境状况较好。</v>
      </c>
      <c r="C101" s="1881"/>
      <c r="D101" s="2302">
        <f t="shared" si="31"/>
        <v>0</v>
      </c>
      <c r="E101" s="3078"/>
      <c r="F101" s="1671"/>
      <c r="G101" s="3067"/>
      <c r="H101" s="3111" t="str">
        <f t="shared" si="32"/>
        <v>——</v>
      </c>
      <c r="I101" s="3062">
        <v>7.0000000000000007E-2</v>
      </c>
      <c r="J101" s="1906">
        <f t="shared" si="28"/>
        <v>0</v>
      </c>
      <c r="K101" s="1906">
        <f t="shared" si="29"/>
        <v>0</v>
      </c>
      <c r="L101" s="1906">
        <v>0</v>
      </c>
      <c r="M101" s="1906">
        <f t="shared" si="30"/>
        <v>0</v>
      </c>
      <c r="N101" s="1906">
        <f t="shared" si="30"/>
        <v>0</v>
      </c>
    </row>
    <row r="103" spans="1:14">
      <c r="A103" s="3465" t="s">
        <v>3289</v>
      </c>
      <c r="B103" s="3465"/>
      <c r="C103" s="3465"/>
      <c r="D103" s="3465"/>
      <c r="E103" s="3465"/>
      <c r="F103" s="3465"/>
      <c r="G103" s="3465"/>
      <c r="H103" s="3465"/>
      <c r="I103" s="3465"/>
      <c r="J103" s="3465"/>
      <c r="K103" s="1663"/>
      <c r="L103" s="1663"/>
      <c r="M103" s="1663"/>
      <c r="N103" s="1663"/>
    </row>
    <row r="104" spans="1:14">
      <c r="A104" s="3466" t="s">
        <v>3290</v>
      </c>
      <c r="B104" s="3466" t="s">
        <v>3291</v>
      </c>
      <c r="C104" s="3083" t="s">
        <v>3292</v>
      </c>
      <c r="D104" s="3084"/>
      <c r="E104" s="3084"/>
      <c r="F104" s="3084"/>
      <c r="G104" s="3084"/>
      <c r="H104" s="3084"/>
      <c r="I104" s="3084"/>
      <c r="J104" s="3085"/>
      <c r="K104" s="3086"/>
      <c r="L104" s="3086"/>
      <c r="M104" s="3086"/>
      <c r="N104" s="3086"/>
    </row>
    <row r="105" spans="1:14">
      <c r="A105" s="3466"/>
      <c r="B105" s="3466"/>
      <c r="C105" s="3087" t="s">
        <v>3293</v>
      </c>
      <c r="D105" s="3087" t="s">
        <v>3294</v>
      </c>
      <c r="E105" s="3087" t="s">
        <v>3295</v>
      </c>
      <c r="F105" s="3087" t="s">
        <v>3296</v>
      </c>
      <c r="G105" s="3087" t="s">
        <v>3297</v>
      </c>
      <c r="H105" s="3087" t="s">
        <v>3298</v>
      </c>
      <c r="I105" s="3087" t="s">
        <v>3299</v>
      </c>
      <c r="J105" s="3087" t="s">
        <v>3300</v>
      </c>
      <c r="K105" s="3087" t="s">
        <v>3301</v>
      </c>
      <c r="L105" s="3087" t="s">
        <v>3302</v>
      </c>
      <c r="M105" s="3087" t="s">
        <v>3303</v>
      </c>
      <c r="N105" s="3087" t="s">
        <v>3304</v>
      </c>
    </row>
    <row r="106" spans="1:14">
      <c r="A106" s="3467" t="s">
        <v>3305</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68"/>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68"/>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68"/>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68"/>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68"/>
      <c r="B111" s="3087" t="s">
        <v>3263</v>
      </c>
      <c r="C111" s="3088">
        <f>$I$3</f>
        <v>1</v>
      </c>
      <c r="D111" s="3088">
        <f t="shared" ref="D111:M111" si="33">$I$3</f>
        <v>1</v>
      </c>
      <c r="E111" s="3088">
        <f t="shared" si="33"/>
        <v>1</v>
      </c>
      <c r="F111" s="3088">
        <f t="shared" si="33"/>
        <v>1</v>
      </c>
      <c r="G111" s="3088">
        <f t="shared" si="33"/>
        <v>1</v>
      </c>
      <c r="H111" s="3088">
        <f t="shared" si="33"/>
        <v>1</v>
      </c>
      <c r="I111" s="3088">
        <f t="shared" si="33"/>
        <v>1</v>
      </c>
      <c r="J111" s="3088">
        <f t="shared" si="33"/>
        <v>1</v>
      </c>
      <c r="K111" s="3088">
        <f t="shared" si="33"/>
        <v>1</v>
      </c>
      <c r="L111" s="3088">
        <f t="shared" si="33"/>
        <v>1</v>
      </c>
      <c r="M111" s="3088">
        <f t="shared" si="33"/>
        <v>1</v>
      </c>
      <c r="N111" s="3088">
        <f>$I$3</f>
        <v>1</v>
      </c>
    </row>
    <row r="112" spans="1:14">
      <c r="A112" s="3469"/>
      <c r="B112" s="3087">
        <v>6</v>
      </c>
      <c r="C112" s="3082">
        <f>(-0.5556*(C111^2)-0.2719*C111+8944)*(10^(-4))</f>
        <v>0.89431725000000006</v>
      </c>
      <c r="D112" s="3082">
        <f>(-0.5556*(D111^2)-0.2719*D111+8944)*(10^(-4))</f>
        <v>0.89431725000000006</v>
      </c>
      <c r="E112" s="3082">
        <f>(-0.7912*(E111^2)-11.3794*E111+8482)*(10^(-4))</f>
        <v>0.84698294000000007</v>
      </c>
      <c r="F112" s="3082">
        <f t="shared" ref="F112:I112" si="34">(-0.7912*(F111^2)-11.3794*F111+8482)*(10^(-4))</f>
        <v>0.84698294000000007</v>
      </c>
      <c r="G112" s="3082">
        <f t="shared" si="34"/>
        <v>0.84698294000000007</v>
      </c>
      <c r="H112" s="3082">
        <f t="shared" si="34"/>
        <v>0.84698294000000007</v>
      </c>
      <c r="I112" s="3082">
        <f t="shared" si="34"/>
        <v>0.84698294000000007</v>
      </c>
      <c r="J112" s="3082">
        <f>(-0.989*(J111^2)-63.78*J111+7771)*(10^(-4))</f>
        <v>0.77062310000000001</v>
      </c>
      <c r="K112" s="3082">
        <f t="shared" ref="K112:N112" si="35">(-0.989*(K111^2)-63.78*K111+7771)*(10^(-4))</f>
        <v>0.77062310000000001</v>
      </c>
      <c r="L112" s="3082">
        <f t="shared" si="35"/>
        <v>0.77062310000000001</v>
      </c>
      <c r="M112" s="3082">
        <f t="shared" si="35"/>
        <v>0.77062310000000001</v>
      </c>
      <c r="N112" s="3082">
        <f t="shared" si="35"/>
        <v>0.77062310000000001</v>
      </c>
    </row>
    <row r="113" spans="1:14">
      <c r="A113" s="3470" t="s">
        <v>3306</v>
      </c>
      <c r="B113" s="3470"/>
      <c r="C113" s="3470"/>
      <c r="D113" s="3470"/>
      <c r="E113" s="3470"/>
      <c r="F113" s="3470"/>
      <c r="G113" s="3470"/>
      <c r="H113" s="3470"/>
      <c r="I113" s="3470"/>
      <c r="J113" s="3470"/>
      <c r="K113" s="3089"/>
      <c r="L113" s="3089"/>
      <c r="M113" s="3089"/>
      <c r="N113" s="3089"/>
    </row>
    <row r="114" spans="1:14">
      <c r="A114" s="3090"/>
      <c r="B114" s="3090"/>
      <c r="C114" s="3090"/>
      <c r="D114" s="3090"/>
      <c r="E114" s="3090"/>
      <c r="F114" s="3090"/>
      <c r="G114" s="3090"/>
      <c r="H114" s="3090"/>
      <c r="I114" s="3090"/>
      <c r="J114" s="3090"/>
      <c r="K114" s="1958"/>
      <c r="L114" s="3090"/>
      <c r="M114" s="3090"/>
      <c r="N114" s="3090"/>
    </row>
    <row r="115" spans="1:14" ht="13.5" thickBot="1">
      <c r="A115" s="3090"/>
      <c r="B115" s="3090"/>
      <c r="C115" s="3090"/>
      <c r="D115" s="3090"/>
      <c r="E115" s="3090"/>
      <c r="F115" s="3090"/>
      <c r="G115" s="3090"/>
      <c r="H115" s="3090"/>
      <c r="I115" s="3090"/>
      <c r="J115" s="3090"/>
      <c r="K115" s="1958"/>
      <c r="L115" s="3090"/>
      <c r="M115" s="3090"/>
      <c r="N115" s="3090"/>
    </row>
    <row r="116" spans="1:14" ht="25.5" thickBot="1">
      <c r="A116" s="3091" t="s">
        <v>3307</v>
      </c>
      <c r="B116" s="3107">
        <f>G3</f>
        <v>0</v>
      </c>
      <c r="C116" s="3092" t="s">
        <v>3308</v>
      </c>
      <c r="D116" s="3093">
        <f>SUMPRODUCT((A118:A122=F116)*(B117:M117=H116)*B118:M122)</f>
        <v>0.94899999999999995</v>
      </c>
      <c r="E116" s="162" t="s">
        <v>3309</v>
      </c>
      <c r="F116" s="3094" t="str">
        <f>E2</f>
        <v>商业</v>
      </c>
      <c r="G116" s="162" t="s">
        <v>3310</v>
      </c>
      <c r="H116" s="3094" t="str">
        <f>G2</f>
        <v>四级</v>
      </c>
      <c r="I116" s="162"/>
      <c r="J116" s="3095"/>
      <c r="K116" s="3095"/>
      <c r="L116" s="3095"/>
      <c r="M116" s="3095"/>
      <c r="N116" s="3090"/>
    </row>
    <row r="117" spans="1:14">
      <c r="A117" s="3096"/>
      <c r="B117" s="3097" t="s">
        <v>3311</v>
      </c>
      <c r="C117" s="3097" t="s">
        <v>3312</v>
      </c>
      <c r="D117" s="3097" t="s">
        <v>3313</v>
      </c>
      <c r="E117" s="3098" t="s">
        <v>3314</v>
      </c>
      <c r="F117" s="3098" t="s">
        <v>3315</v>
      </c>
      <c r="G117" s="3098" t="s">
        <v>3316</v>
      </c>
      <c r="H117" s="3099" t="s">
        <v>3317</v>
      </c>
      <c r="I117" s="3099" t="s">
        <v>3318</v>
      </c>
      <c r="J117" s="3100" t="s">
        <v>3319</v>
      </c>
      <c r="K117" s="3100" t="s">
        <v>3320</v>
      </c>
      <c r="L117" s="3100" t="s">
        <v>3321</v>
      </c>
      <c r="M117" s="3101" t="s">
        <v>3322</v>
      </c>
      <c r="N117" s="3090"/>
    </row>
    <row r="118" spans="1:14">
      <c r="A118" s="3050" t="s">
        <v>3323</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6">I118</f>
        <v>0.84860000000000002</v>
      </c>
      <c r="K118" s="3082">
        <f t="shared" si="36"/>
        <v>0.84860000000000002</v>
      </c>
      <c r="L118" s="3082">
        <f t="shared" si="36"/>
        <v>0.84860000000000002</v>
      </c>
      <c r="M118" s="3102">
        <f t="shared" si="36"/>
        <v>0.84860000000000002</v>
      </c>
      <c r="N118" s="3090"/>
    </row>
    <row r="119" spans="1:14">
      <c r="A119" s="3050" t="s">
        <v>3324</v>
      </c>
      <c r="B119" s="3082">
        <f>ROUND(0.993-0.0112*B116,4)</f>
        <v>0.99299999999999999</v>
      </c>
      <c r="C119" s="3082">
        <f>B119</f>
        <v>0.99299999999999999</v>
      </c>
      <c r="D119" s="3082">
        <f>ROUND(0.9415-0.0142*B116,4)</f>
        <v>0.9415</v>
      </c>
      <c r="E119" s="3082">
        <f t="shared" ref="E119:H120" si="37">D119</f>
        <v>0.9415</v>
      </c>
      <c r="F119" s="3082">
        <f t="shared" si="37"/>
        <v>0.9415</v>
      </c>
      <c r="G119" s="3082">
        <f t="shared" si="37"/>
        <v>0.9415</v>
      </c>
      <c r="H119" s="3082">
        <f t="shared" si="37"/>
        <v>0.9415</v>
      </c>
      <c r="I119" s="3082">
        <f>ROUND(0.838-0.0182*B116,4)</f>
        <v>0.83799999999999997</v>
      </c>
      <c r="J119" s="3082">
        <f t="shared" si="36"/>
        <v>0.83799999999999997</v>
      </c>
      <c r="K119" s="3082">
        <f t="shared" si="36"/>
        <v>0.83799999999999997</v>
      </c>
      <c r="L119" s="3082">
        <f t="shared" si="36"/>
        <v>0.83799999999999997</v>
      </c>
      <c r="M119" s="3102">
        <f t="shared" si="36"/>
        <v>0.83799999999999997</v>
      </c>
      <c r="N119" s="3090"/>
    </row>
    <row r="120" spans="1:14">
      <c r="A120" s="3050" t="s">
        <v>3325</v>
      </c>
      <c r="B120" s="3082">
        <f>ROUND(0.9448-0.0115*B116,4)</f>
        <v>0.94479999999999997</v>
      </c>
      <c r="C120" s="3082">
        <f>B120</f>
        <v>0.94479999999999997</v>
      </c>
      <c r="D120" s="3082">
        <f>ROUND(0.937-0.0145*B116,4)</f>
        <v>0.93700000000000006</v>
      </c>
      <c r="E120" s="3082">
        <f t="shared" si="37"/>
        <v>0.93700000000000006</v>
      </c>
      <c r="F120" s="3082">
        <f t="shared" si="37"/>
        <v>0.93700000000000006</v>
      </c>
      <c r="G120" s="3082">
        <f t="shared" si="37"/>
        <v>0.93700000000000006</v>
      </c>
      <c r="H120" s="3082">
        <f t="shared" si="37"/>
        <v>0.93700000000000006</v>
      </c>
      <c r="I120" s="3082">
        <f>ROUND(0.7965-0.0185*B116,4)</f>
        <v>0.79649999999999999</v>
      </c>
      <c r="J120" s="3082">
        <f t="shared" si="36"/>
        <v>0.79649999999999999</v>
      </c>
      <c r="K120" s="3082">
        <f t="shared" si="36"/>
        <v>0.79649999999999999</v>
      </c>
      <c r="L120" s="3082">
        <f t="shared" si="36"/>
        <v>0.79649999999999999</v>
      </c>
      <c r="M120" s="3102">
        <f t="shared" si="36"/>
        <v>0.79649999999999999</v>
      </c>
      <c r="N120" s="3090"/>
    </row>
    <row r="121" spans="1:14" ht="13.5" thickBot="1">
      <c r="A121" s="3103" t="s">
        <v>3326</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6"/>
        <v>0.59050000000000002</v>
      </c>
      <c r="K121" s="3104">
        <f t="shared" si="36"/>
        <v>0.59050000000000002</v>
      </c>
      <c r="L121" s="3104">
        <f t="shared" si="36"/>
        <v>0.59050000000000002</v>
      </c>
      <c r="M121" s="3105">
        <f t="shared" si="36"/>
        <v>0.59050000000000002</v>
      </c>
      <c r="N121" s="3090"/>
    </row>
    <row r="122" spans="1:14">
      <c r="A122" s="3106" t="s">
        <v>2608</v>
      </c>
      <c r="B122" s="3082">
        <f>ROUND(0.9404-0.0106*B116,4)</f>
        <v>0.94040000000000001</v>
      </c>
      <c r="C122" s="3082">
        <f>B122</f>
        <v>0.94040000000000001</v>
      </c>
      <c r="D122" s="3082">
        <f>ROUND(0.8955-0.0135*B116,4)</f>
        <v>0.89549999999999996</v>
      </c>
      <c r="E122" s="3082">
        <f t="shared" ref="E122:H122" si="38">D122</f>
        <v>0.89549999999999996</v>
      </c>
      <c r="F122" s="3082">
        <f t="shared" si="38"/>
        <v>0.89549999999999996</v>
      </c>
      <c r="G122" s="3082">
        <f t="shared" si="38"/>
        <v>0.89549999999999996</v>
      </c>
      <c r="H122" s="3082">
        <f t="shared" si="38"/>
        <v>0.89549999999999996</v>
      </c>
      <c r="I122" s="3082">
        <f>ROUND(0.7632-0.0166*B116,4)</f>
        <v>0.76319999999999999</v>
      </c>
      <c r="J122" s="3082">
        <f t="shared" si="36"/>
        <v>0.76319999999999999</v>
      </c>
      <c r="K122" s="3082">
        <f t="shared" si="36"/>
        <v>0.76319999999999999</v>
      </c>
      <c r="L122" s="3082">
        <f t="shared" si="36"/>
        <v>0.76319999999999999</v>
      </c>
      <c r="M122" s="3102">
        <f t="shared" si="36"/>
        <v>0.76319999999999999</v>
      </c>
      <c r="N122" s="3090"/>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2590</v>
      </c>
      <c r="B1" s="2804" t="s">
        <v>2591</v>
      </c>
      <c r="C1" s="2804" t="s">
        <v>2592</v>
      </c>
      <c r="D1" s="2804" t="s">
        <v>2593</v>
      </c>
      <c r="E1" s="2804" t="s">
        <v>2594</v>
      </c>
      <c r="F1" s="2804" t="s">
        <v>2595</v>
      </c>
      <c r="G1" s="2804" t="s">
        <v>2596</v>
      </c>
      <c r="H1" s="2804" t="s">
        <v>2597</v>
      </c>
      <c r="I1" s="2804" t="s">
        <v>2598</v>
      </c>
      <c r="J1" s="2804" t="s">
        <v>2599</v>
      </c>
      <c r="K1" s="2804" t="s">
        <v>2600</v>
      </c>
      <c r="L1" s="2804" t="s">
        <v>2601</v>
      </c>
      <c r="M1" s="2805" t="s">
        <v>2602</v>
      </c>
    </row>
    <row r="2" spans="1:13" ht="19.5" customHeight="1">
      <c r="A2" s="2807" t="s">
        <v>2603</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2604</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2605</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2606</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2607</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2608</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2609</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2610</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2611</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2612</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2613</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2614</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2615</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2616</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2617</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2618</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2619</v>
      </c>
      <c r="B18" s="2829"/>
      <c r="C18" s="2830"/>
      <c r="D18" s="2830"/>
      <c r="E18" s="2829"/>
      <c r="F18" s="2830"/>
      <c r="G18" s="2830"/>
    </row>
    <row r="19" spans="1:13" ht="19.5" customHeight="1" thickBot="1">
      <c r="A19" s="2827" t="s">
        <v>2620</v>
      </c>
      <c r="B19" s="2832" t="s">
        <v>2621</v>
      </c>
      <c r="C19" s="2832" t="s">
        <v>2622</v>
      </c>
      <c r="D19" s="2833"/>
      <c r="E19" s="2827" t="s">
        <v>2623</v>
      </c>
      <c r="F19" s="2834"/>
      <c r="G19" s="2834"/>
    </row>
    <row r="20" spans="1:13" ht="19.5" customHeight="1">
      <c r="A20" s="3482" t="s">
        <v>2603</v>
      </c>
      <c r="B20" s="3475" t="s">
        <v>2624</v>
      </c>
      <c r="C20" s="3159" t="s">
        <v>2435</v>
      </c>
      <c r="D20" s="3159"/>
      <c r="E20" s="2837">
        <v>1</v>
      </c>
      <c r="F20" s="2838" t="s">
        <v>2436</v>
      </c>
      <c r="G20" s="2838"/>
    </row>
    <row r="21" spans="1:13" ht="19.5" customHeight="1">
      <c r="A21" s="3483"/>
      <c r="B21" s="3471"/>
      <c r="C21" s="2850" t="s">
        <v>2437</v>
      </c>
      <c r="D21" s="2850"/>
      <c r="E21" s="2841">
        <v>1</v>
      </c>
      <c r="F21" s="2838" t="s">
        <v>2438</v>
      </c>
      <c r="G21" s="2838"/>
    </row>
    <row r="22" spans="1:13" ht="19.5" customHeight="1">
      <c r="A22" s="3483"/>
      <c r="B22" s="3471"/>
      <c r="C22" s="2850" t="s">
        <v>2439</v>
      </c>
      <c r="D22" s="2850"/>
      <c r="E22" s="2841">
        <v>0.9</v>
      </c>
      <c r="F22" s="2838" t="s">
        <v>2440</v>
      </c>
      <c r="G22" s="2838"/>
    </row>
    <row r="23" spans="1:13" ht="19.5" customHeight="1">
      <c r="A23" s="3483"/>
      <c r="B23" s="3471"/>
      <c r="C23" s="2850" t="s">
        <v>2441</v>
      </c>
      <c r="D23" s="2850"/>
      <c r="E23" s="2841">
        <v>0.9</v>
      </c>
      <c r="F23" s="2838" t="s">
        <v>2442</v>
      </c>
      <c r="G23" s="2838"/>
    </row>
    <row r="24" spans="1:13" ht="19.5" customHeight="1">
      <c r="A24" s="3483"/>
      <c r="B24" s="3471"/>
      <c r="C24" s="2850" t="s">
        <v>2443</v>
      </c>
      <c r="D24" s="2850"/>
      <c r="E24" s="2841">
        <v>0.8</v>
      </c>
      <c r="F24" s="2838" t="s">
        <v>2444</v>
      </c>
      <c r="G24" s="2838"/>
    </row>
    <row r="25" spans="1:13" ht="19.5" customHeight="1">
      <c r="A25" s="3483"/>
      <c r="B25" s="3471"/>
      <c r="C25" s="2850" t="s">
        <v>2445</v>
      </c>
      <c r="D25" s="2850"/>
      <c r="E25" s="2841">
        <v>0.8</v>
      </c>
      <c r="F25" s="2838"/>
      <c r="G25" s="2838"/>
    </row>
    <row r="26" spans="1:13" ht="19.5" customHeight="1">
      <c r="A26" s="3483"/>
      <c r="B26" s="3471"/>
      <c r="C26" s="2850" t="s">
        <v>3407</v>
      </c>
      <c r="D26" s="2850"/>
      <c r="E26" s="2841">
        <v>0.43</v>
      </c>
      <c r="F26" s="2838"/>
      <c r="G26" s="2838"/>
    </row>
    <row r="27" spans="1:13" ht="19.5" customHeight="1" thickBot="1">
      <c r="A27" s="3484"/>
      <c r="B27" s="3476"/>
      <c r="C27" s="3155" t="s">
        <v>3408</v>
      </c>
      <c r="D27" s="3155"/>
      <c r="E27" s="2844">
        <f>E26*0.9</f>
        <v>0.38700000000000001</v>
      </c>
      <c r="F27" s="2838" t="s">
        <v>2446</v>
      </c>
      <c r="G27" s="2838"/>
    </row>
    <row r="28" spans="1:13" ht="19.5" customHeight="1" thickBot="1">
      <c r="A28" s="3154" t="s">
        <v>2625</v>
      </c>
      <c r="B28" s="3153" t="s">
        <v>2624</v>
      </c>
      <c r="C28" s="3156" t="s">
        <v>2626</v>
      </c>
      <c r="D28" s="3157"/>
      <c r="E28" s="3158">
        <v>1</v>
      </c>
      <c r="F28" s="2838" t="s">
        <v>2447</v>
      </c>
      <c r="G28" s="2838"/>
    </row>
    <row r="29" spans="1:13" ht="19.5" customHeight="1">
      <c r="A29" s="3477" t="s">
        <v>2627</v>
      </c>
      <c r="B29" s="3480" t="s">
        <v>2608</v>
      </c>
      <c r="C29" s="2835" t="s">
        <v>2448</v>
      </c>
      <c r="D29" s="2836"/>
      <c r="E29" s="2837">
        <v>1</v>
      </c>
      <c r="F29" s="2838" t="s">
        <v>2449</v>
      </c>
      <c r="G29" s="2838"/>
    </row>
    <row r="30" spans="1:13" ht="19.5" customHeight="1">
      <c r="A30" s="3478"/>
      <c r="B30" s="3474"/>
      <c r="C30" s="2839" t="s">
        <v>2450</v>
      </c>
      <c r="D30" s="2840"/>
      <c r="E30" s="2841">
        <v>1</v>
      </c>
      <c r="F30" s="2838" t="s">
        <v>2451</v>
      </c>
      <c r="G30" s="2838"/>
    </row>
    <row r="31" spans="1:13" ht="19.5" customHeight="1">
      <c r="A31" s="3478"/>
      <c r="B31" s="3474"/>
      <c r="C31" s="2839" t="s">
        <v>2452</v>
      </c>
      <c r="D31" s="2840"/>
      <c r="E31" s="2841">
        <v>0.8</v>
      </c>
      <c r="F31" s="2838" t="s">
        <v>2453</v>
      </c>
      <c r="G31" s="2838"/>
    </row>
    <row r="32" spans="1:13" ht="19.5" customHeight="1">
      <c r="A32" s="3478"/>
      <c r="B32" s="3474"/>
      <c r="C32" s="2839" t="s">
        <v>2454</v>
      </c>
      <c r="D32" s="2840"/>
      <c r="E32" s="2841">
        <v>0.8</v>
      </c>
      <c r="F32" s="2838" t="s">
        <v>2455</v>
      </c>
      <c r="G32" s="2838"/>
    </row>
    <row r="33" spans="1:7" ht="19.5" customHeight="1">
      <c r="A33" s="3478"/>
      <c r="B33" s="3474"/>
      <c r="C33" s="2839" t="s">
        <v>2456</v>
      </c>
      <c r="D33" s="2840"/>
      <c r="E33" s="2841">
        <v>0.8</v>
      </c>
      <c r="F33" s="2838" t="s">
        <v>2457</v>
      </c>
      <c r="G33" s="2838"/>
    </row>
    <row r="34" spans="1:7" ht="19.5" customHeight="1">
      <c r="A34" s="3478"/>
      <c r="B34" s="3474"/>
      <c r="C34" s="2839" t="s">
        <v>2458</v>
      </c>
      <c r="D34" s="2840"/>
      <c r="E34" s="2841">
        <v>0.7</v>
      </c>
      <c r="F34" s="2838" t="s">
        <v>2459</v>
      </c>
      <c r="G34" s="2838"/>
    </row>
    <row r="35" spans="1:7" ht="19.5" customHeight="1">
      <c r="A35" s="3478"/>
      <c r="B35" s="3474"/>
      <c r="C35" s="2839" t="s">
        <v>2460</v>
      </c>
      <c r="D35" s="2840"/>
      <c r="E35" s="2841">
        <v>0.8</v>
      </c>
      <c r="F35" s="2838" t="s">
        <v>2461</v>
      </c>
      <c r="G35" s="2838"/>
    </row>
    <row r="36" spans="1:7" ht="19.5" customHeight="1">
      <c r="A36" s="3478"/>
      <c r="B36" s="3474"/>
      <c r="C36" s="2839" t="s">
        <v>2462</v>
      </c>
      <c r="D36" s="2840"/>
      <c r="E36" s="2841">
        <v>0.6</v>
      </c>
      <c r="F36" s="2838" t="s">
        <v>2463</v>
      </c>
      <c r="G36" s="2838"/>
    </row>
    <row r="37" spans="1:7" ht="19.5" customHeight="1">
      <c r="A37" s="3478"/>
      <c r="B37" s="3474"/>
      <c r="C37" s="2839" t="s">
        <v>2464</v>
      </c>
      <c r="D37" s="2840"/>
      <c r="E37" s="2841">
        <v>0.2</v>
      </c>
      <c r="F37" s="2838" t="s">
        <v>2465</v>
      </c>
      <c r="G37" s="2838"/>
    </row>
    <row r="38" spans="1:7" ht="19.5" customHeight="1">
      <c r="A38" s="3478"/>
      <c r="B38" s="3474"/>
      <c r="C38" s="2839" t="s">
        <v>2466</v>
      </c>
      <c r="D38" s="2840"/>
      <c r="E38" s="2841">
        <v>0.2</v>
      </c>
      <c r="F38" s="2838" t="s">
        <v>2467</v>
      </c>
      <c r="G38" s="2838"/>
    </row>
    <row r="39" spans="1:7" ht="19.5" customHeight="1">
      <c r="A39" s="3478"/>
      <c r="B39" s="3472" t="s">
        <v>2628</v>
      </c>
      <c r="C39" s="2839" t="s">
        <v>2468</v>
      </c>
      <c r="D39" s="2840"/>
      <c r="E39" s="2841">
        <v>0.6</v>
      </c>
      <c r="F39" s="2838" t="s">
        <v>2469</v>
      </c>
      <c r="G39" s="2838"/>
    </row>
    <row r="40" spans="1:7" ht="19.5" customHeight="1">
      <c r="A40" s="3478"/>
      <c r="B40" s="3474"/>
      <c r="C40" s="2839" t="s">
        <v>2470</v>
      </c>
      <c r="D40" s="2840"/>
      <c r="E40" s="2841">
        <v>0.6</v>
      </c>
      <c r="F40" s="2838" t="s">
        <v>2471</v>
      </c>
      <c r="G40" s="2838"/>
    </row>
    <row r="41" spans="1:7" ht="19.5" customHeight="1" thickBot="1">
      <c r="A41" s="3479"/>
      <c r="B41" s="3481"/>
      <c r="C41" s="2842" t="s">
        <v>2472</v>
      </c>
      <c r="D41" s="2843"/>
      <c r="E41" s="2844">
        <v>0.6</v>
      </c>
      <c r="F41" s="2838" t="s">
        <v>2473</v>
      </c>
      <c r="G41" s="2838"/>
    </row>
    <row r="42" spans="1:7" ht="19.5" customHeight="1" thickBot="1">
      <c r="A42" s="2845" t="s">
        <v>2605</v>
      </c>
      <c r="B42" s="2846" t="s">
        <v>2605</v>
      </c>
      <c r="C42" s="2847" t="s">
        <v>2629</v>
      </c>
      <c r="D42" s="2848"/>
      <c r="E42" s="2849">
        <v>1</v>
      </c>
      <c r="F42" s="2838" t="s">
        <v>2474</v>
      </c>
      <c r="G42" s="2838"/>
    </row>
    <row r="43" spans="1:7" ht="19.5" customHeight="1">
      <c r="A43" s="3482" t="s">
        <v>2606</v>
      </c>
      <c r="B43" s="3480" t="s">
        <v>2630</v>
      </c>
      <c r="C43" s="2835" t="s">
        <v>2475</v>
      </c>
      <c r="D43" s="2836"/>
      <c r="E43" s="2837">
        <v>1</v>
      </c>
      <c r="F43" s="2838" t="s">
        <v>2476</v>
      </c>
      <c r="G43" s="2838"/>
    </row>
    <row r="44" spans="1:7" ht="19.5" customHeight="1">
      <c r="A44" s="3483"/>
      <c r="B44" s="3474"/>
      <c r="C44" s="2839" t="s">
        <v>2477</v>
      </c>
      <c r="D44" s="2840"/>
      <c r="E44" s="2841">
        <v>1</v>
      </c>
      <c r="F44" s="2838" t="s">
        <v>2478</v>
      </c>
      <c r="G44" s="2838"/>
    </row>
    <row r="45" spans="1:7" ht="19.5" customHeight="1">
      <c r="A45" s="3483"/>
      <c r="B45" s="3473"/>
      <c r="C45" s="2839" t="s">
        <v>2479</v>
      </c>
      <c r="D45" s="2840"/>
      <c r="E45" s="2841">
        <v>1.5</v>
      </c>
      <c r="F45" s="2838" t="s">
        <v>2480</v>
      </c>
      <c r="G45" s="2838"/>
    </row>
    <row r="46" spans="1:7" ht="19.5" customHeight="1">
      <c r="A46" s="3483"/>
      <c r="B46" s="2850" t="s">
        <v>2631</v>
      </c>
      <c r="C46" s="2839" t="s">
        <v>2632</v>
      </c>
      <c r="D46" s="2840"/>
      <c r="E46" s="2841">
        <v>2</v>
      </c>
      <c r="F46" s="2838" t="s">
        <v>2481</v>
      </c>
      <c r="G46" s="2838"/>
    </row>
    <row r="47" spans="1:7" ht="19.5" customHeight="1">
      <c r="A47" s="3483"/>
      <c r="B47" s="3472" t="s">
        <v>2633</v>
      </c>
      <c r="C47" s="2839" t="s">
        <v>2482</v>
      </c>
      <c r="D47" s="2840"/>
      <c r="E47" s="2841">
        <v>1</v>
      </c>
      <c r="F47" s="2838" t="s">
        <v>2483</v>
      </c>
      <c r="G47" s="2838"/>
    </row>
    <row r="48" spans="1:7" ht="19.5" customHeight="1">
      <c r="A48" s="3483"/>
      <c r="B48" s="3474"/>
      <c r="C48" s="2839" t="s">
        <v>2484</v>
      </c>
      <c r="D48" s="2840"/>
      <c r="E48" s="2841">
        <v>1</v>
      </c>
      <c r="F48" s="2838" t="s">
        <v>2485</v>
      </c>
      <c r="G48" s="2838"/>
    </row>
    <row r="49" spans="1:7" ht="19.5" customHeight="1">
      <c r="A49" s="3483"/>
      <c r="B49" s="3474"/>
      <c r="C49" s="2839" t="s">
        <v>2486</v>
      </c>
      <c r="D49" s="2840"/>
      <c r="E49" s="2841">
        <v>1</v>
      </c>
      <c r="F49" s="2838" t="s">
        <v>2487</v>
      </c>
      <c r="G49" s="2838"/>
    </row>
    <row r="50" spans="1:7" ht="19.5" customHeight="1">
      <c r="A50" s="3483"/>
      <c r="B50" s="3474"/>
      <c r="C50" s="2839" t="s">
        <v>2488</v>
      </c>
      <c r="D50" s="2840"/>
      <c r="E50" s="2841">
        <v>1</v>
      </c>
      <c r="F50" s="2838" t="s">
        <v>2489</v>
      </c>
      <c r="G50" s="2838"/>
    </row>
    <row r="51" spans="1:7" ht="19.5" customHeight="1">
      <c r="A51" s="3483"/>
      <c r="B51" s="3474"/>
      <c r="C51" s="2839" t="s">
        <v>2490</v>
      </c>
      <c r="D51" s="2840"/>
      <c r="E51" s="2841">
        <v>1</v>
      </c>
      <c r="F51" s="2838" t="s">
        <v>2491</v>
      </c>
      <c r="G51" s="2838"/>
    </row>
    <row r="52" spans="1:7" ht="19.5" customHeight="1">
      <c r="A52" s="3483"/>
      <c r="B52" s="3474"/>
      <c r="C52" s="2839" t="s">
        <v>2492</v>
      </c>
      <c r="D52" s="2840"/>
      <c r="E52" s="2841">
        <v>1</v>
      </c>
      <c r="F52" s="2838" t="s">
        <v>2493</v>
      </c>
      <c r="G52" s="2838"/>
    </row>
    <row r="53" spans="1:7" ht="19.5" customHeight="1" thickBot="1">
      <c r="A53" s="3484"/>
      <c r="B53" s="3481"/>
      <c r="C53" s="2842" t="s">
        <v>2494</v>
      </c>
      <c r="D53" s="2843"/>
      <c r="E53" s="2844">
        <v>1</v>
      </c>
      <c r="F53" s="2838" t="s">
        <v>2495</v>
      </c>
      <c r="G53" s="2838"/>
    </row>
    <row r="54" spans="1:7" ht="19.5" customHeight="1">
      <c r="A54" s="2851"/>
      <c r="B54" s="2851"/>
      <c r="C54" s="2851"/>
      <c r="D54" s="2851"/>
      <c r="E54" s="2851"/>
      <c r="F54" s="2851"/>
      <c r="G54" s="2851"/>
    </row>
    <row r="56" spans="1:7" ht="19.5" customHeight="1">
      <c r="A56" s="2852"/>
      <c r="B56" s="2824" t="s">
        <v>2634</v>
      </c>
      <c r="C56" s="2824" t="s">
        <v>2634</v>
      </c>
      <c r="D56" s="2824" t="s">
        <v>2634</v>
      </c>
      <c r="E56" s="2827" t="s">
        <v>2634</v>
      </c>
      <c r="F56" s="2827" t="s">
        <v>2635</v>
      </c>
      <c r="G56" s="2827" t="s">
        <v>2636</v>
      </c>
    </row>
    <row r="57" spans="1:7" ht="19.5" customHeight="1">
      <c r="A57" s="2853"/>
      <c r="B57" s="2827" t="s">
        <v>2603</v>
      </c>
      <c r="C57" s="2827" t="s">
        <v>2603</v>
      </c>
      <c r="D57" s="2827" t="s">
        <v>2603</v>
      </c>
      <c r="E57" s="2824" t="s">
        <v>2604</v>
      </c>
      <c r="F57" s="2824" t="s">
        <v>2606</v>
      </c>
      <c r="G57" s="2824" t="s">
        <v>2637</v>
      </c>
    </row>
    <row r="58" spans="1:7" ht="19.5" customHeight="1">
      <c r="A58" s="2854"/>
      <c r="B58" s="2824">
        <v>1</v>
      </c>
      <c r="C58" s="2824">
        <v>2</v>
      </c>
      <c r="D58" s="2824">
        <v>3</v>
      </c>
      <c r="E58" s="2855" t="s">
        <v>2638</v>
      </c>
      <c r="F58" s="2855" t="s">
        <v>2638</v>
      </c>
      <c r="G58" s="2855" t="s">
        <v>2638</v>
      </c>
    </row>
    <row r="59" spans="1:7" ht="19.5" customHeight="1">
      <c r="A59" s="2856" t="s">
        <v>2591</v>
      </c>
      <c r="B59" s="2824">
        <v>0.7</v>
      </c>
      <c r="C59" s="2824">
        <v>0.4</v>
      </c>
      <c r="D59" s="2824">
        <v>0.3</v>
      </c>
      <c r="E59" s="2855">
        <v>0.3</v>
      </c>
      <c r="F59" s="2824">
        <v>0.3</v>
      </c>
      <c r="G59" s="2824">
        <v>0.2</v>
      </c>
    </row>
    <row r="60" spans="1:7" ht="19.5" customHeight="1">
      <c r="A60" s="2856" t="s">
        <v>2592</v>
      </c>
      <c r="B60" s="2824">
        <v>0.7</v>
      </c>
      <c r="C60" s="2824">
        <v>0.4</v>
      </c>
      <c r="D60" s="2824">
        <v>0.3</v>
      </c>
      <c r="E60" s="2824">
        <v>0.3</v>
      </c>
      <c r="F60" s="2824">
        <v>0.3</v>
      </c>
      <c r="G60" s="2824">
        <v>0.2</v>
      </c>
    </row>
    <row r="61" spans="1:7" ht="19.5" customHeight="1">
      <c r="A61" s="2856" t="s">
        <v>2593</v>
      </c>
      <c r="B61" s="2824">
        <v>0.6</v>
      </c>
      <c r="C61" s="2824">
        <v>0.3</v>
      </c>
      <c r="D61" s="2824">
        <v>0.25</v>
      </c>
      <c r="E61" s="2824">
        <v>0.25</v>
      </c>
      <c r="F61" s="2824">
        <v>0.25</v>
      </c>
      <c r="G61" s="2824">
        <v>0.15</v>
      </c>
    </row>
    <row r="62" spans="1:7" ht="19.5" customHeight="1">
      <c r="A62" s="2856" t="s">
        <v>2594</v>
      </c>
      <c r="B62" s="2824">
        <v>0.6</v>
      </c>
      <c r="C62" s="2824">
        <v>0.3</v>
      </c>
      <c r="D62" s="2824">
        <v>0.25</v>
      </c>
      <c r="E62" s="2824">
        <v>0.25</v>
      </c>
      <c r="F62" s="2824">
        <v>0.25</v>
      </c>
      <c r="G62" s="2824">
        <v>0.15</v>
      </c>
    </row>
    <row r="63" spans="1:7" ht="19.5" customHeight="1">
      <c r="A63" s="2856" t="s">
        <v>2595</v>
      </c>
      <c r="B63" s="2824">
        <v>0.6</v>
      </c>
      <c r="C63" s="2824">
        <v>0.3</v>
      </c>
      <c r="D63" s="2824">
        <v>0.25</v>
      </c>
      <c r="E63" s="2824">
        <v>0.25</v>
      </c>
      <c r="F63" s="2824">
        <v>0.25</v>
      </c>
      <c r="G63" s="2824">
        <v>0.15</v>
      </c>
    </row>
    <row r="64" spans="1:7" ht="19.5" customHeight="1">
      <c r="A64" s="2856" t="s">
        <v>2596</v>
      </c>
      <c r="B64" s="2824">
        <v>0.6</v>
      </c>
      <c r="C64" s="2824">
        <v>0.3</v>
      </c>
      <c r="D64" s="2824">
        <v>0.25</v>
      </c>
      <c r="E64" s="2824">
        <v>0.25</v>
      </c>
      <c r="F64" s="2824">
        <v>0.25</v>
      </c>
      <c r="G64" s="2824">
        <v>0.15</v>
      </c>
    </row>
    <row r="65" spans="1:7" ht="19.5" customHeight="1">
      <c r="A65" s="2856" t="s">
        <v>2597</v>
      </c>
      <c r="B65" s="2824">
        <v>0.6</v>
      </c>
      <c r="C65" s="2824">
        <v>0.3</v>
      </c>
      <c r="D65" s="2824">
        <v>0.25</v>
      </c>
      <c r="E65" s="2824">
        <v>0.25</v>
      </c>
      <c r="F65" s="2824">
        <v>0.25</v>
      </c>
      <c r="G65" s="2824">
        <v>0.15</v>
      </c>
    </row>
    <row r="66" spans="1:7" ht="19.5" customHeight="1">
      <c r="A66" s="2856" t="s">
        <v>2598</v>
      </c>
      <c r="B66" s="2824">
        <v>0.5</v>
      </c>
      <c r="C66" s="2824">
        <v>0.2</v>
      </c>
      <c r="D66" s="2824">
        <v>0.2</v>
      </c>
      <c r="E66" s="2824">
        <v>0.2</v>
      </c>
      <c r="F66" s="2824">
        <v>0.2</v>
      </c>
      <c r="G66" s="2824">
        <v>0.1</v>
      </c>
    </row>
    <row r="67" spans="1:7" ht="19.5" customHeight="1">
      <c r="A67" s="2856" t="s">
        <v>2599</v>
      </c>
      <c r="B67" s="2824">
        <v>0.5</v>
      </c>
      <c r="C67" s="2824">
        <v>0.2</v>
      </c>
      <c r="D67" s="2824">
        <v>0.2</v>
      </c>
      <c r="E67" s="2824">
        <v>0.2</v>
      </c>
      <c r="F67" s="2824">
        <v>0.2</v>
      </c>
      <c r="G67" s="2824">
        <v>0.1</v>
      </c>
    </row>
    <row r="68" spans="1:7" ht="19.5" customHeight="1">
      <c r="A68" s="2856" t="s">
        <v>2600</v>
      </c>
      <c r="B68" s="2824">
        <v>0.5</v>
      </c>
      <c r="C68" s="2824">
        <v>0.2</v>
      </c>
      <c r="D68" s="2824">
        <v>0.2</v>
      </c>
      <c r="E68" s="2824">
        <v>0.2</v>
      </c>
      <c r="F68" s="2824">
        <v>0.2</v>
      </c>
      <c r="G68" s="2824">
        <v>0.1</v>
      </c>
    </row>
    <row r="69" spans="1:7" ht="19.5" customHeight="1">
      <c r="A69" s="2856" t="s">
        <v>2601</v>
      </c>
      <c r="B69" s="2824">
        <v>0.5</v>
      </c>
      <c r="C69" s="2824">
        <v>0.2</v>
      </c>
      <c r="D69" s="2824">
        <v>0.2</v>
      </c>
      <c r="E69" s="2824">
        <v>0.2</v>
      </c>
      <c r="F69" s="2824">
        <v>0.2</v>
      </c>
      <c r="G69" s="2824">
        <v>0.1</v>
      </c>
    </row>
    <row r="70" spans="1:7" ht="19.5" customHeight="1">
      <c r="A70" s="2856" t="s">
        <v>2602</v>
      </c>
      <c r="B70" s="2824">
        <v>0.5</v>
      </c>
      <c r="C70" s="2824">
        <v>0.2</v>
      </c>
      <c r="D70" s="2824">
        <v>0.2</v>
      </c>
      <c r="E70" s="2824">
        <v>0.2</v>
      </c>
      <c r="F70" s="2824">
        <v>0.2</v>
      </c>
      <c r="G70" s="2824">
        <v>0.1</v>
      </c>
    </row>
    <row r="72" spans="1:7" ht="19.5" customHeight="1">
      <c r="A72" s="2838"/>
      <c r="B72" s="2857"/>
      <c r="C72" s="2857"/>
      <c r="D72" s="2857" t="s">
        <v>2639</v>
      </c>
      <c r="E72" s="2857"/>
      <c r="F72" s="2857"/>
    </row>
    <row r="73" spans="1:7" ht="19.5" customHeight="1">
      <c r="A73" s="2850" t="s">
        <v>2640</v>
      </c>
      <c r="B73" s="2850" t="s">
        <v>2641</v>
      </c>
      <c r="C73" s="2850" t="s">
        <v>2642</v>
      </c>
      <c r="D73" s="2850" t="s">
        <v>2643</v>
      </c>
      <c r="E73" s="2850" t="s">
        <v>2644</v>
      </c>
      <c r="F73" s="2850" t="s">
        <v>2645</v>
      </c>
    </row>
    <row r="74" spans="1:7" ht="13.5">
      <c r="A74" s="2850"/>
      <c r="B74" s="2850"/>
      <c r="C74" s="2850" t="s">
        <v>2646</v>
      </c>
      <c r="D74" s="2850"/>
      <c r="E74" s="2850" t="s">
        <v>2617</v>
      </c>
      <c r="F74" s="2850" t="s">
        <v>2617</v>
      </c>
    </row>
    <row r="75" spans="1:7" ht="13.5">
      <c r="A75" s="2850">
        <v>1</v>
      </c>
      <c r="B75" s="3472" t="s">
        <v>2647</v>
      </c>
      <c r="C75" s="2824" t="s">
        <v>2648</v>
      </c>
      <c r="D75" s="2824" t="s">
        <v>2649</v>
      </c>
      <c r="E75" s="2850">
        <v>0.2</v>
      </c>
      <c r="F75" s="2850">
        <v>25</v>
      </c>
    </row>
    <row r="76" spans="1:7" ht="24">
      <c r="A76" s="2850">
        <v>2</v>
      </c>
      <c r="B76" s="3474"/>
      <c r="C76" s="2824" t="s">
        <v>2650</v>
      </c>
      <c r="D76" s="2824" t="s">
        <v>2651</v>
      </c>
      <c r="E76" s="2850">
        <v>0.2</v>
      </c>
      <c r="F76" s="2850">
        <v>25</v>
      </c>
    </row>
    <row r="77" spans="1:7" ht="24">
      <c r="A77" s="2850">
        <v>3</v>
      </c>
      <c r="B77" s="3474"/>
      <c r="C77" s="2824" t="s">
        <v>2652</v>
      </c>
      <c r="D77" s="2824" t="s">
        <v>2653</v>
      </c>
      <c r="E77" s="2850">
        <v>0.2</v>
      </c>
      <c r="F77" s="2850">
        <v>25</v>
      </c>
    </row>
    <row r="78" spans="1:7" ht="13.5">
      <c r="A78" s="2850">
        <v>4</v>
      </c>
      <c r="B78" s="3474"/>
      <c r="C78" s="2824" t="s">
        <v>2654</v>
      </c>
      <c r="D78" s="2824" t="s">
        <v>2655</v>
      </c>
      <c r="E78" s="2850">
        <v>0.15</v>
      </c>
      <c r="F78" s="2850">
        <v>20</v>
      </c>
    </row>
    <row r="79" spans="1:7" ht="24">
      <c r="A79" s="2850">
        <v>5</v>
      </c>
      <c r="B79" s="3474"/>
      <c r="C79" s="2824" t="s">
        <v>2656</v>
      </c>
      <c r="D79" s="2824" t="s">
        <v>2657</v>
      </c>
      <c r="E79" s="2850">
        <v>0.15</v>
      </c>
      <c r="F79" s="2850">
        <v>20</v>
      </c>
    </row>
    <row r="80" spans="1:7" ht="24">
      <c r="A80" s="2850">
        <v>6</v>
      </c>
      <c r="B80" s="3474"/>
      <c r="C80" s="2824" t="s">
        <v>2658</v>
      </c>
      <c r="D80" s="2824" t="s">
        <v>2659</v>
      </c>
      <c r="E80" s="2850">
        <v>0.15</v>
      </c>
      <c r="F80" s="2850">
        <v>20</v>
      </c>
    </row>
    <row r="81" spans="1:6" ht="24">
      <c r="A81" s="2850">
        <v>7</v>
      </c>
      <c r="B81" s="3474"/>
      <c r="C81" s="2824" t="s">
        <v>2660</v>
      </c>
      <c r="D81" s="2824" t="s">
        <v>2661</v>
      </c>
      <c r="E81" s="2850">
        <v>0.15</v>
      </c>
      <c r="F81" s="2850">
        <v>20</v>
      </c>
    </row>
    <row r="82" spans="1:6" ht="24">
      <c r="A82" s="2850">
        <v>8</v>
      </c>
      <c r="B82" s="3474"/>
      <c r="C82" s="2824" t="s">
        <v>2662</v>
      </c>
      <c r="D82" s="2824" t="s">
        <v>2663</v>
      </c>
      <c r="E82" s="2850">
        <v>0.1</v>
      </c>
      <c r="F82" s="2850">
        <v>15</v>
      </c>
    </row>
    <row r="83" spans="1:6" ht="24">
      <c r="A83" s="2850">
        <v>9</v>
      </c>
      <c r="B83" s="3474"/>
      <c r="C83" s="2824" t="s">
        <v>2664</v>
      </c>
      <c r="D83" s="2824" t="s">
        <v>2665</v>
      </c>
      <c r="E83" s="2850">
        <v>0.1</v>
      </c>
      <c r="F83" s="2850">
        <v>15</v>
      </c>
    </row>
    <row r="84" spans="1:6" ht="24">
      <c r="A84" s="2850">
        <v>10</v>
      </c>
      <c r="B84" s="3474"/>
      <c r="C84" s="2824" t="s">
        <v>2666</v>
      </c>
      <c r="D84" s="2824" t="s">
        <v>2667</v>
      </c>
      <c r="E84" s="2850">
        <v>0.1</v>
      </c>
      <c r="F84" s="2850">
        <v>15</v>
      </c>
    </row>
    <row r="85" spans="1:6" ht="24">
      <c r="A85" s="2850">
        <v>11</v>
      </c>
      <c r="B85" s="3474"/>
      <c r="C85" s="2824" t="s">
        <v>2668</v>
      </c>
      <c r="D85" s="2824" t="s">
        <v>2669</v>
      </c>
      <c r="E85" s="2850">
        <v>0.1</v>
      </c>
      <c r="F85" s="2850">
        <v>15</v>
      </c>
    </row>
    <row r="86" spans="1:6" ht="24">
      <c r="A86" s="2850">
        <v>12</v>
      </c>
      <c r="B86" s="3474"/>
      <c r="C86" s="2824" t="s">
        <v>2670</v>
      </c>
      <c r="D86" s="2824" t="s">
        <v>2671</v>
      </c>
      <c r="E86" s="2850">
        <v>0.1</v>
      </c>
      <c r="F86" s="2850">
        <v>15</v>
      </c>
    </row>
    <row r="87" spans="1:6" ht="13.5">
      <c r="A87" s="2850">
        <v>13</v>
      </c>
      <c r="B87" s="3474"/>
      <c r="C87" s="2824" t="s">
        <v>2672</v>
      </c>
      <c r="D87" s="2824" t="s">
        <v>2673</v>
      </c>
      <c r="E87" s="2850">
        <v>0.1</v>
      </c>
      <c r="F87" s="2850">
        <v>15</v>
      </c>
    </row>
    <row r="88" spans="1:6" ht="13.5">
      <c r="A88" s="2850">
        <v>14</v>
      </c>
      <c r="B88" s="3474"/>
      <c r="C88" s="2824" t="s">
        <v>2674</v>
      </c>
      <c r="D88" s="2824" t="s">
        <v>2675</v>
      </c>
      <c r="E88" s="2850">
        <v>0.1</v>
      </c>
      <c r="F88" s="2850">
        <v>15</v>
      </c>
    </row>
    <row r="89" spans="1:6" ht="13.5">
      <c r="A89" s="2850">
        <v>15</v>
      </c>
      <c r="B89" s="3474"/>
      <c r="C89" s="2824" t="s">
        <v>2676</v>
      </c>
      <c r="D89" s="2824" t="s">
        <v>2677</v>
      </c>
      <c r="E89" s="2850">
        <v>0.1</v>
      </c>
      <c r="F89" s="2850">
        <v>15</v>
      </c>
    </row>
    <row r="90" spans="1:6" ht="24">
      <c r="A90" s="2850">
        <v>16</v>
      </c>
      <c r="B90" s="3474"/>
      <c r="C90" s="2824" t="s">
        <v>2678</v>
      </c>
      <c r="D90" s="2824" t="s">
        <v>2679</v>
      </c>
      <c r="E90" s="2850">
        <v>0.1</v>
      </c>
      <c r="F90" s="2850">
        <v>15</v>
      </c>
    </row>
    <row r="91" spans="1:6" ht="24">
      <c r="A91" s="2850">
        <v>17</v>
      </c>
      <c r="B91" s="3473"/>
      <c r="C91" s="2824" t="s">
        <v>2680</v>
      </c>
      <c r="D91" s="2824" t="s">
        <v>2681</v>
      </c>
      <c r="E91" s="2850">
        <v>0.1</v>
      </c>
      <c r="F91" s="2850">
        <v>15</v>
      </c>
    </row>
    <row r="92" spans="1:6" ht="13.5">
      <c r="A92" s="2850">
        <v>18</v>
      </c>
      <c r="B92" s="3472" t="s">
        <v>2682</v>
      </c>
      <c r="C92" s="2824" t="s">
        <v>2683</v>
      </c>
      <c r="D92" s="2824" t="s">
        <v>2684</v>
      </c>
      <c r="E92" s="2850">
        <v>0.2</v>
      </c>
      <c r="F92" s="2850">
        <v>25</v>
      </c>
    </row>
    <row r="93" spans="1:6" ht="24">
      <c r="A93" s="2850">
        <v>19</v>
      </c>
      <c r="B93" s="3474"/>
      <c r="C93" s="2824" t="s">
        <v>2685</v>
      </c>
      <c r="D93" s="2824" t="s">
        <v>2686</v>
      </c>
      <c r="E93" s="2850">
        <v>0.2</v>
      </c>
      <c r="F93" s="2850">
        <v>25</v>
      </c>
    </row>
    <row r="94" spans="1:6" ht="13.5">
      <c r="A94" s="2850">
        <v>20</v>
      </c>
      <c r="B94" s="3474"/>
      <c r="C94" s="2824" t="s">
        <v>2687</v>
      </c>
      <c r="D94" s="2824" t="s">
        <v>2688</v>
      </c>
      <c r="E94" s="2850">
        <v>0.15</v>
      </c>
      <c r="F94" s="2850">
        <v>20</v>
      </c>
    </row>
    <row r="95" spans="1:6" ht="13.5">
      <c r="A95" s="2850">
        <v>21</v>
      </c>
      <c r="B95" s="3474"/>
      <c r="C95" s="2824" t="s">
        <v>2689</v>
      </c>
      <c r="D95" s="2824" t="s">
        <v>2690</v>
      </c>
      <c r="E95" s="2850">
        <v>0.15</v>
      </c>
      <c r="F95" s="2850">
        <v>20</v>
      </c>
    </row>
    <row r="96" spans="1:6" ht="13.5">
      <c r="A96" s="2850">
        <v>22</v>
      </c>
      <c r="B96" s="3474"/>
      <c r="C96" s="2824" t="s">
        <v>2691</v>
      </c>
      <c r="D96" s="2824" t="s">
        <v>2692</v>
      </c>
      <c r="E96" s="2850">
        <v>0.15</v>
      </c>
      <c r="F96" s="2850">
        <v>20</v>
      </c>
    </row>
    <row r="97" spans="1:6" ht="36">
      <c r="A97" s="2850">
        <v>23</v>
      </c>
      <c r="B97" s="3474"/>
      <c r="C97" s="2824" t="s">
        <v>2693</v>
      </c>
      <c r="D97" s="2824" t="s">
        <v>2694</v>
      </c>
      <c r="E97" s="2850">
        <v>0.15</v>
      </c>
      <c r="F97" s="2850">
        <v>20</v>
      </c>
    </row>
    <row r="98" spans="1:6" ht="13.5">
      <c r="A98" s="2850">
        <v>24</v>
      </c>
      <c r="B98" s="3474"/>
      <c r="C98" s="2824" t="s">
        <v>2695</v>
      </c>
      <c r="D98" s="2824" t="s">
        <v>2696</v>
      </c>
      <c r="E98" s="2850">
        <v>0.1</v>
      </c>
      <c r="F98" s="2850">
        <v>15</v>
      </c>
    </row>
    <row r="99" spans="1:6" ht="13.5">
      <c r="A99" s="2850">
        <v>25</v>
      </c>
      <c r="B99" s="3474"/>
      <c r="C99" s="2824" t="s">
        <v>2697</v>
      </c>
      <c r="D99" s="2824" t="s">
        <v>2698</v>
      </c>
      <c r="E99" s="2850">
        <v>0.1</v>
      </c>
      <c r="F99" s="2850">
        <v>15</v>
      </c>
    </row>
    <row r="100" spans="1:6" ht="24">
      <c r="A100" s="2850">
        <v>26</v>
      </c>
      <c r="B100" s="3474"/>
      <c r="C100" s="2824" t="s">
        <v>2699</v>
      </c>
      <c r="D100" s="2824" t="s">
        <v>2700</v>
      </c>
      <c r="E100" s="2850">
        <v>0.1</v>
      </c>
      <c r="F100" s="2850">
        <v>15</v>
      </c>
    </row>
    <row r="101" spans="1:6" ht="24">
      <c r="A101" s="2850">
        <v>27</v>
      </c>
      <c r="B101" s="3474"/>
      <c r="C101" s="2824" t="s">
        <v>2701</v>
      </c>
      <c r="D101" s="2824" t="s">
        <v>2702</v>
      </c>
      <c r="E101" s="2850">
        <v>0.1</v>
      </c>
      <c r="F101" s="2850">
        <v>15</v>
      </c>
    </row>
    <row r="102" spans="1:6" ht="13.5">
      <c r="A102" s="2850">
        <v>28</v>
      </c>
      <c r="B102" s="3474"/>
      <c r="C102" s="2824" t="s">
        <v>2703</v>
      </c>
      <c r="D102" s="2824" t="s">
        <v>2704</v>
      </c>
      <c r="E102" s="2850">
        <v>0.1</v>
      </c>
      <c r="F102" s="2850">
        <v>15</v>
      </c>
    </row>
    <row r="103" spans="1:6" ht="13.5">
      <c r="A103" s="2850">
        <v>29</v>
      </c>
      <c r="B103" s="3474"/>
      <c r="C103" s="2824" t="s">
        <v>2705</v>
      </c>
      <c r="D103" s="2824" t="s">
        <v>2706</v>
      </c>
      <c r="E103" s="2850">
        <v>0.1</v>
      </c>
      <c r="F103" s="2850">
        <v>15</v>
      </c>
    </row>
    <row r="104" spans="1:6" ht="13.5">
      <c r="A104" s="2850">
        <v>30</v>
      </c>
      <c r="B104" s="3474"/>
      <c r="C104" s="2824" t="s">
        <v>2707</v>
      </c>
      <c r="D104" s="2824" t="s">
        <v>2708</v>
      </c>
      <c r="E104" s="2850">
        <v>0.1</v>
      </c>
      <c r="F104" s="2850">
        <v>15</v>
      </c>
    </row>
    <row r="105" spans="1:6" ht="24">
      <c r="A105" s="2850">
        <v>31</v>
      </c>
      <c r="B105" s="3474"/>
      <c r="C105" s="2824" t="s">
        <v>2709</v>
      </c>
      <c r="D105" s="2824" t="s">
        <v>2710</v>
      </c>
      <c r="E105" s="2850">
        <v>0.1</v>
      </c>
      <c r="F105" s="2850">
        <v>15</v>
      </c>
    </row>
    <row r="106" spans="1:6" ht="24">
      <c r="A106" s="2850">
        <v>32</v>
      </c>
      <c r="B106" s="3474"/>
      <c r="C106" s="2824" t="s">
        <v>2711</v>
      </c>
      <c r="D106" s="2824" t="s">
        <v>2712</v>
      </c>
      <c r="E106" s="2850">
        <v>0.1</v>
      </c>
      <c r="F106" s="2850">
        <v>15</v>
      </c>
    </row>
    <row r="107" spans="1:6" ht="24">
      <c r="A107" s="2850">
        <v>33</v>
      </c>
      <c r="B107" s="3474"/>
      <c r="C107" s="2824" t="s">
        <v>2713</v>
      </c>
      <c r="D107" s="2824" t="s">
        <v>2714</v>
      </c>
      <c r="E107" s="2850">
        <v>0.1</v>
      </c>
      <c r="F107" s="2850">
        <v>15</v>
      </c>
    </row>
    <row r="108" spans="1:6" ht="24">
      <c r="A108" s="2850">
        <v>34</v>
      </c>
      <c r="B108" s="3473"/>
      <c r="C108" s="2824" t="s">
        <v>2715</v>
      </c>
      <c r="D108" s="2824" t="s">
        <v>2716</v>
      </c>
      <c r="E108" s="2850">
        <v>0.1</v>
      </c>
      <c r="F108" s="2850">
        <v>15</v>
      </c>
    </row>
    <row r="109" spans="1:6" ht="24">
      <c r="A109" s="2850">
        <v>35</v>
      </c>
      <c r="B109" s="3472" t="s">
        <v>2717</v>
      </c>
      <c r="C109" s="2850" t="s">
        <v>2718</v>
      </c>
      <c r="D109" s="2824" t="s">
        <v>2719</v>
      </c>
      <c r="E109" s="2850">
        <v>0.15</v>
      </c>
      <c r="F109" s="2850">
        <v>20</v>
      </c>
    </row>
    <row r="110" spans="1:6" ht="13.5">
      <c r="A110" s="2850">
        <v>36</v>
      </c>
      <c r="B110" s="3474"/>
      <c r="C110" s="2850" t="s">
        <v>2720</v>
      </c>
      <c r="D110" s="2824" t="s">
        <v>2721</v>
      </c>
      <c r="E110" s="2850">
        <v>0.15</v>
      </c>
      <c r="F110" s="2850">
        <v>20</v>
      </c>
    </row>
    <row r="111" spans="1:6" ht="13.5">
      <c r="A111" s="2850">
        <v>37</v>
      </c>
      <c r="B111" s="3474"/>
      <c r="C111" s="2850" t="s">
        <v>2722</v>
      </c>
      <c r="D111" s="2824" t="s">
        <v>2723</v>
      </c>
      <c r="E111" s="2850">
        <v>0.15</v>
      </c>
      <c r="F111" s="2850">
        <v>20</v>
      </c>
    </row>
    <row r="112" spans="1:6" ht="13.5">
      <c r="A112" s="2850">
        <v>38</v>
      </c>
      <c r="B112" s="3474"/>
      <c r="C112" s="2850" t="s">
        <v>2724</v>
      </c>
      <c r="D112" s="2824" t="s">
        <v>2725</v>
      </c>
      <c r="E112" s="2850">
        <v>0.1</v>
      </c>
      <c r="F112" s="2850">
        <v>15</v>
      </c>
    </row>
    <row r="113" spans="1:6" ht="24">
      <c r="A113" s="2850">
        <v>39</v>
      </c>
      <c r="B113" s="3474"/>
      <c r="C113" s="2850" t="s">
        <v>2726</v>
      </c>
      <c r="D113" s="2824" t="s">
        <v>2727</v>
      </c>
      <c r="E113" s="2850">
        <v>0.1</v>
      </c>
      <c r="F113" s="2850">
        <v>15</v>
      </c>
    </row>
    <row r="114" spans="1:6" ht="24">
      <c r="A114" s="2850">
        <v>40</v>
      </c>
      <c r="B114" s="3473"/>
      <c r="C114" s="2850" t="s">
        <v>2728</v>
      </c>
      <c r="D114" s="2824" t="s">
        <v>2729</v>
      </c>
      <c r="E114" s="2850">
        <v>0.1</v>
      </c>
      <c r="F114" s="2850">
        <v>15</v>
      </c>
    </row>
    <row r="115" spans="1:6" ht="13.5">
      <c r="A115" s="2850">
        <v>41</v>
      </c>
      <c r="B115" s="3471" t="s">
        <v>2730</v>
      </c>
      <c r="C115" s="2850" t="s">
        <v>2731</v>
      </c>
      <c r="D115" s="2824" t="s">
        <v>2732</v>
      </c>
      <c r="E115" s="2850">
        <v>0.1</v>
      </c>
      <c r="F115" s="2850">
        <v>15</v>
      </c>
    </row>
    <row r="116" spans="1:6" ht="13.5">
      <c r="A116" s="2850">
        <v>42</v>
      </c>
      <c r="B116" s="3471"/>
      <c r="C116" s="2850" t="s">
        <v>2733</v>
      </c>
      <c r="D116" s="2824" t="s">
        <v>2734</v>
      </c>
      <c r="E116" s="2850">
        <v>0.1</v>
      </c>
      <c r="F116" s="2850">
        <v>15</v>
      </c>
    </row>
    <row r="117" spans="1:6" ht="24">
      <c r="A117" s="2850">
        <v>43</v>
      </c>
      <c r="B117" s="3471"/>
      <c r="C117" s="2850" t="s">
        <v>2735</v>
      </c>
      <c r="D117" s="2824" t="s">
        <v>2736</v>
      </c>
      <c r="E117" s="2850">
        <v>0.1</v>
      </c>
      <c r="F117" s="2850">
        <v>15</v>
      </c>
    </row>
    <row r="118" spans="1:6" ht="13.5">
      <c r="A118" s="2850">
        <v>44</v>
      </c>
      <c r="B118" s="3472" t="s">
        <v>2737</v>
      </c>
      <c r="C118" s="2850" t="s">
        <v>2738</v>
      </c>
      <c r="D118" s="2824" t="s">
        <v>2739</v>
      </c>
      <c r="E118" s="2850">
        <v>0.1</v>
      </c>
      <c r="F118" s="2850">
        <v>15</v>
      </c>
    </row>
    <row r="119" spans="1:6" ht="24">
      <c r="A119" s="2850">
        <v>45</v>
      </c>
      <c r="B119" s="3473"/>
      <c r="C119" s="2824" t="s">
        <v>2740</v>
      </c>
      <c r="D119" s="2824" t="s">
        <v>2741</v>
      </c>
      <c r="E119" s="2850">
        <v>0.1</v>
      </c>
      <c r="F119" s="2850">
        <v>15</v>
      </c>
    </row>
    <row r="120" spans="1:6" ht="24">
      <c r="A120" s="2850">
        <v>46</v>
      </c>
      <c r="B120" s="3472" t="s">
        <v>2742</v>
      </c>
      <c r="C120" s="2850" t="s">
        <v>2743</v>
      </c>
      <c r="D120" s="2824" t="s">
        <v>2744</v>
      </c>
      <c r="E120" s="2850">
        <v>0.1</v>
      </c>
      <c r="F120" s="2850">
        <v>15</v>
      </c>
    </row>
    <row r="121" spans="1:6" ht="24">
      <c r="A121" s="2850">
        <v>47</v>
      </c>
      <c r="B121" s="3473"/>
      <c r="C121" s="2850" t="s">
        <v>2745</v>
      </c>
      <c r="D121" s="2824" t="s">
        <v>2746</v>
      </c>
      <c r="E121" s="2850">
        <v>0.1</v>
      </c>
      <c r="F121" s="2850">
        <v>15</v>
      </c>
    </row>
    <row r="122" spans="1:6" ht="13.5">
      <c r="A122" s="2850">
        <v>48</v>
      </c>
      <c r="B122" s="3472" t="s">
        <v>2747</v>
      </c>
      <c r="C122" s="2850" t="s">
        <v>2748</v>
      </c>
      <c r="D122" s="2824" t="s">
        <v>2749</v>
      </c>
      <c r="E122" s="2850">
        <v>0.1</v>
      </c>
      <c r="F122" s="2850">
        <v>15</v>
      </c>
    </row>
    <row r="123" spans="1:6" ht="13.5">
      <c r="A123" s="2850">
        <v>49</v>
      </c>
      <c r="B123" s="3473"/>
      <c r="C123" s="2850" t="s">
        <v>2750</v>
      </c>
      <c r="D123" s="2824" t="s">
        <v>2751</v>
      </c>
      <c r="E123" s="2850">
        <v>0.1</v>
      </c>
      <c r="F123" s="2850">
        <v>15</v>
      </c>
    </row>
    <row r="124" spans="1:6" ht="24">
      <c r="A124" s="2850">
        <v>50</v>
      </c>
      <c r="B124" s="3471" t="s">
        <v>2752</v>
      </c>
      <c r="C124" s="2850" t="s">
        <v>2753</v>
      </c>
      <c r="D124" s="2824" t="s">
        <v>2754</v>
      </c>
      <c r="E124" s="2850">
        <v>0.1</v>
      </c>
      <c r="F124" s="2850">
        <v>15</v>
      </c>
    </row>
    <row r="125" spans="1:6" ht="24">
      <c r="A125" s="2850">
        <v>51</v>
      </c>
      <c r="B125" s="3471"/>
      <c r="C125" s="2850" t="s">
        <v>2755</v>
      </c>
      <c r="D125" s="2824" t="s">
        <v>2756</v>
      </c>
      <c r="E125" s="2850">
        <v>0.1</v>
      </c>
      <c r="F125" s="2850">
        <v>15</v>
      </c>
    </row>
    <row r="126" spans="1:6" ht="24">
      <c r="A126" s="2850">
        <v>52</v>
      </c>
      <c r="B126" s="3471" t="s">
        <v>2757</v>
      </c>
      <c r="C126" s="2850" t="s">
        <v>2758</v>
      </c>
      <c r="D126" s="2824" t="s">
        <v>2759</v>
      </c>
      <c r="E126" s="2850">
        <v>0.1</v>
      </c>
      <c r="F126" s="2850">
        <v>15</v>
      </c>
    </row>
    <row r="127" spans="1:6" ht="24">
      <c r="A127" s="2850">
        <v>53</v>
      </c>
      <c r="B127" s="3471"/>
      <c r="C127" s="2850" t="s">
        <v>2760</v>
      </c>
      <c r="D127" s="2824" t="s">
        <v>2761</v>
      </c>
      <c r="E127" s="2850">
        <v>0.1</v>
      </c>
      <c r="F127" s="2850">
        <v>15</v>
      </c>
    </row>
    <row r="128" spans="1:6" ht="13.5">
      <c r="A128" s="2850">
        <v>54</v>
      </c>
      <c r="B128" s="2850" t="s">
        <v>2762</v>
      </c>
      <c r="C128" s="2850" t="s">
        <v>2763</v>
      </c>
      <c r="D128" s="2824" t="s">
        <v>2764</v>
      </c>
      <c r="E128" s="2850">
        <v>0.1</v>
      </c>
      <c r="F128" s="2850">
        <v>15</v>
      </c>
    </row>
    <row r="129" spans="1:6" ht="13.5">
      <c r="A129" s="2850">
        <v>55</v>
      </c>
      <c r="B129" s="3471" t="s">
        <v>2765</v>
      </c>
      <c r="C129" s="2850" t="s">
        <v>2766</v>
      </c>
      <c r="D129" s="2824" t="s">
        <v>2767</v>
      </c>
      <c r="E129" s="2850">
        <v>0.1</v>
      </c>
      <c r="F129" s="2850">
        <v>15</v>
      </c>
    </row>
    <row r="130" spans="1:6" ht="13.5">
      <c r="A130" s="2850">
        <v>56</v>
      </c>
      <c r="B130" s="3471"/>
      <c r="C130" s="2850" t="s">
        <v>2768</v>
      </c>
      <c r="D130" s="2824" t="s">
        <v>2769</v>
      </c>
      <c r="E130" s="2850">
        <v>0.1</v>
      </c>
      <c r="F130" s="2850">
        <v>15</v>
      </c>
    </row>
    <row r="131" spans="1:6" ht="24">
      <c r="A131" s="2850">
        <v>57</v>
      </c>
      <c r="B131" s="3471"/>
      <c r="C131" s="2850" t="s">
        <v>2770</v>
      </c>
      <c r="D131" s="2824" t="s">
        <v>2771</v>
      </c>
      <c r="E131" s="2850">
        <v>0.1</v>
      </c>
      <c r="F131" s="2850">
        <v>15</v>
      </c>
    </row>
    <row r="132" spans="1:6" ht="24">
      <c r="A132" s="2850">
        <v>58</v>
      </c>
      <c r="B132" s="3471" t="s">
        <v>2772</v>
      </c>
      <c r="C132" s="2850" t="s">
        <v>2773</v>
      </c>
      <c r="D132" s="2824" t="s">
        <v>2774</v>
      </c>
      <c r="E132" s="2850">
        <v>0.1</v>
      </c>
      <c r="F132" s="2850">
        <v>15</v>
      </c>
    </row>
    <row r="133" spans="1:6" ht="13.5">
      <c r="A133" s="2850">
        <v>59</v>
      </c>
      <c r="B133" s="3471"/>
      <c r="C133" s="2850" t="s">
        <v>2775</v>
      </c>
      <c r="D133" s="2824" t="s">
        <v>2776</v>
      </c>
      <c r="E133" s="2850">
        <v>0.1</v>
      </c>
      <c r="F133" s="2850">
        <v>15</v>
      </c>
    </row>
    <row r="134" spans="1:6" ht="13.5">
      <c r="A134" s="2850">
        <v>60</v>
      </c>
      <c r="B134" s="3472" t="s">
        <v>2777</v>
      </c>
      <c r="C134" s="2850" t="s">
        <v>2778</v>
      </c>
      <c r="D134" s="2824" t="s">
        <v>2779</v>
      </c>
      <c r="E134" s="2850">
        <v>0.1</v>
      </c>
      <c r="F134" s="2850">
        <v>15</v>
      </c>
    </row>
    <row r="135" spans="1:6" ht="13.5">
      <c r="A135" s="2850">
        <v>61</v>
      </c>
      <c r="B135" s="3473"/>
      <c r="C135" s="2850" t="s">
        <v>2780</v>
      </c>
      <c r="D135" s="2824" t="s">
        <v>2781</v>
      </c>
      <c r="E135" s="2850">
        <v>0.1</v>
      </c>
      <c r="F135" s="2850">
        <v>15</v>
      </c>
    </row>
    <row r="136" spans="1:6" ht="24">
      <c r="A136" s="2850">
        <v>62</v>
      </c>
      <c r="B136" s="2850" t="s">
        <v>2782</v>
      </c>
      <c r="C136" s="2850" t="s">
        <v>2783</v>
      </c>
      <c r="D136" s="2824" t="s">
        <v>2784</v>
      </c>
      <c r="E136" s="2850">
        <v>0.1</v>
      </c>
      <c r="F136" s="2850">
        <v>15</v>
      </c>
    </row>
    <row r="137" spans="1:6" ht="13.5">
      <c r="A137" s="2850">
        <v>63</v>
      </c>
      <c r="B137" s="3471" t="s">
        <v>2785</v>
      </c>
      <c r="C137" s="2850" t="s">
        <v>2786</v>
      </c>
      <c r="D137" s="2824" t="s">
        <v>2787</v>
      </c>
      <c r="E137" s="2850">
        <v>0.1</v>
      </c>
      <c r="F137" s="2850">
        <v>15</v>
      </c>
    </row>
    <row r="138" spans="1:6" ht="13.5">
      <c r="A138" s="2850">
        <v>64</v>
      </c>
      <c r="B138" s="3471"/>
      <c r="C138" s="2850" t="s">
        <v>2788</v>
      </c>
      <c r="D138" s="2824" t="s">
        <v>2789</v>
      </c>
      <c r="E138" s="2850">
        <v>0.1</v>
      </c>
      <c r="F138" s="2850">
        <v>15</v>
      </c>
    </row>
    <row r="139" spans="1:6" ht="13.5">
      <c r="A139" s="2850">
        <v>65</v>
      </c>
      <c r="B139" s="2850" t="s">
        <v>2790</v>
      </c>
      <c r="C139" s="2850" t="s">
        <v>2791</v>
      </c>
      <c r="D139" s="2824" t="s">
        <v>2792</v>
      </c>
      <c r="E139" s="2850">
        <v>0.1</v>
      </c>
      <c r="F139" s="2850">
        <v>15</v>
      </c>
    </row>
    <row r="140" spans="1:6" ht="13.5">
      <c r="A140" s="2850"/>
      <c r="B140" s="2850"/>
      <c r="C140" s="2850"/>
      <c r="D140" s="2850"/>
      <c r="E140" s="2850" t="s">
        <v>2793</v>
      </c>
      <c r="F140" s="2850" t="s">
        <v>2793</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2794</v>
      </c>
      <c r="B1" s="2858"/>
      <c r="C1" s="2858"/>
      <c r="D1" s="2858"/>
      <c r="E1" s="2858"/>
      <c r="F1" s="2858"/>
      <c r="G1" s="2858"/>
      <c r="H1" s="2858"/>
      <c r="I1" s="2858"/>
      <c r="J1" s="2858"/>
      <c r="K1" s="2858"/>
      <c r="L1" s="2858"/>
      <c r="M1" s="2858"/>
      <c r="N1" s="703"/>
    </row>
    <row r="2" spans="1:20">
      <c r="A2" s="2859" t="s">
        <v>2795</v>
      </c>
      <c r="B2" s="2860" t="s">
        <v>2591</v>
      </c>
      <c r="C2" s="2860" t="s">
        <v>2592</v>
      </c>
      <c r="D2" s="2860" t="s">
        <v>2593</v>
      </c>
      <c r="E2" s="2860" t="s">
        <v>2594</v>
      </c>
      <c r="F2" s="2860" t="s">
        <v>2595</v>
      </c>
      <c r="G2" s="2860" t="s">
        <v>2596</v>
      </c>
      <c r="H2" s="2861" t="s">
        <v>2597</v>
      </c>
      <c r="I2" s="2861" t="s">
        <v>2598</v>
      </c>
      <c r="J2" s="2862" t="s">
        <v>2599</v>
      </c>
      <c r="K2" s="2862" t="s">
        <v>2600</v>
      </c>
      <c r="L2" s="2862" t="s">
        <v>2601</v>
      </c>
      <c r="M2" s="2863" t="s">
        <v>2602</v>
      </c>
      <c r="Q2" s="2873" t="s">
        <v>2800</v>
      </c>
      <c r="R2" s="2873" t="s">
        <v>2801</v>
      </c>
      <c r="S2" s="2873" t="s">
        <v>2802</v>
      </c>
      <c r="T2" s="2873" t="s">
        <v>2803</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2796</v>
      </c>
      <c r="B93" s="2858"/>
      <c r="C93" s="2858"/>
      <c r="D93" s="2858"/>
      <c r="E93" s="2858"/>
      <c r="F93" s="2858"/>
      <c r="G93" s="2858"/>
      <c r="H93" s="2858"/>
      <c r="I93" s="2858"/>
      <c r="J93" s="2858"/>
      <c r="K93" s="2858"/>
      <c r="L93" s="2858"/>
      <c r="M93" s="2858"/>
    </row>
    <row r="94" spans="1:20">
      <c r="A94" s="2859" t="s">
        <v>2795</v>
      </c>
      <c r="B94" s="2860" t="s">
        <v>2591</v>
      </c>
      <c r="C94" s="2860" t="s">
        <v>2592</v>
      </c>
      <c r="D94" s="2860" t="s">
        <v>2593</v>
      </c>
      <c r="E94" s="2860" t="s">
        <v>2594</v>
      </c>
      <c r="F94" s="2860" t="s">
        <v>2595</v>
      </c>
      <c r="G94" s="2860" t="s">
        <v>2596</v>
      </c>
      <c r="H94" s="2861" t="s">
        <v>2597</v>
      </c>
      <c r="I94" s="2861" t="s">
        <v>2598</v>
      </c>
      <c r="J94" s="2862" t="s">
        <v>2599</v>
      </c>
      <c r="K94" s="2862" t="s">
        <v>2600</v>
      </c>
      <c r="L94" s="2862" t="s">
        <v>2601</v>
      </c>
      <c r="M94" s="2863" t="s">
        <v>2602</v>
      </c>
      <c r="N94">
        <f>SUMPRODUCT((A95:A184=ROUNDDOWN('基准地价修正-商业'!G3,1))*(B94:M94='基准地价修正-商业'!G2)*(B95:M184))</f>
        <v>0</v>
      </c>
      <c r="Q94" s="2873" t="s">
        <v>2800</v>
      </c>
      <c r="R94" s="2873" t="s">
        <v>2801</v>
      </c>
      <c r="S94" s="2873" t="s">
        <v>2802</v>
      </c>
      <c r="T94" s="2873" t="s">
        <v>2803</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3"/>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3"/>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2797</v>
      </c>
      <c r="B185" s="2858"/>
      <c r="C185" s="2858"/>
      <c r="D185" s="2858"/>
      <c r="E185" s="2858"/>
      <c r="F185" s="2858"/>
      <c r="G185" s="2858"/>
      <c r="H185" s="2858"/>
      <c r="I185" s="2858"/>
      <c r="J185" s="2858"/>
      <c r="K185" s="2858"/>
      <c r="L185" s="2858"/>
      <c r="M185" s="2858"/>
    </row>
    <row r="186" spans="1:20">
      <c r="A186" s="2859" t="s">
        <v>2795</v>
      </c>
      <c r="B186" s="2860" t="s">
        <v>2591</v>
      </c>
      <c r="C186" s="2860" t="s">
        <v>2592</v>
      </c>
      <c r="D186" s="2860" t="s">
        <v>2593</v>
      </c>
      <c r="E186" s="2860" t="s">
        <v>2594</v>
      </c>
      <c r="F186" s="2860" t="s">
        <v>2595</v>
      </c>
      <c r="G186" s="2860" t="s">
        <v>2596</v>
      </c>
      <c r="H186" s="2861" t="s">
        <v>2597</v>
      </c>
      <c r="I186" s="2861" t="s">
        <v>2598</v>
      </c>
      <c r="J186" s="2862" t="s">
        <v>2599</v>
      </c>
      <c r="K186" s="2862" t="s">
        <v>2600</v>
      </c>
      <c r="L186" s="2862" t="s">
        <v>2601</v>
      </c>
      <c r="M186" s="2863" t="s">
        <v>2602</v>
      </c>
      <c r="Q186" s="2873" t="s">
        <v>2800</v>
      </c>
      <c r="R186" s="2873" t="s">
        <v>2801</v>
      </c>
      <c r="S186" s="2873" t="s">
        <v>2802</v>
      </c>
      <c r="T186" s="2873" t="s">
        <v>2803</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2798</v>
      </c>
      <c r="B277" s="2858"/>
      <c r="C277" s="2858"/>
      <c r="D277" s="2858"/>
      <c r="E277" s="2858"/>
      <c r="F277" s="2858"/>
      <c r="G277" s="2858"/>
      <c r="H277" s="2858"/>
      <c r="I277" s="2858"/>
      <c r="J277" s="2858"/>
      <c r="K277" s="2858"/>
      <c r="L277" s="2858"/>
      <c r="M277" s="2858"/>
    </row>
    <row r="278" spans="1:21">
      <c r="A278" s="2859" t="s">
        <v>2795</v>
      </c>
      <c r="B278" s="2860" t="s">
        <v>2591</v>
      </c>
      <c r="C278" s="2860" t="s">
        <v>2592</v>
      </c>
      <c r="D278" s="2860" t="s">
        <v>2593</v>
      </c>
      <c r="E278" s="2860" t="s">
        <v>2594</v>
      </c>
      <c r="F278" s="2860" t="s">
        <v>2595</v>
      </c>
      <c r="G278" s="2860" t="s">
        <v>2596</v>
      </c>
      <c r="H278" s="2861" t="s">
        <v>2597</v>
      </c>
      <c r="I278" s="2861" t="s">
        <v>2598</v>
      </c>
      <c r="J278" s="2862" t="s">
        <v>2599</v>
      </c>
      <c r="K278" s="2862" t="s">
        <v>2600</v>
      </c>
      <c r="L278" s="2862" t="s">
        <v>2601</v>
      </c>
      <c r="M278" s="2863" t="s">
        <v>2602</v>
      </c>
      <c r="Q278" s="2873" t="s">
        <v>2800</v>
      </c>
      <c r="R278" s="2873" t="s">
        <v>2801</v>
      </c>
      <c r="S278" s="2873" t="s">
        <v>2804</v>
      </c>
      <c r="T278" s="2873" t="s">
        <v>2805</v>
      </c>
      <c r="U278" s="2873" t="s">
        <v>2803</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2799</v>
      </c>
      <c r="B369" s="2871"/>
      <c r="C369" s="2871"/>
      <c r="D369" s="2871"/>
      <c r="E369" s="2871"/>
      <c r="F369" s="2871"/>
      <c r="G369" s="2871"/>
      <c r="H369" s="2871"/>
      <c r="I369" s="2871"/>
      <c r="J369" s="2871"/>
      <c r="K369" s="2871"/>
      <c r="L369" s="2871"/>
      <c r="M369" s="2871"/>
    </row>
    <row r="370" spans="1:20">
      <c r="A370" s="2859" t="s">
        <v>2795</v>
      </c>
      <c r="B370" s="2860" t="s">
        <v>2591</v>
      </c>
      <c r="C370" s="2860" t="s">
        <v>2592</v>
      </c>
      <c r="D370" s="2860" t="s">
        <v>2593</v>
      </c>
      <c r="E370" s="2860" t="s">
        <v>2594</v>
      </c>
      <c r="F370" s="2860" t="s">
        <v>2595</v>
      </c>
      <c r="G370" s="2860" t="s">
        <v>2596</v>
      </c>
      <c r="H370" s="2861" t="s">
        <v>2597</v>
      </c>
      <c r="I370" s="2861" t="s">
        <v>2598</v>
      </c>
      <c r="J370" s="2862" t="s">
        <v>2599</v>
      </c>
      <c r="K370" s="2862" t="s">
        <v>2600</v>
      </c>
      <c r="L370" s="2862" t="s">
        <v>2601</v>
      </c>
      <c r="M370" s="2863" t="s">
        <v>2602</v>
      </c>
      <c r="N370">
        <f>SUMPRODUCT((A371:A460=ROUNDDOWN('基准地价修正-商业'!G3,1))*(B370:M370='基准地价修正-商业'!G2)*(B371:M460))</f>
        <v>0</v>
      </c>
      <c r="Q370" s="2873" t="s">
        <v>2800</v>
      </c>
      <c r="R370" s="2873" t="s">
        <v>2801</v>
      </c>
      <c r="S370" s="2873" t="s">
        <v>2802</v>
      </c>
      <c r="T370" s="2873" t="s">
        <v>2803</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26423</v>
      </c>
      <c r="C2" s="2" t="s">
        <v>106</v>
      </c>
      <c r="D2" s="191"/>
      <c r="E2" s="191"/>
      <c r="F2" s="191"/>
      <c r="G2" s="191"/>
    </row>
    <row r="3" spans="1:7" s="192" customFormat="1" ht="18" customHeight="1" thickBot="1">
      <c r="A3" s="195" t="s">
        <v>58</v>
      </c>
      <c r="B3" s="196">
        <f ca="1">ROUND(B2*10000/'数据-汇总表'!E3,0)</f>
        <v>1707022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8" t="s">
        <v>346</v>
      </c>
      <c r="B6" s="207" t="s">
        <v>64</v>
      </c>
      <c r="C6" s="208">
        <v>20000</v>
      </c>
      <c r="D6" s="209"/>
      <c r="E6" s="210"/>
      <c r="F6" s="210"/>
      <c r="G6" s="211"/>
    </row>
    <row r="7" spans="1:7" s="206" customFormat="1" ht="13.5" customHeight="1">
      <c r="A7" s="728" t="s">
        <v>347</v>
      </c>
      <c r="B7" s="207" t="s">
        <v>30</v>
      </c>
      <c r="C7" s="212">
        <f>ROUND(C6*F7,0)</f>
        <v>610</v>
      </c>
      <c r="D7" s="212"/>
      <c r="E7" s="210"/>
      <c r="F7" s="213">
        <f>'数据-取费表'!B48+'数据-取费表'!B49</f>
        <v>3.0499999999999999E-2</v>
      </c>
      <c r="G7" s="211"/>
    </row>
    <row r="8" spans="1:7" s="215" customFormat="1">
      <c r="A8" s="728" t="s">
        <v>348</v>
      </c>
      <c r="B8" s="207" t="s">
        <v>65</v>
      </c>
      <c r="C8" s="212" t="str">
        <f>IF(G8="已包含在土地购买价格中","0",'数据-取费表'!B29)</f>
        <v>0</v>
      </c>
      <c r="D8" s="214"/>
      <c r="E8" s="212"/>
      <c r="F8" s="213"/>
      <c r="G8" s="1" t="s">
        <v>451</v>
      </c>
    </row>
    <row r="9" spans="1:7" s="206" customFormat="1" ht="13.5" customHeight="1">
      <c r="A9" s="729" t="s">
        <v>355</v>
      </c>
      <c r="B9" s="216" t="s">
        <v>66</v>
      </c>
      <c r="C9" s="217">
        <f>ROUND(D9*E9/10000,0)</f>
        <v>3</v>
      </c>
      <c r="D9" s="791">
        <f>'数据-汇总表'!E5</f>
        <v>154.79</v>
      </c>
      <c r="E9" s="217">
        <f>'数据-取费表'!B27</f>
        <v>170</v>
      </c>
      <c r="F9" s="213"/>
      <c r="G9" s="218"/>
    </row>
    <row r="10" spans="1:7" s="206" customFormat="1" ht="13.5" customHeight="1">
      <c r="A10" s="729" t="s">
        <v>356</v>
      </c>
      <c r="B10" s="216" t="s">
        <v>67</v>
      </c>
      <c r="C10" s="217">
        <f>ROUND(D10*E10/10000,0)</f>
        <v>0</v>
      </c>
      <c r="D10" s="791">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7" t="s">
        <v>417</v>
      </c>
      <c r="B19" s="202" t="s">
        <v>84</v>
      </c>
      <c r="C19" s="203">
        <f>IF(G19="已包含在土地取得成本中","0",ROUND(D19*E19/10000,0))</f>
        <v>2</v>
      </c>
      <c r="D19" s="204">
        <f>'数据-汇总表'!E3</f>
        <v>154.79</v>
      </c>
      <c r="E19" s="203">
        <f>'数据-取费表'!B31</f>
        <v>120</v>
      </c>
      <c r="F19" s="223"/>
      <c r="G19" s="1" t="s">
        <v>436</v>
      </c>
    </row>
    <row r="20" spans="1:7" s="206" customFormat="1" ht="13.5" customHeight="1">
      <c r="A20" s="727" t="s">
        <v>419</v>
      </c>
      <c r="B20" s="202" t="s">
        <v>77</v>
      </c>
      <c r="C20" s="224">
        <f>ROUND((C5+C19)*F20,0)</f>
        <v>412</v>
      </c>
      <c r="D20" s="224"/>
      <c r="E20" s="224"/>
      <c r="F20" s="225">
        <f>'数据-取费表'!B37</f>
        <v>0.02</v>
      </c>
      <c r="G20" s="1000" t="s">
        <v>430</v>
      </c>
    </row>
    <row r="21" spans="1:7" s="206" customFormat="1" ht="13.5" customHeight="1">
      <c r="A21" s="727" t="s">
        <v>421</v>
      </c>
      <c r="B21" s="202" t="s">
        <v>78</v>
      </c>
      <c r="C21" s="227">
        <f>F21</f>
        <v>0.02</v>
      </c>
      <c r="D21" s="228" t="s">
        <v>99</v>
      </c>
      <c r="E21" s="224"/>
      <c r="F21" s="225">
        <f>'数据-取费表'!B38</f>
        <v>0.02</v>
      </c>
      <c r="G21" s="226" t="s">
        <v>79</v>
      </c>
    </row>
    <row r="22" spans="1:7" s="206" customFormat="1" ht="13.5" customHeight="1">
      <c r="A22" s="727" t="s">
        <v>341</v>
      </c>
      <c r="B22" s="202" t="s">
        <v>80</v>
      </c>
      <c r="C22" s="1037">
        <f ca="1">ROUND(SUM(C23:C25),0)</f>
        <v>1267</v>
      </c>
      <c r="D22" s="227">
        <f ca="1">C26</f>
        <v>5.9999999999999995E-4</v>
      </c>
      <c r="E22" s="228" t="s">
        <v>99</v>
      </c>
      <c r="F22" s="229">
        <f ca="1">'数据-取费表'!B40</f>
        <v>0.03</v>
      </c>
      <c r="G22" s="1000" t="str">
        <f>IF('数据-取费表'!B22&lt;=1,"单利计息","复利计息")</f>
        <v>复利计息</v>
      </c>
    </row>
    <row r="23" spans="1:7" s="206" customFormat="1" ht="13.5" customHeight="1">
      <c r="A23" s="730" t="s">
        <v>349</v>
      </c>
      <c r="B23" s="207" t="s">
        <v>423</v>
      </c>
      <c r="C23" s="1038">
        <f ca="1">ROUND(IF('数据-取费表'!B22&lt;=1,C5*F22*'数据-取费表'!B23,C5*(POWER((1+F22),'数据-取费表'!B23)-1)),0)</f>
        <v>1255</v>
      </c>
      <c r="D23" s="230"/>
      <c r="E23" s="230"/>
      <c r="F23" s="231"/>
      <c r="G23" s="232" t="s">
        <v>81</v>
      </c>
    </row>
    <row r="24" spans="1:7" s="206" customFormat="1" ht="13.5" customHeight="1">
      <c r="A24" s="730" t="s">
        <v>347</v>
      </c>
      <c r="B24" s="207" t="s">
        <v>418</v>
      </c>
      <c r="C24" s="1038">
        <f ca="1">ROUND(IF('数据-取费表'!B22&lt;=1,C19*F22*('数据-取费表'!B19/2+'数据-取费表'!B21),C19*(POWER((1+F22),('数据-取费表'!B19/2+'数据-取费表'!B21))-1)),0)</f>
        <v>0</v>
      </c>
      <c r="D24" s="230"/>
      <c r="E24" s="230"/>
      <c r="F24" s="231"/>
      <c r="G24" s="232" t="s">
        <v>82</v>
      </c>
    </row>
    <row r="25" spans="1:7" s="206" customFormat="1" ht="24">
      <c r="A25" s="730" t="s">
        <v>348</v>
      </c>
      <c r="B25" s="207" t="s">
        <v>420</v>
      </c>
      <c r="C25" s="1038">
        <f ca="1">ROUND(IF('数据-取费表'!B22&lt;=1,C20*F22*'数据-取费表'!B23/2,C20*(POWER((1+F22),'数据-取费表'!B23/2)-1)),0)</f>
        <v>12</v>
      </c>
      <c r="D25" s="230"/>
      <c r="E25" s="233"/>
      <c r="F25" s="231"/>
      <c r="G25" s="234" t="s">
        <v>83</v>
      </c>
    </row>
    <row r="26" spans="1:7" s="206" customFormat="1">
      <c r="A26" s="730" t="s">
        <v>350</v>
      </c>
      <c r="B26" s="207" t="s">
        <v>422</v>
      </c>
      <c r="C26" s="230">
        <f ca="1">ROUND(IF('数据-取费表'!B22&lt;=1,F21*F22*'数据-取费表'!B23/2,F21*(POWER((1+F22),'数据-取费表'!B23/2)-1)),4)</f>
        <v>5.9999999999999995E-4</v>
      </c>
      <c r="D26" s="230"/>
      <c r="E26" s="233"/>
      <c r="F26" s="231"/>
      <c r="G26" s="235"/>
    </row>
    <row r="27" spans="1:7" s="206" customFormat="1" ht="24.75">
      <c r="A27" s="727" t="s">
        <v>342</v>
      </c>
      <c r="B27" s="236" t="s">
        <v>85</v>
      </c>
      <c r="C27" s="237">
        <f>C28</f>
        <v>2102</v>
      </c>
      <c r="D27" s="227">
        <f>C29</f>
        <v>2E-3</v>
      </c>
      <c r="E27" s="228" t="s">
        <v>99</v>
      </c>
      <c r="F27" s="238">
        <f>'数据-取费表'!Q16</f>
        <v>0.1</v>
      </c>
      <c r="G27" s="239" t="s">
        <v>431</v>
      </c>
    </row>
    <row r="28" spans="1:7" s="206" customFormat="1" ht="13.5" customHeight="1">
      <c r="A28" s="730" t="s">
        <v>349</v>
      </c>
      <c r="B28" s="240" t="s">
        <v>424</v>
      </c>
      <c r="C28" s="241">
        <f>ROUND((C5+C19+C20)*F27*'数据-取费表'!B21/'数据-取费表'!B20,0)</f>
        <v>2102</v>
      </c>
      <c r="D28" s="227"/>
      <c r="E28" s="228"/>
      <c r="F28" s="238"/>
      <c r="G28" s="239"/>
    </row>
    <row r="29" spans="1:7" s="206" customFormat="1" ht="13.5" customHeight="1">
      <c r="A29" s="730" t="s">
        <v>347</v>
      </c>
      <c r="B29" s="240" t="s">
        <v>425</v>
      </c>
      <c r="C29" s="230">
        <f>ROUND(C21*F27*'数据-取费表'!B21/'数据-取费表'!B20,4)</f>
        <v>2E-3</v>
      </c>
      <c r="D29" s="227"/>
      <c r="E29" s="228"/>
      <c r="F29" s="238"/>
      <c r="G29" s="239"/>
    </row>
    <row r="30" spans="1:7" s="206" customFormat="1" ht="13.5" customHeight="1">
      <c r="A30" s="727"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26397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27</v>
      </c>
      <c r="D33" s="224"/>
      <c r="E33" s="204"/>
      <c r="F33" s="233"/>
      <c r="G33" s="226"/>
    </row>
    <row r="34" spans="1:7" s="250" customFormat="1" ht="13.5" customHeight="1">
      <c r="A34" s="730" t="s">
        <v>349</v>
      </c>
      <c r="B34" s="207" t="s">
        <v>32</v>
      </c>
      <c r="C34" s="212">
        <f>IF(F34=100%,'数据-取费表'!M16-SUMIF('数据-取费表'!C:C,"公共配套",'数据-取费表'!M:M),'数据-取费表'!O16-SUMIF('数据-取费表'!C:C,"公共配套",'数据-取费表'!O:O))</f>
        <v>23</v>
      </c>
      <c r="D34" s="209"/>
      <c r="E34" s="212"/>
      <c r="F34" s="249">
        <f>IF('数据-取费表'!B24=0,1,'数据-取费表'!N16)</f>
        <v>1</v>
      </c>
      <c r="G34" s="211" t="s">
        <v>89</v>
      </c>
    </row>
    <row r="35" spans="1:7" ht="13.5" customHeight="1">
      <c r="A35" s="730" t="s">
        <v>351</v>
      </c>
      <c r="B35" s="207" t="s">
        <v>33</v>
      </c>
      <c r="C35" s="212">
        <f>ROUND(C34*F35,0)</f>
        <v>1</v>
      </c>
      <c r="D35" s="212"/>
      <c r="E35" s="212"/>
      <c r="F35" s="251">
        <f>'数据-取费表'!B33</f>
        <v>0.03</v>
      </c>
      <c r="G35" s="211" t="s">
        <v>90</v>
      </c>
    </row>
    <row r="36" spans="1:7" ht="24">
      <c r="A36" s="730"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0" t="s">
        <v>353</v>
      </c>
      <c r="B37" s="207" t="s">
        <v>91</v>
      </c>
      <c r="C37" s="241">
        <f>ROUND(E37*D37*F34/10000,0)</f>
        <v>2</v>
      </c>
      <c r="D37" s="209">
        <f>'数据-汇总表'!E3</f>
        <v>154.79</v>
      </c>
      <c r="E37" s="241">
        <f>'数据-取费表'!B35</f>
        <v>120</v>
      </c>
      <c r="F37" s="251"/>
      <c r="G37" s="253" t="s">
        <v>92</v>
      </c>
    </row>
    <row r="38" spans="1:7" ht="13.5" customHeight="1">
      <c r="A38" s="730" t="s">
        <v>354</v>
      </c>
      <c r="B38" s="207" t="s">
        <v>36</v>
      </c>
      <c r="C38" s="212">
        <f>ROUND(C34*F38,0)</f>
        <v>0</v>
      </c>
      <c r="D38" s="212"/>
      <c r="E38" s="212"/>
      <c r="F38" s="251">
        <f>'数据-取费表'!B36</f>
        <v>1.4999999999999999E-2</v>
      </c>
      <c r="G38" s="211" t="s">
        <v>90</v>
      </c>
    </row>
    <row r="39" spans="1:7" s="206" customFormat="1" ht="13.5" customHeight="1">
      <c r="A39" s="727" t="s">
        <v>338</v>
      </c>
      <c r="B39" s="202" t="s">
        <v>77</v>
      </c>
      <c r="C39" s="224">
        <f>ROUND(C33*F20,0)</f>
        <v>1</v>
      </c>
      <c r="D39" s="224"/>
      <c r="E39" s="224"/>
      <c r="F39" s="225"/>
      <c r="G39" s="1000" t="s">
        <v>433</v>
      </c>
    </row>
    <row r="40" spans="1:7" s="206" customFormat="1" ht="13.5" customHeight="1">
      <c r="A40" s="727" t="s">
        <v>339</v>
      </c>
      <c r="B40" s="202" t="s">
        <v>78</v>
      </c>
      <c r="C40" s="254">
        <f>F21</f>
        <v>0.02</v>
      </c>
      <c r="D40" s="228" t="s">
        <v>102</v>
      </c>
      <c r="E40" s="224"/>
      <c r="F40" s="225"/>
      <c r="G40" s="226" t="s">
        <v>93</v>
      </c>
    </row>
    <row r="41" spans="1:7" s="206" customFormat="1" ht="13.5" customHeight="1">
      <c r="A41" s="727" t="s">
        <v>340</v>
      </c>
      <c r="B41" s="202" t="s">
        <v>80</v>
      </c>
      <c r="C41" s="224">
        <f ca="1">ROUND(SUM(C42:C43),0)</f>
        <v>1</v>
      </c>
      <c r="D41" s="227">
        <f ca="1">C44</f>
        <v>5.9999999999999995E-4</v>
      </c>
      <c r="E41" s="228" t="s">
        <v>102</v>
      </c>
      <c r="F41" s="229"/>
      <c r="G41" s="1000" t="str">
        <f>IF('数据-取费表'!B22&lt;=1,"单利计息","复利计息")</f>
        <v>复利计息</v>
      </c>
    </row>
    <row r="42" spans="1:7" ht="13.5" customHeight="1">
      <c r="A42" s="730" t="s">
        <v>349</v>
      </c>
      <c r="B42" s="207" t="s">
        <v>423</v>
      </c>
      <c r="C42" s="230">
        <f ca="1">ROUND(IF('数据-取费表'!B22&lt;=1,C33*F22*'数据-取费表'!B21/2,C33*(POWER((1+F22),'数据-取费表'!B21/2)-1)),0)</f>
        <v>1</v>
      </c>
      <c r="D42" s="230"/>
      <c r="E42" s="230"/>
      <c r="F42" s="231"/>
      <c r="G42" s="3348" t="s">
        <v>94</v>
      </c>
    </row>
    <row r="43" spans="1:7" ht="13.5" customHeight="1">
      <c r="A43" s="730" t="s">
        <v>347</v>
      </c>
      <c r="B43" s="207" t="s">
        <v>426</v>
      </c>
      <c r="C43" s="230">
        <f ca="1">ROUND(IF('数据-取费表'!B22&lt;=1,C39*F22*'数据-取费表'!B21/2,C39*(POWER((1+F22),'数据-取费表'!B21/2)-1)),0)</f>
        <v>0</v>
      </c>
      <c r="D43" s="230"/>
      <c r="E43" s="230"/>
      <c r="F43" s="231"/>
      <c r="G43" s="3349"/>
    </row>
    <row r="44" spans="1:7" ht="13.5" customHeight="1">
      <c r="A44" s="730" t="s">
        <v>348</v>
      </c>
      <c r="B44" s="207" t="s">
        <v>428</v>
      </c>
      <c r="C44" s="230">
        <f ca="1">ROUND(IF('数据-取费表'!B22&lt;=1,C40*F22*'数据-取费表'!B21/2,C40*(POWER((1+F22),'数据-取费表'!B21/2)-1)),4)</f>
        <v>5.9999999999999995E-4</v>
      </c>
      <c r="D44" s="230"/>
      <c r="E44" s="230"/>
      <c r="F44" s="231"/>
      <c r="G44" s="3350"/>
    </row>
    <row r="45" spans="1:7" s="206" customFormat="1" ht="13.5" customHeight="1">
      <c r="A45" s="727" t="s">
        <v>341</v>
      </c>
      <c r="B45" s="236" t="s">
        <v>85</v>
      </c>
      <c r="C45" s="237">
        <f>C46</f>
        <v>3</v>
      </c>
      <c r="D45" s="227">
        <f>C47</f>
        <v>2E-3</v>
      </c>
      <c r="E45" s="228" t="s">
        <v>102</v>
      </c>
      <c r="F45" s="238"/>
      <c r="G45" s="239" t="s">
        <v>434</v>
      </c>
    </row>
    <row r="46" spans="1:7" s="206" customFormat="1" ht="13.5" customHeight="1">
      <c r="A46" s="730" t="s">
        <v>349</v>
      </c>
      <c r="B46" s="240" t="s">
        <v>427</v>
      </c>
      <c r="C46" s="241">
        <f>ROUND((C33+C39)*F27,0)</f>
        <v>3</v>
      </c>
      <c r="D46" s="255"/>
      <c r="E46" s="228"/>
      <c r="F46" s="238"/>
      <c r="G46" s="239"/>
    </row>
    <row r="47" spans="1:7" s="206" customFormat="1" ht="13.5" customHeight="1">
      <c r="A47" s="730" t="s">
        <v>347</v>
      </c>
      <c r="B47" s="240" t="s">
        <v>429</v>
      </c>
      <c r="C47" s="230">
        <f>ROUND(C40*F27,4)</f>
        <v>2E-3</v>
      </c>
      <c r="D47" s="255"/>
      <c r="E47" s="228"/>
      <c r="F47" s="238"/>
      <c r="G47" s="239"/>
    </row>
    <row r="48" spans="1:7" s="206" customFormat="1" ht="13.5" customHeight="1">
      <c r="A48" s="727" t="s">
        <v>342</v>
      </c>
      <c r="B48" s="202" t="s">
        <v>95</v>
      </c>
      <c r="C48" s="254">
        <f>F30</f>
        <v>5.6000000000000001E-2</v>
      </c>
      <c r="D48" s="228" t="s">
        <v>103</v>
      </c>
      <c r="E48" s="224"/>
      <c r="F48" s="229"/>
      <c r="G48" s="226" t="s">
        <v>96</v>
      </c>
    </row>
    <row r="49" spans="1:7" ht="16.5" customHeight="1">
      <c r="A49" s="727" t="s">
        <v>343</v>
      </c>
      <c r="B49" s="202" t="s">
        <v>104</v>
      </c>
      <c r="C49" s="224">
        <f ca="1">ROUND((C33+C39+C41+C45)/(1-C40-D41-D45-C48/(1+'数据-取费表'!B42)),0)</f>
        <v>35</v>
      </c>
      <c r="D49" s="224"/>
      <c r="E49" s="224"/>
      <c r="F49" s="256"/>
      <c r="G49" s="226" t="s">
        <v>435</v>
      </c>
    </row>
    <row r="50" spans="1:7" s="250" customFormat="1" ht="24">
      <c r="A50" s="727" t="s">
        <v>344</v>
      </c>
      <c r="B50" s="202" t="s">
        <v>97</v>
      </c>
      <c r="C50" s="224"/>
      <c r="D50" s="224"/>
      <c r="E50" s="224"/>
      <c r="F50" s="256">
        <f>IF('数据-取费表'!B24=0,'数据-取费表'!N16,1)</f>
        <v>0.75</v>
      </c>
      <c r="G50" s="239" t="s">
        <v>98</v>
      </c>
    </row>
    <row r="51" spans="1:7" ht="16.5" customHeight="1">
      <c r="A51" s="727" t="s">
        <v>345</v>
      </c>
      <c r="B51" s="202" t="s">
        <v>105</v>
      </c>
      <c r="C51" s="224">
        <f ca="1">ROUND(C49*F50,0)</f>
        <v>26</v>
      </c>
      <c r="D51" s="224"/>
      <c r="E51" s="224"/>
      <c r="F51" s="256"/>
      <c r="G51" s="226" t="s">
        <v>37</v>
      </c>
    </row>
    <row r="52" spans="1:7" s="200" customFormat="1" ht="16.5" thickBot="1">
      <c r="A52" s="257" t="s">
        <v>38</v>
      </c>
      <c r="B52" s="258"/>
      <c r="C52" s="259">
        <f ca="1">C31+C51</f>
        <v>26423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485" t="s">
        <v>3177</v>
      </c>
      <c r="B1" s="3485"/>
    </row>
    <row r="2" spans="1:7" ht="14.25" thickBot="1">
      <c r="A2" s="2961"/>
      <c r="B2" s="2961"/>
    </row>
    <row r="3" spans="1:7" ht="14.25" thickBot="1">
      <c r="A3" s="2961"/>
      <c r="B3" s="2961"/>
      <c r="C3" s="2962" t="s">
        <v>2807</v>
      </c>
      <c r="D3" s="2962" t="s">
        <v>2863</v>
      </c>
      <c r="E3" s="2962" t="s">
        <v>2809</v>
      </c>
      <c r="F3" s="2962" t="s">
        <v>2864</v>
      </c>
      <c r="G3" s="2962" t="s">
        <v>2627</v>
      </c>
    </row>
    <row r="4" spans="1:7" ht="14.25" thickBot="1">
      <c r="A4" s="2963" t="s">
        <v>2862</v>
      </c>
      <c r="B4" s="2964" t="s">
        <v>2868</v>
      </c>
      <c r="C4" s="2962"/>
      <c r="D4" s="2962"/>
      <c r="E4" s="2962"/>
      <c r="F4" s="2962"/>
      <c r="G4" s="2962"/>
    </row>
    <row r="5" spans="1:7">
      <c r="A5" s="2965" t="s">
        <v>2836</v>
      </c>
      <c r="B5" s="2966" t="s">
        <v>2850</v>
      </c>
      <c r="C5" s="2967">
        <v>9.8000000000000004E-2</v>
      </c>
      <c r="D5" s="2967">
        <v>8.6999999999999994E-2</v>
      </c>
      <c r="E5" s="2967">
        <v>8.6999999999999994E-2</v>
      </c>
      <c r="F5" s="2967">
        <v>9.8000000000000004E-2</v>
      </c>
      <c r="G5" s="2968">
        <v>9.5000000000000001E-2</v>
      </c>
    </row>
    <row r="6" spans="1:7">
      <c r="A6" s="2969" t="s">
        <v>144</v>
      </c>
      <c r="B6" s="2970" t="s">
        <v>2865</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2851</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2901</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2919</v>
      </c>
      <c r="C29" s="2979"/>
      <c r="D29" s="2975">
        <v>5.1999999999999998E-2</v>
      </c>
      <c r="E29" s="2975">
        <v>7.0000000000000007E-2</v>
      </c>
      <c r="F29" s="2979"/>
      <c r="G29" s="2977">
        <v>7.0999999999999994E-2</v>
      </c>
    </row>
    <row r="30" spans="1:7">
      <c r="A30" s="2980" t="s">
        <v>296</v>
      </c>
      <c r="B30" s="2966" t="s">
        <v>2852</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2838</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2922</v>
      </c>
      <c r="C50" s="2971">
        <v>9.8000000000000004E-2</v>
      </c>
      <c r="D50" s="2971">
        <v>7.2999999999999995E-2</v>
      </c>
      <c r="E50" s="2971">
        <v>7.0999999999999994E-2</v>
      </c>
      <c r="F50" s="2982"/>
      <c r="G50" s="2972">
        <v>7.2999999999999995E-2</v>
      </c>
    </row>
    <row r="51" spans="1:7">
      <c r="A51" s="2981" t="s">
        <v>296</v>
      </c>
      <c r="B51" s="2970" t="s">
        <v>2924</v>
      </c>
      <c r="C51" s="2971">
        <v>9.9000000000000005E-2</v>
      </c>
      <c r="D51" s="2971">
        <v>8.5000000000000006E-2</v>
      </c>
      <c r="E51" s="2971">
        <v>6.3E-2</v>
      </c>
      <c r="F51" s="2982"/>
      <c r="G51" s="2972">
        <v>9.6000000000000002E-2</v>
      </c>
    </row>
    <row r="52" spans="1:7">
      <c r="A52" s="2981" t="s">
        <v>296</v>
      </c>
      <c r="B52" s="2970" t="s">
        <v>2928</v>
      </c>
      <c r="C52" s="2971">
        <v>7.3999999999999996E-2</v>
      </c>
      <c r="D52" s="2971">
        <v>9.6000000000000002E-2</v>
      </c>
      <c r="E52" s="2971">
        <v>0.05</v>
      </c>
      <c r="F52" s="2982"/>
      <c r="G52" s="2972">
        <v>9.8000000000000004E-2</v>
      </c>
    </row>
    <row r="53" spans="1:7">
      <c r="A53" s="2981" t="s">
        <v>296</v>
      </c>
      <c r="B53" s="2970" t="s">
        <v>2933</v>
      </c>
      <c r="C53" s="2971">
        <v>8.5999999999999993E-2</v>
      </c>
      <c r="D53" s="2982"/>
      <c r="E53" s="2971">
        <v>9.1999999999999998E-2</v>
      </c>
      <c r="F53" s="2982"/>
      <c r="G53" s="2983"/>
    </row>
    <row r="54" spans="1:7" ht="14.25" thickBot="1">
      <c r="A54" s="2984" t="s">
        <v>296</v>
      </c>
      <c r="B54" s="2974" t="s">
        <v>2936</v>
      </c>
      <c r="C54" s="2975">
        <v>9.6000000000000002E-2</v>
      </c>
      <c r="D54" s="2976"/>
      <c r="E54" s="2985"/>
      <c r="F54" s="2976"/>
      <c r="G54" s="2986"/>
    </row>
    <row r="55" spans="1:7">
      <c r="A55" s="2980" t="s">
        <v>110</v>
      </c>
      <c r="B55" s="2966" t="s">
        <v>2853</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2934</v>
      </c>
      <c r="C78" s="2971">
        <v>0.1</v>
      </c>
      <c r="D78" s="2971">
        <v>8.5000000000000006E-2</v>
      </c>
      <c r="E78" s="2971">
        <v>9.6000000000000002E-2</v>
      </c>
      <c r="F78" s="2982"/>
      <c r="G78" s="2972">
        <v>9.6000000000000002E-2</v>
      </c>
    </row>
    <row r="79" spans="1:7">
      <c r="A79" s="2981" t="s">
        <v>110</v>
      </c>
      <c r="B79" s="2970" t="s">
        <v>2937</v>
      </c>
      <c r="C79" s="2971">
        <v>0.05</v>
      </c>
      <c r="D79" s="2971">
        <v>9.6000000000000002E-2</v>
      </c>
      <c r="E79" s="2971">
        <v>9.5000000000000001E-2</v>
      </c>
      <c r="F79" s="2982"/>
      <c r="G79" s="2972">
        <v>9.8000000000000004E-2</v>
      </c>
    </row>
    <row r="80" spans="1:7">
      <c r="A80" s="2981" t="s">
        <v>110</v>
      </c>
      <c r="B80" s="2970" t="s">
        <v>2941</v>
      </c>
      <c r="C80" s="2971">
        <v>8.5999999999999993E-2</v>
      </c>
      <c r="D80" s="2987"/>
      <c r="E80" s="2971">
        <v>0.1</v>
      </c>
      <c r="F80" s="2982"/>
      <c r="G80" s="2983"/>
    </row>
    <row r="81" spans="1:7">
      <c r="A81" s="2981" t="s">
        <v>110</v>
      </c>
      <c r="B81" s="2970" t="s">
        <v>2946</v>
      </c>
      <c r="C81" s="2971">
        <v>9.6000000000000002E-2</v>
      </c>
      <c r="D81" s="2982"/>
      <c r="E81" s="2971">
        <v>9.8000000000000004E-2</v>
      </c>
      <c r="F81" s="2982"/>
      <c r="G81" s="2983"/>
    </row>
    <row r="82" spans="1:7">
      <c r="A82" s="2981" t="s">
        <v>110</v>
      </c>
      <c r="B82" s="2970" t="s">
        <v>2953</v>
      </c>
      <c r="C82" s="2987"/>
      <c r="D82" s="2982"/>
      <c r="E82" s="2971">
        <v>7.6999999999999999E-2</v>
      </c>
      <c r="F82" s="2982"/>
      <c r="G82" s="2983"/>
    </row>
    <row r="83" spans="1:7">
      <c r="A83" s="2981" t="s">
        <v>110</v>
      </c>
      <c r="B83" s="2970" t="s">
        <v>2959</v>
      </c>
      <c r="C83" s="2982"/>
      <c r="D83" s="2982"/>
      <c r="E83" s="2982"/>
      <c r="F83" s="2971">
        <v>0.1</v>
      </c>
      <c r="G83" s="2988"/>
    </row>
    <row r="84" spans="1:7">
      <c r="A84" s="2981" t="s">
        <v>110</v>
      </c>
      <c r="B84" s="2970" t="s">
        <v>2966</v>
      </c>
      <c r="C84" s="2982"/>
      <c r="D84" s="2982"/>
      <c r="E84" s="2982"/>
      <c r="F84" s="2971">
        <v>0.1</v>
      </c>
      <c r="G84" s="2988"/>
    </row>
    <row r="85" spans="1:7">
      <c r="A85" s="2981" t="s">
        <v>110</v>
      </c>
      <c r="B85" s="2970" t="s">
        <v>2973</v>
      </c>
      <c r="C85" s="2982"/>
      <c r="D85" s="2982"/>
      <c r="E85" s="2982"/>
      <c r="F85" s="2971">
        <v>0.1</v>
      </c>
      <c r="G85" s="2988"/>
    </row>
    <row r="86" spans="1:7" ht="14.25" thickBot="1">
      <c r="A86" s="2984" t="s">
        <v>110</v>
      </c>
      <c r="B86" s="2974" t="s">
        <v>2978</v>
      </c>
      <c r="C86" s="2975">
        <v>9.8000000000000004E-2</v>
      </c>
      <c r="D86" s="2975">
        <v>9.8000000000000004E-2</v>
      </c>
      <c r="E86" s="2975">
        <v>9.6000000000000002E-2</v>
      </c>
      <c r="F86" s="2985"/>
      <c r="G86" s="2977">
        <v>0.1</v>
      </c>
    </row>
    <row r="87" spans="1:7">
      <c r="A87" s="2980" t="s">
        <v>303</v>
      </c>
      <c r="B87" s="2966" t="s">
        <v>2854</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2947</v>
      </c>
      <c r="C113" s="2971">
        <v>0.1</v>
      </c>
      <c r="D113" s="2971">
        <v>0.1</v>
      </c>
      <c r="E113" s="2982"/>
      <c r="F113" s="2982"/>
      <c r="G113" s="2972">
        <v>0.1</v>
      </c>
    </row>
    <row r="114" spans="1:7">
      <c r="A114" s="2981" t="s">
        <v>303</v>
      </c>
      <c r="B114" s="2970" t="s">
        <v>2954</v>
      </c>
      <c r="C114" s="2971">
        <v>9.7000000000000003E-2</v>
      </c>
      <c r="D114" s="2971">
        <v>9.7000000000000003E-2</v>
      </c>
      <c r="E114" s="2982"/>
      <c r="F114" s="2982"/>
      <c r="G114" s="2972">
        <v>9.9000000000000005E-2</v>
      </c>
    </row>
    <row r="115" spans="1:7">
      <c r="A115" s="2981" t="s">
        <v>303</v>
      </c>
      <c r="B115" s="2970" t="s">
        <v>2960</v>
      </c>
      <c r="C115" s="2971">
        <v>0.1</v>
      </c>
      <c r="D115" s="2971">
        <v>0.1</v>
      </c>
      <c r="E115" s="2982"/>
      <c r="F115" s="2982"/>
      <c r="G115" s="2972">
        <v>0.1</v>
      </c>
    </row>
    <row r="116" spans="1:7">
      <c r="A116" s="2981" t="s">
        <v>303</v>
      </c>
      <c r="B116" s="2970" t="s">
        <v>2967</v>
      </c>
      <c r="C116" s="2971">
        <v>0.1</v>
      </c>
      <c r="D116" s="2971">
        <v>0.1</v>
      </c>
      <c r="E116" s="2982"/>
      <c r="F116" s="2982"/>
      <c r="G116" s="2972">
        <v>0.1</v>
      </c>
    </row>
    <row r="117" spans="1:7">
      <c r="A117" s="2981" t="s">
        <v>303</v>
      </c>
      <c r="B117" s="2970" t="s">
        <v>2974</v>
      </c>
      <c r="C117" s="2971">
        <v>9.7000000000000003E-2</v>
      </c>
      <c r="D117" s="2971">
        <v>9.7000000000000003E-2</v>
      </c>
      <c r="E117" s="2982"/>
      <c r="F117" s="2982"/>
      <c r="G117" s="2972">
        <v>9.7000000000000003E-2</v>
      </c>
    </row>
    <row r="118" spans="1:7">
      <c r="A118" s="2981" t="s">
        <v>303</v>
      </c>
      <c r="B118" s="2970" t="s">
        <v>2979</v>
      </c>
      <c r="C118" s="2971">
        <v>0.1</v>
      </c>
      <c r="D118" s="2971">
        <v>0.1</v>
      </c>
      <c r="E118" s="2982"/>
      <c r="F118" s="2982"/>
      <c r="G118" s="2972">
        <v>0.1</v>
      </c>
    </row>
    <row r="119" spans="1:7">
      <c r="A119" s="2981" t="s">
        <v>303</v>
      </c>
      <c r="B119" s="2970" t="s">
        <v>2983</v>
      </c>
      <c r="C119" s="2971">
        <v>5.0999999999999997E-2</v>
      </c>
      <c r="D119" s="2971">
        <v>5.1999999999999998E-2</v>
      </c>
      <c r="E119" s="2982"/>
      <c r="F119" s="2987"/>
      <c r="G119" s="2972">
        <v>0.06</v>
      </c>
    </row>
    <row r="120" spans="1:7">
      <c r="A120" s="2981" t="s">
        <v>303</v>
      </c>
      <c r="B120" s="2970" t="s">
        <v>2987</v>
      </c>
      <c r="C120" s="2982"/>
      <c r="D120" s="2982"/>
      <c r="E120" s="2982"/>
      <c r="F120" s="2971">
        <v>0.1</v>
      </c>
      <c r="G120" s="2988"/>
    </row>
    <row r="121" spans="1:7">
      <c r="A121" s="2981" t="s">
        <v>303</v>
      </c>
      <c r="B121" s="2970" t="s">
        <v>2992</v>
      </c>
      <c r="C121" s="2982"/>
      <c r="D121" s="2982"/>
      <c r="E121" s="2982"/>
      <c r="F121" s="2971">
        <v>0.1</v>
      </c>
      <c r="G121" s="2988"/>
    </row>
    <row r="122" spans="1:7">
      <c r="A122" s="2981" t="s">
        <v>303</v>
      </c>
      <c r="B122" s="2970" t="s">
        <v>2997</v>
      </c>
      <c r="C122" s="2971">
        <v>0.1</v>
      </c>
      <c r="D122" s="2971">
        <v>0.1</v>
      </c>
      <c r="E122" s="2971">
        <v>9.8000000000000004E-2</v>
      </c>
      <c r="F122" s="2971">
        <v>0.1</v>
      </c>
      <c r="G122" s="2972">
        <v>0.1</v>
      </c>
    </row>
    <row r="123" spans="1:7">
      <c r="A123" s="2981" t="s">
        <v>303</v>
      </c>
      <c r="B123" s="2970" t="s">
        <v>3002</v>
      </c>
      <c r="C123" s="2971">
        <v>0.1</v>
      </c>
      <c r="D123" s="2971">
        <v>0.1</v>
      </c>
      <c r="E123" s="2971">
        <v>9.8000000000000004E-2</v>
      </c>
      <c r="F123" s="2971">
        <v>0.1</v>
      </c>
      <c r="G123" s="2972">
        <v>0.1</v>
      </c>
    </row>
    <row r="124" spans="1:7">
      <c r="A124" s="2981" t="s">
        <v>303</v>
      </c>
      <c r="B124" s="2970" t="s">
        <v>3007</v>
      </c>
      <c r="C124" s="2971">
        <v>0.1</v>
      </c>
      <c r="D124" s="2971">
        <v>0.1</v>
      </c>
      <c r="E124" s="2971">
        <v>9.8000000000000004E-2</v>
      </c>
      <c r="F124" s="2987"/>
      <c r="G124" s="2972">
        <v>0.1</v>
      </c>
    </row>
    <row r="125" spans="1:7">
      <c r="A125" s="2981" t="s">
        <v>303</v>
      </c>
      <c r="B125" s="2970" t="s">
        <v>3012</v>
      </c>
      <c r="C125" s="2971">
        <v>9.8000000000000004E-2</v>
      </c>
      <c r="D125" s="2971">
        <v>9.8000000000000004E-2</v>
      </c>
      <c r="E125" s="2971">
        <v>9.6000000000000002E-2</v>
      </c>
      <c r="F125" s="2987"/>
      <c r="G125" s="2972">
        <v>0.1</v>
      </c>
    </row>
    <row r="126" spans="1:7" ht="14.25" thickBot="1">
      <c r="A126" s="2984" t="s">
        <v>303</v>
      </c>
      <c r="B126" s="2974" t="s">
        <v>3178</v>
      </c>
      <c r="C126" s="2975">
        <v>0.1</v>
      </c>
      <c r="D126" s="2975">
        <v>0.1</v>
      </c>
      <c r="E126" s="2975">
        <v>9.8000000000000004E-2</v>
      </c>
      <c r="F126" s="2975">
        <v>0.1</v>
      </c>
      <c r="G126" s="2977">
        <v>0.1</v>
      </c>
    </row>
    <row r="127" spans="1:7">
      <c r="A127" s="2980" t="s">
        <v>29</v>
      </c>
      <c r="B127" s="2966" t="s">
        <v>2855</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2925</v>
      </c>
      <c r="C148" s="2971">
        <v>0.13</v>
      </c>
      <c r="D148" s="2971">
        <v>0.13</v>
      </c>
      <c r="E148" s="2971">
        <v>0.13</v>
      </c>
      <c r="F148" s="2982"/>
      <c r="G148" s="2972">
        <v>0.13</v>
      </c>
    </row>
    <row r="149" spans="1:7">
      <c r="A149" s="2981" t="s">
        <v>29</v>
      </c>
      <c r="B149" s="2970" t="s">
        <v>2929</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2948</v>
      </c>
      <c r="C153" s="2971">
        <v>0.13</v>
      </c>
      <c r="D153" s="2971">
        <v>0.13</v>
      </c>
      <c r="E153" s="2971">
        <v>0.13</v>
      </c>
      <c r="F153" s="2971">
        <v>0.13</v>
      </c>
      <c r="G153" s="2972">
        <v>0.13</v>
      </c>
    </row>
    <row r="154" spans="1:7">
      <c r="A154" s="2981" t="s">
        <v>29</v>
      </c>
      <c r="B154" s="2970" t="s">
        <v>2955</v>
      </c>
      <c r="C154" s="2971">
        <v>0.121</v>
      </c>
      <c r="D154" s="2971">
        <v>0.121</v>
      </c>
      <c r="E154" s="2971">
        <v>0.105</v>
      </c>
      <c r="F154" s="2971">
        <v>0.121</v>
      </c>
      <c r="G154" s="2972">
        <v>0.123</v>
      </c>
    </row>
    <row r="155" spans="1:7">
      <c r="A155" s="2981" t="s">
        <v>29</v>
      </c>
      <c r="B155" s="2970" t="s">
        <v>2961</v>
      </c>
      <c r="C155" s="2971">
        <v>0.1</v>
      </c>
      <c r="D155" s="2971">
        <v>0.1</v>
      </c>
      <c r="E155" s="2971">
        <v>0.1</v>
      </c>
      <c r="F155" s="2971">
        <v>0.1</v>
      </c>
      <c r="G155" s="2972">
        <v>0.1</v>
      </c>
    </row>
    <row r="156" spans="1:7">
      <c r="A156" s="2981" t="s">
        <v>29</v>
      </c>
      <c r="B156" s="2970" t="s">
        <v>2968</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2988</v>
      </c>
      <c r="C160" s="2971">
        <v>0.13</v>
      </c>
      <c r="D160" s="2971">
        <v>0.13</v>
      </c>
      <c r="E160" s="2971">
        <v>0.124</v>
      </c>
      <c r="F160" s="2971">
        <v>0.126</v>
      </c>
      <c r="G160" s="2972">
        <v>0.13</v>
      </c>
    </row>
    <row r="161" spans="1:7">
      <c r="A161" s="2981" t="s">
        <v>29</v>
      </c>
      <c r="B161" s="2970" t="s">
        <v>2993</v>
      </c>
      <c r="C161" s="2971">
        <v>0.13</v>
      </c>
      <c r="D161" s="2971">
        <v>0.13</v>
      </c>
      <c r="E161" s="2971">
        <v>0.124</v>
      </c>
      <c r="F161" s="2971">
        <v>0.127</v>
      </c>
      <c r="G161" s="2972">
        <v>0.13</v>
      </c>
    </row>
    <row r="162" spans="1:7">
      <c r="A162" s="2981" t="s">
        <v>29</v>
      </c>
      <c r="B162" s="2970" t="s">
        <v>2998</v>
      </c>
      <c r="C162" s="2971">
        <v>0.1</v>
      </c>
      <c r="D162" s="2971">
        <v>0.1</v>
      </c>
      <c r="E162" s="2971">
        <v>0.1</v>
      </c>
      <c r="F162" s="2971">
        <v>0.121</v>
      </c>
      <c r="G162" s="2972">
        <v>0.105</v>
      </c>
    </row>
    <row r="163" spans="1:7">
      <c r="A163" s="2981" t="s">
        <v>29</v>
      </c>
      <c r="B163" s="2970" t="s">
        <v>3003</v>
      </c>
      <c r="C163" s="2971">
        <v>0.1</v>
      </c>
      <c r="D163" s="2971">
        <v>0.1</v>
      </c>
      <c r="E163" s="2971">
        <v>0.1</v>
      </c>
      <c r="F163" s="2971">
        <v>0.1</v>
      </c>
      <c r="G163" s="2972">
        <v>0.1</v>
      </c>
    </row>
    <row r="164" spans="1:7">
      <c r="A164" s="2981" t="s">
        <v>29</v>
      </c>
      <c r="B164" s="2970" t="s">
        <v>3008</v>
      </c>
      <c r="C164" s="2987"/>
      <c r="D164" s="2987"/>
      <c r="E164" s="2987"/>
      <c r="F164" s="2971">
        <v>0.1</v>
      </c>
      <c r="G164" s="2983"/>
    </row>
    <row r="165" spans="1:7">
      <c r="A165" s="2981" t="s">
        <v>29</v>
      </c>
      <c r="B165" s="2970" t="s">
        <v>3179</v>
      </c>
      <c r="C165" s="2971">
        <v>0.126</v>
      </c>
      <c r="D165" s="2971">
        <v>0.126</v>
      </c>
      <c r="E165" s="2971">
        <v>0.11899999999999999</v>
      </c>
      <c r="F165" s="2971">
        <v>0.13</v>
      </c>
      <c r="G165" s="2972">
        <v>0.128</v>
      </c>
    </row>
    <row r="166" spans="1:7">
      <c r="A166" s="2981" t="s">
        <v>29</v>
      </c>
      <c r="B166" s="2970" t="s">
        <v>3018</v>
      </c>
      <c r="C166" s="2971">
        <v>0.129</v>
      </c>
      <c r="D166" s="2971">
        <v>0.129</v>
      </c>
      <c r="E166" s="2971">
        <v>0.123</v>
      </c>
      <c r="F166" s="2971">
        <v>0.128</v>
      </c>
      <c r="G166" s="2972">
        <v>0.13</v>
      </c>
    </row>
    <row r="167" spans="1:7">
      <c r="A167" s="2981" t="s">
        <v>29</v>
      </c>
      <c r="B167" s="2970" t="s">
        <v>3022</v>
      </c>
      <c r="C167" s="2971">
        <v>0.125</v>
      </c>
      <c r="D167" s="2971">
        <v>0.125</v>
      </c>
      <c r="E167" s="2971">
        <v>0.11700000000000001</v>
      </c>
      <c r="F167" s="2971">
        <v>0.13</v>
      </c>
      <c r="G167" s="2972">
        <v>0.126</v>
      </c>
    </row>
    <row r="168" spans="1:7">
      <c r="A168" s="2981" t="s">
        <v>29</v>
      </c>
      <c r="B168" s="2970" t="s">
        <v>3027</v>
      </c>
      <c r="C168" s="2971">
        <v>0.128</v>
      </c>
      <c r="D168" s="2971">
        <v>0.128</v>
      </c>
      <c r="E168" s="2971">
        <v>0.123</v>
      </c>
      <c r="F168" s="2982"/>
      <c r="G168" s="2972">
        <v>0.13</v>
      </c>
    </row>
    <row r="169" spans="1:7">
      <c r="A169" s="2981" t="s">
        <v>29</v>
      </c>
      <c r="B169" s="2970" t="s">
        <v>3180</v>
      </c>
      <c r="C169" s="2987"/>
      <c r="D169" s="2987"/>
      <c r="E169" s="2987"/>
      <c r="F169" s="2971">
        <v>0.05</v>
      </c>
      <c r="G169" s="2983"/>
    </row>
    <row r="170" spans="1:7">
      <c r="A170" s="2981" t="s">
        <v>29</v>
      </c>
      <c r="B170" s="2970" t="s">
        <v>3181</v>
      </c>
      <c r="C170" s="2987"/>
      <c r="D170" s="2987"/>
      <c r="E170" s="2987"/>
      <c r="F170" s="2971">
        <v>0.05</v>
      </c>
      <c r="G170" s="2983"/>
    </row>
    <row r="171" spans="1:7">
      <c r="A171" s="2981" t="s">
        <v>29</v>
      </c>
      <c r="B171" s="2970" t="s">
        <v>3182</v>
      </c>
      <c r="C171" s="2987"/>
      <c r="D171" s="2987"/>
      <c r="E171" s="2987"/>
      <c r="F171" s="2971">
        <v>0.05</v>
      </c>
      <c r="G171" s="2988"/>
    </row>
    <row r="172" spans="1:7">
      <c r="A172" s="2981" t="s">
        <v>29</v>
      </c>
      <c r="B172" s="2970" t="s">
        <v>3183</v>
      </c>
      <c r="C172" s="2987"/>
      <c r="D172" s="2987"/>
      <c r="E172" s="2987"/>
      <c r="F172" s="2971">
        <v>0.05</v>
      </c>
      <c r="G172" s="2988"/>
    </row>
    <row r="173" spans="1:7">
      <c r="A173" s="2981" t="s">
        <v>29</v>
      </c>
      <c r="B173" s="2970" t="s">
        <v>3184</v>
      </c>
      <c r="C173" s="2987"/>
      <c r="D173" s="2987"/>
      <c r="E173" s="2987"/>
      <c r="F173" s="2971">
        <v>0.05</v>
      </c>
      <c r="G173" s="2983"/>
    </row>
    <row r="174" spans="1:7">
      <c r="A174" s="2981" t="s">
        <v>29</v>
      </c>
      <c r="B174" s="2970" t="s">
        <v>3185</v>
      </c>
      <c r="C174" s="2987"/>
      <c r="D174" s="2987"/>
      <c r="E174" s="2987"/>
      <c r="F174" s="2971">
        <v>0.05</v>
      </c>
      <c r="G174" s="2983"/>
    </row>
    <row r="175" spans="1:7">
      <c r="A175" s="2981" t="s">
        <v>29</v>
      </c>
      <c r="B175" s="2970" t="s">
        <v>3186</v>
      </c>
      <c r="C175" s="2987"/>
      <c r="D175" s="2987"/>
      <c r="E175" s="2987"/>
      <c r="F175" s="2971">
        <v>0.05</v>
      </c>
      <c r="G175" s="2983"/>
    </row>
    <row r="176" spans="1:7">
      <c r="A176" s="2981" t="s">
        <v>29</v>
      </c>
      <c r="B176" s="2970" t="s">
        <v>3187</v>
      </c>
      <c r="C176" s="2987"/>
      <c r="D176" s="2987"/>
      <c r="E176" s="2987"/>
      <c r="F176" s="2971">
        <v>0.05</v>
      </c>
      <c r="G176" s="2983"/>
    </row>
    <row r="177" spans="1:7">
      <c r="A177" s="2981" t="s">
        <v>29</v>
      </c>
      <c r="B177" s="2970" t="s">
        <v>3188</v>
      </c>
      <c r="C177" s="2982"/>
      <c r="D177" s="2982"/>
      <c r="E177" s="2982"/>
      <c r="F177" s="2971">
        <v>0.05</v>
      </c>
      <c r="G177" s="2988"/>
    </row>
    <row r="178" spans="1:7">
      <c r="A178" s="2981" t="s">
        <v>29</v>
      </c>
      <c r="B178" s="2970" t="s">
        <v>3189</v>
      </c>
      <c r="C178" s="2982"/>
      <c r="D178" s="2982"/>
      <c r="E178" s="2982"/>
      <c r="F178" s="2971">
        <v>0.05</v>
      </c>
      <c r="G178" s="2988"/>
    </row>
    <row r="179" spans="1:7">
      <c r="A179" s="2981" t="s">
        <v>29</v>
      </c>
      <c r="B179" s="2970" t="s">
        <v>3190</v>
      </c>
      <c r="C179" s="2982"/>
      <c r="D179" s="2982"/>
      <c r="E179" s="2982"/>
      <c r="F179" s="2971">
        <v>0.05</v>
      </c>
      <c r="G179" s="2988"/>
    </row>
    <row r="180" spans="1:7">
      <c r="A180" s="2981" t="s">
        <v>29</v>
      </c>
      <c r="B180" s="2970" t="s">
        <v>3191</v>
      </c>
      <c r="C180" s="2982"/>
      <c r="D180" s="2982"/>
      <c r="E180" s="2982"/>
      <c r="F180" s="2971">
        <v>0.05</v>
      </c>
      <c r="G180" s="2988"/>
    </row>
    <row r="181" spans="1:7">
      <c r="A181" s="2981" t="s">
        <v>29</v>
      </c>
      <c r="B181" s="2970" t="s">
        <v>3192</v>
      </c>
      <c r="C181" s="2982"/>
      <c r="D181" s="2982"/>
      <c r="E181" s="2982"/>
      <c r="F181" s="2971">
        <v>0.05</v>
      </c>
      <c r="G181" s="2988"/>
    </row>
    <row r="182" spans="1:7">
      <c r="A182" s="2981" t="s">
        <v>29</v>
      </c>
      <c r="B182" s="2970" t="s">
        <v>3193</v>
      </c>
      <c r="C182" s="2982"/>
      <c r="D182" s="2982"/>
      <c r="E182" s="2982"/>
      <c r="F182" s="2971">
        <v>0.05</v>
      </c>
      <c r="G182" s="2988"/>
    </row>
    <row r="183" spans="1:7">
      <c r="A183" s="2981" t="s">
        <v>29</v>
      </c>
      <c r="B183" s="2970" t="s">
        <v>3194</v>
      </c>
      <c r="C183" s="2982"/>
      <c r="D183" s="2982"/>
      <c r="E183" s="2982"/>
      <c r="F183" s="2971">
        <v>0.05</v>
      </c>
      <c r="G183" s="2988"/>
    </row>
    <row r="184" spans="1:7">
      <c r="A184" s="2981" t="s">
        <v>29</v>
      </c>
      <c r="B184" s="2970" t="s">
        <v>3195</v>
      </c>
      <c r="C184" s="2982"/>
      <c r="D184" s="2982"/>
      <c r="E184" s="2982"/>
      <c r="F184" s="2971">
        <v>0.05</v>
      </c>
      <c r="G184" s="2988"/>
    </row>
    <row r="185" spans="1:7">
      <c r="A185" s="2981" t="s">
        <v>29</v>
      </c>
      <c r="B185" s="2970" t="s">
        <v>3196</v>
      </c>
      <c r="C185" s="2982"/>
      <c r="D185" s="2982"/>
      <c r="E185" s="2982"/>
      <c r="F185" s="2971">
        <v>0.05</v>
      </c>
      <c r="G185" s="2988"/>
    </row>
    <row r="186" spans="1:7">
      <c r="A186" s="2981" t="s">
        <v>29</v>
      </c>
      <c r="B186" s="2970" t="s">
        <v>3197</v>
      </c>
      <c r="C186" s="2982"/>
      <c r="D186" s="2982"/>
      <c r="E186" s="2982"/>
      <c r="F186" s="2971">
        <v>0.05</v>
      </c>
      <c r="G186" s="2988"/>
    </row>
    <row r="187" spans="1:7">
      <c r="A187" s="2981" t="s">
        <v>29</v>
      </c>
      <c r="B187" s="2970" t="s">
        <v>3198</v>
      </c>
      <c r="C187" s="2982"/>
      <c r="D187" s="2982"/>
      <c r="E187" s="2982"/>
      <c r="F187" s="2971">
        <v>0.05</v>
      </c>
      <c r="G187" s="2988"/>
    </row>
    <row r="188" spans="1:7">
      <c r="A188" s="2981" t="s">
        <v>29</v>
      </c>
      <c r="B188" s="2970" t="s">
        <v>3199</v>
      </c>
      <c r="C188" s="2982"/>
      <c r="D188" s="2982"/>
      <c r="E188" s="2982"/>
      <c r="F188" s="2971">
        <v>0.05</v>
      </c>
      <c r="G188" s="2988"/>
    </row>
    <row r="189" spans="1:7" ht="14.25" thickBot="1">
      <c r="A189" s="2984" t="s">
        <v>29</v>
      </c>
      <c r="B189" s="2974" t="s">
        <v>3200</v>
      </c>
      <c r="C189" s="2976"/>
      <c r="D189" s="2976"/>
      <c r="E189" s="2976"/>
      <c r="F189" s="2975">
        <v>0.05</v>
      </c>
      <c r="G189" s="2989"/>
    </row>
    <row r="190" spans="1:7">
      <c r="A190" s="2980" t="s">
        <v>304</v>
      </c>
      <c r="B190" s="2966" t="s">
        <v>2856</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2892</v>
      </c>
      <c r="C199" s="2971">
        <v>0.13</v>
      </c>
      <c r="D199" s="2971">
        <v>0.13</v>
      </c>
      <c r="E199" s="2971">
        <v>0.13</v>
      </c>
      <c r="F199" s="2971">
        <v>0.13</v>
      </c>
      <c r="G199" s="2972">
        <v>0.13</v>
      </c>
    </row>
    <row r="200" spans="1:7">
      <c r="A200" s="2981" t="s">
        <v>304</v>
      </c>
      <c r="B200" s="2970" t="s">
        <v>2895</v>
      </c>
      <c r="C200" s="2987"/>
      <c r="D200" s="2987"/>
      <c r="E200" s="2987"/>
      <c r="F200" s="2971">
        <v>0.13</v>
      </c>
      <c r="G200" s="2983"/>
    </row>
    <row r="201" spans="1:7">
      <c r="A201" s="2981" t="s">
        <v>304</v>
      </c>
      <c r="B201" s="2970" t="s">
        <v>2900</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2903</v>
      </c>
      <c r="C203" s="2971">
        <v>0.129</v>
      </c>
      <c r="D203" s="2971">
        <v>0.129</v>
      </c>
      <c r="E203" s="2971">
        <v>0.13</v>
      </c>
      <c r="F203" s="2971">
        <v>0.13</v>
      </c>
      <c r="G203" s="2972">
        <v>0.13</v>
      </c>
    </row>
    <row r="204" spans="1:7">
      <c r="A204" s="2981" t="s">
        <v>304</v>
      </c>
      <c r="B204" s="2970" t="s">
        <v>2906</v>
      </c>
      <c r="C204" s="2971">
        <v>0.129</v>
      </c>
      <c r="D204" s="2971">
        <v>0.129</v>
      </c>
      <c r="E204" s="2971">
        <v>0.123</v>
      </c>
      <c r="F204" s="2971">
        <v>0.13</v>
      </c>
      <c r="G204" s="2972">
        <v>0.13</v>
      </c>
    </row>
    <row r="205" spans="1:7">
      <c r="A205" s="2981" t="s">
        <v>304</v>
      </c>
      <c r="B205" s="2970" t="s">
        <v>2908</v>
      </c>
      <c r="C205" s="2971">
        <v>0.13</v>
      </c>
      <c r="D205" s="2971">
        <v>0.13</v>
      </c>
      <c r="E205" s="2971">
        <v>0.13</v>
      </c>
      <c r="F205" s="2971">
        <v>0.13</v>
      </c>
      <c r="G205" s="2972">
        <v>0.13</v>
      </c>
    </row>
    <row r="206" spans="1:7">
      <c r="A206" s="2981" t="s">
        <v>304</v>
      </c>
      <c r="B206" s="2970" t="s">
        <v>2911</v>
      </c>
      <c r="C206" s="2971">
        <v>0.13</v>
      </c>
      <c r="D206" s="2971">
        <v>0.13</v>
      </c>
      <c r="E206" s="2971">
        <v>0.13</v>
      </c>
      <c r="F206" s="2971">
        <v>0.128</v>
      </c>
      <c r="G206" s="2972">
        <v>0.13</v>
      </c>
    </row>
    <row r="207" spans="1:7">
      <c r="A207" s="2981" t="s">
        <v>304</v>
      </c>
      <c r="B207" s="2970" t="s">
        <v>2913</v>
      </c>
      <c r="C207" s="2971">
        <v>0.13</v>
      </c>
      <c r="D207" s="2971">
        <v>0.13</v>
      </c>
      <c r="E207" s="2971">
        <v>0.13</v>
      </c>
      <c r="F207" s="2971">
        <v>0.13</v>
      </c>
      <c r="G207" s="2972">
        <v>0.13</v>
      </c>
    </row>
    <row r="208" spans="1:7">
      <c r="A208" s="2981" t="s">
        <v>304</v>
      </c>
      <c r="B208" s="2970" t="s">
        <v>2916</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2923</v>
      </c>
      <c r="C210" s="2971">
        <v>0.121</v>
      </c>
      <c r="D210" s="2971">
        <v>0.121</v>
      </c>
      <c r="E210" s="2971">
        <v>0.125</v>
      </c>
      <c r="F210" s="2971">
        <v>0.13</v>
      </c>
      <c r="G210" s="2972">
        <v>0.123</v>
      </c>
    </row>
    <row r="211" spans="1:7">
      <c r="A211" s="2981" t="s">
        <v>304</v>
      </c>
      <c r="B211" s="2970" t="s">
        <v>2926</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2938</v>
      </c>
      <c r="C214" s="2971">
        <v>0.128</v>
      </c>
      <c r="D214" s="2971">
        <v>0.128</v>
      </c>
      <c r="E214" s="2971">
        <v>0.13</v>
      </c>
      <c r="F214" s="2971">
        <v>0.13</v>
      </c>
      <c r="G214" s="2972">
        <v>0.13</v>
      </c>
    </row>
    <row r="215" spans="1:7">
      <c r="A215" s="2981" t="s">
        <v>304</v>
      </c>
      <c r="B215" s="2970" t="s">
        <v>2942</v>
      </c>
      <c r="C215" s="2971">
        <v>0.13</v>
      </c>
      <c r="D215" s="2971">
        <v>0.13</v>
      </c>
      <c r="E215" s="2971">
        <v>0.13</v>
      </c>
      <c r="F215" s="2971">
        <v>0.129</v>
      </c>
      <c r="G215" s="2972">
        <v>0.13</v>
      </c>
    </row>
    <row r="216" spans="1:7">
      <c r="A216" s="2981" t="s">
        <v>304</v>
      </c>
      <c r="B216" s="2970" t="s">
        <v>2949</v>
      </c>
      <c r="C216" s="2971">
        <v>0.13</v>
      </c>
      <c r="D216" s="2971">
        <v>0.13</v>
      </c>
      <c r="E216" s="2971">
        <v>0.13</v>
      </c>
      <c r="F216" s="2971">
        <v>0.13</v>
      </c>
      <c r="G216" s="2972">
        <v>0.13</v>
      </c>
    </row>
    <row r="217" spans="1:7">
      <c r="A217" s="2981" t="s">
        <v>304</v>
      </c>
      <c r="B217" s="2970" t="s">
        <v>2956</v>
      </c>
      <c r="C217" s="2971">
        <v>0.129</v>
      </c>
      <c r="D217" s="2971">
        <v>0.129</v>
      </c>
      <c r="E217" s="2971">
        <v>0.13</v>
      </c>
      <c r="F217" s="2971">
        <v>0.13</v>
      </c>
      <c r="G217" s="2972">
        <v>0.13</v>
      </c>
    </row>
    <row r="218" spans="1:7">
      <c r="A218" s="2981" t="s">
        <v>304</v>
      </c>
      <c r="B218" s="2970" t="s">
        <v>2962</v>
      </c>
      <c r="C218" s="2982"/>
      <c r="D218" s="2982"/>
      <c r="E218" s="2982"/>
      <c r="F218" s="2971">
        <v>0.05</v>
      </c>
      <c r="G218" s="2988"/>
    </row>
    <row r="219" spans="1:7">
      <c r="A219" s="2981" t="s">
        <v>304</v>
      </c>
      <c r="B219" s="2970" t="s">
        <v>2969</v>
      </c>
      <c r="C219" s="2982"/>
      <c r="D219" s="2982"/>
      <c r="E219" s="2982"/>
      <c r="F219" s="2971">
        <v>0.05</v>
      </c>
      <c r="G219" s="2988"/>
    </row>
    <row r="220" spans="1:7">
      <c r="A220" s="2981" t="s">
        <v>304</v>
      </c>
      <c r="B220" s="2970" t="s">
        <v>2975</v>
      </c>
      <c r="C220" s="2982"/>
      <c r="D220" s="2982"/>
      <c r="E220" s="2982"/>
      <c r="F220" s="2971">
        <v>0.05</v>
      </c>
      <c r="G220" s="2988"/>
    </row>
    <row r="221" spans="1:7">
      <c r="A221" s="2981" t="s">
        <v>304</v>
      </c>
      <c r="B221" s="2970" t="s">
        <v>2980</v>
      </c>
      <c r="C221" s="2982"/>
      <c r="D221" s="2982"/>
      <c r="E221" s="2982"/>
      <c r="F221" s="2971">
        <v>0.05</v>
      </c>
      <c r="G221" s="2988"/>
    </row>
    <row r="222" spans="1:7">
      <c r="A222" s="2981" t="s">
        <v>304</v>
      </c>
      <c r="B222" s="2970" t="s">
        <v>2984</v>
      </c>
      <c r="C222" s="2982"/>
      <c r="D222" s="2982"/>
      <c r="E222" s="2982"/>
      <c r="F222" s="2971">
        <v>0.05</v>
      </c>
      <c r="G222" s="2988"/>
    </row>
    <row r="223" spans="1:7">
      <c r="A223" s="2981" t="s">
        <v>304</v>
      </c>
      <c r="B223" s="2970" t="s">
        <v>2989</v>
      </c>
      <c r="C223" s="2982"/>
      <c r="D223" s="2982"/>
      <c r="E223" s="2982"/>
      <c r="F223" s="2971">
        <v>0.05</v>
      </c>
      <c r="G223" s="2988"/>
    </row>
    <row r="224" spans="1:7">
      <c r="A224" s="2981" t="s">
        <v>304</v>
      </c>
      <c r="B224" s="2970" t="s">
        <v>2994</v>
      </c>
      <c r="C224" s="2982"/>
      <c r="D224" s="2982"/>
      <c r="E224" s="2982"/>
      <c r="F224" s="2971">
        <v>0.05</v>
      </c>
      <c r="G224" s="2988"/>
    </row>
    <row r="225" spans="1:7">
      <c r="A225" s="2981" t="s">
        <v>304</v>
      </c>
      <c r="B225" s="2970" t="s">
        <v>2999</v>
      </c>
      <c r="C225" s="2982"/>
      <c r="D225" s="2982"/>
      <c r="E225" s="2982"/>
      <c r="F225" s="2971">
        <v>0.05</v>
      </c>
      <c r="G225" s="2988"/>
    </row>
    <row r="226" spans="1:7">
      <c r="A226" s="2981" t="s">
        <v>304</v>
      </c>
      <c r="B226" s="2970" t="s">
        <v>3201</v>
      </c>
      <c r="C226" s="2982"/>
      <c r="D226" s="2982"/>
      <c r="E226" s="2982"/>
      <c r="F226" s="2971">
        <v>0.05</v>
      </c>
      <c r="G226" s="2988"/>
    </row>
    <row r="227" spans="1:7">
      <c r="A227" s="2981" t="s">
        <v>304</v>
      </c>
      <c r="B227" s="2970" t="s">
        <v>3202</v>
      </c>
      <c r="C227" s="2982"/>
      <c r="D227" s="2982"/>
      <c r="E227" s="2982"/>
      <c r="F227" s="2971">
        <v>0.05</v>
      </c>
      <c r="G227" s="2988"/>
    </row>
    <row r="228" spans="1:7">
      <c r="A228" s="2981" t="s">
        <v>304</v>
      </c>
      <c r="B228" s="2970" t="s">
        <v>3203</v>
      </c>
      <c r="C228" s="2982"/>
      <c r="D228" s="2982"/>
      <c r="E228" s="2982"/>
      <c r="F228" s="2971">
        <v>0.05</v>
      </c>
      <c r="G228" s="2988"/>
    </row>
    <row r="229" spans="1:7">
      <c r="A229" s="2981" t="s">
        <v>304</v>
      </c>
      <c r="B229" s="2970" t="s">
        <v>3204</v>
      </c>
      <c r="C229" s="2982"/>
      <c r="D229" s="2982"/>
      <c r="E229" s="2982"/>
      <c r="F229" s="2971">
        <v>0.05</v>
      </c>
      <c r="G229" s="2988"/>
    </row>
    <row r="230" spans="1:7">
      <c r="A230" s="2981" t="s">
        <v>304</v>
      </c>
      <c r="B230" s="2970" t="s">
        <v>3205</v>
      </c>
      <c r="C230" s="2982"/>
      <c r="D230" s="2982"/>
      <c r="E230" s="2982"/>
      <c r="F230" s="2971">
        <v>0.05</v>
      </c>
      <c r="G230" s="2988"/>
    </row>
    <row r="231" spans="1:7">
      <c r="A231" s="2981" t="s">
        <v>304</v>
      </c>
      <c r="B231" s="2970" t="s">
        <v>3206</v>
      </c>
      <c r="C231" s="2982"/>
      <c r="D231" s="2982"/>
      <c r="E231" s="2982"/>
      <c r="F231" s="2971">
        <v>0.05</v>
      </c>
      <c r="G231" s="2988"/>
    </row>
    <row r="232" spans="1:7">
      <c r="A232" s="2981" t="s">
        <v>304</v>
      </c>
      <c r="B232" s="2970" t="s">
        <v>3207</v>
      </c>
      <c r="C232" s="2982"/>
      <c r="D232" s="2982"/>
      <c r="E232" s="2982"/>
      <c r="F232" s="2971">
        <v>0.05</v>
      </c>
      <c r="G232" s="2988"/>
    </row>
    <row r="233" spans="1:7" ht="14.25" thickBot="1">
      <c r="A233" s="2984" t="s">
        <v>304</v>
      </c>
      <c r="B233" s="2974" t="s">
        <v>3208</v>
      </c>
      <c r="C233" s="2976"/>
      <c r="D233" s="2976"/>
      <c r="E233" s="2976"/>
      <c r="F233" s="2975">
        <v>0.05</v>
      </c>
      <c r="G233" s="2989"/>
    </row>
    <row r="234" spans="1:7">
      <c r="A234" s="2980" t="s">
        <v>305</v>
      </c>
      <c r="B234" s="2966" t="s">
        <v>2857</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2877</v>
      </c>
      <c r="C238" s="2971">
        <v>0.14899999999999999</v>
      </c>
      <c r="D238" s="2971">
        <v>0.14899999999999999</v>
      </c>
      <c r="E238" s="2971">
        <v>0.15</v>
      </c>
      <c r="F238" s="2971">
        <v>0.15</v>
      </c>
      <c r="G238" s="2972">
        <v>0.15</v>
      </c>
    </row>
    <row r="239" spans="1:7">
      <c r="A239" s="2981" t="s">
        <v>305</v>
      </c>
      <c r="B239" s="2970" t="s">
        <v>2881</v>
      </c>
      <c r="C239" s="2971">
        <v>0.15</v>
      </c>
      <c r="D239" s="2971">
        <v>0.15</v>
      </c>
      <c r="E239" s="2971">
        <v>0.15</v>
      </c>
      <c r="F239" s="2971">
        <v>0.15</v>
      </c>
      <c r="G239" s="2972">
        <v>0.15</v>
      </c>
    </row>
    <row r="240" spans="1:7">
      <c r="A240" s="2981" t="s">
        <v>305</v>
      </c>
      <c r="B240" s="2970" t="s">
        <v>2886</v>
      </c>
      <c r="C240" s="2971">
        <v>0.15</v>
      </c>
      <c r="D240" s="2971">
        <v>0.15</v>
      </c>
      <c r="E240" s="2971">
        <v>0.15</v>
      </c>
      <c r="F240" s="2971">
        <v>0.15</v>
      </c>
      <c r="G240" s="2972">
        <v>0.15</v>
      </c>
    </row>
    <row r="241" spans="1:7">
      <c r="A241" s="2981" t="s">
        <v>305</v>
      </c>
      <c r="B241" s="2970" t="s">
        <v>2890</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2896</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2904</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2909</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2917</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2930</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2939</v>
      </c>
      <c r="C258" s="2971">
        <v>0.14299999999999999</v>
      </c>
      <c r="D258" s="2971">
        <v>0.14299999999999999</v>
      </c>
      <c r="E258" s="2971">
        <v>0.15</v>
      </c>
      <c r="F258" s="2971">
        <v>0.14799999999999999</v>
      </c>
      <c r="G258" s="2972">
        <v>0.14599999999999999</v>
      </c>
    </row>
    <row r="259" spans="1:7">
      <c r="A259" s="2981" t="s">
        <v>305</v>
      </c>
      <c r="B259" s="2970" t="s">
        <v>2943</v>
      </c>
      <c r="C259" s="2971">
        <v>0.14399999999999999</v>
      </c>
      <c r="D259" s="2971">
        <v>0.14399999999999999</v>
      </c>
      <c r="E259" s="2971">
        <v>0.14899999999999999</v>
      </c>
      <c r="F259" s="2971">
        <v>0.14699999999999999</v>
      </c>
      <c r="G259" s="2972">
        <v>0.14599999999999999</v>
      </c>
    </row>
    <row r="260" spans="1:7">
      <c r="A260" s="2981" t="s">
        <v>305</v>
      </c>
      <c r="B260" s="2970" t="s">
        <v>2950</v>
      </c>
      <c r="C260" s="2971">
        <v>0.109</v>
      </c>
      <c r="D260" s="2971">
        <v>0.111</v>
      </c>
      <c r="E260" s="2971">
        <v>0.13100000000000001</v>
      </c>
      <c r="F260" s="2971">
        <v>0.126</v>
      </c>
      <c r="G260" s="2972">
        <v>0.11899999999999999</v>
      </c>
    </row>
    <row r="261" spans="1:7">
      <c r="A261" s="2981" t="s">
        <v>305</v>
      </c>
      <c r="B261" s="2970" t="s">
        <v>2957</v>
      </c>
      <c r="C261" s="2971">
        <v>0.1</v>
      </c>
      <c r="D261" s="2971">
        <v>0.1</v>
      </c>
      <c r="E261" s="2971">
        <v>0.11799999999999999</v>
      </c>
      <c r="F261" s="2971">
        <v>0.108</v>
      </c>
      <c r="G261" s="2972">
        <v>0.107</v>
      </c>
    </row>
    <row r="262" spans="1:7">
      <c r="A262" s="2981" t="s">
        <v>305</v>
      </c>
      <c r="B262" s="2970" t="s">
        <v>2963</v>
      </c>
      <c r="C262" s="2971">
        <v>0.1</v>
      </c>
      <c r="D262" s="2971">
        <v>0.1</v>
      </c>
      <c r="E262" s="2971">
        <v>0.1</v>
      </c>
      <c r="F262" s="2971">
        <v>0.14099999999999999</v>
      </c>
      <c r="G262" s="2972">
        <v>0.1</v>
      </c>
    </row>
    <row r="263" spans="1:7">
      <c r="A263" s="2981" t="s">
        <v>305</v>
      </c>
      <c r="B263" s="2970" t="s">
        <v>2970</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2981</v>
      </c>
      <c r="C265" s="2982"/>
      <c r="D265" s="2982"/>
      <c r="E265" s="2982"/>
      <c r="F265" s="2971">
        <v>0.05</v>
      </c>
      <c r="G265" s="2988"/>
    </row>
    <row r="266" spans="1:7">
      <c r="A266" s="2981" t="s">
        <v>305</v>
      </c>
      <c r="B266" s="2970" t="s">
        <v>2985</v>
      </c>
      <c r="C266" s="2982"/>
      <c r="D266" s="2982"/>
      <c r="E266" s="2982"/>
      <c r="F266" s="2971">
        <v>0.05</v>
      </c>
      <c r="G266" s="2988"/>
    </row>
    <row r="267" spans="1:7">
      <c r="A267" s="2981" t="s">
        <v>305</v>
      </c>
      <c r="B267" s="2970" t="s">
        <v>2990</v>
      </c>
      <c r="C267" s="2982"/>
      <c r="D267" s="2982"/>
      <c r="E267" s="2982"/>
      <c r="F267" s="2971">
        <v>0.05</v>
      </c>
      <c r="G267" s="2988"/>
    </row>
    <row r="268" spans="1:7">
      <c r="A268" s="2981" t="s">
        <v>305</v>
      </c>
      <c r="B268" s="2970" t="s">
        <v>2995</v>
      </c>
      <c r="C268" s="2982"/>
      <c r="D268" s="2982"/>
      <c r="E268" s="2982"/>
      <c r="F268" s="2971">
        <v>0.05</v>
      </c>
      <c r="G268" s="2988"/>
    </row>
    <row r="269" spans="1:7">
      <c r="A269" s="2981" t="s">
        <v>305</v>
      </c>
      <c r="B269" s="2970" t="s">
        <v>3000</v>
      </c>
      <c r="C269" s="2982"/>
      <c r="D269" s="2982"/>
      <c r="E269" s="2982"/>
      <c r="F269" s="2971">
        <v>0.05</v>
      </c>
      <c r="G269" s="2988"/>
    </row>
    <row r="270" spans="1:7">
      <c r="A270" s="2981" t="s">
        <v>305</v>
      </c>
      <c r="B270" s="2970" t="s">
        <v>3005</v>
      </c>
      <c r="C270" s="2982"/>
      <c r="D270" s="2982"/>
      <c r="E270" s="2982"/>
      <c r="F270" s="2971">
        <v>0.05</v>
      </c>
      <c r="G270" s="2988"/>
    </row>
    <row r="271" spans="1:7">
      <c r="A271" s="2981" t="s">
        <v>305</v>
      </c>
      <c r="B271" s="2970" t="s">
        <v>3209</v>
      </c>
      <c r="C271" s="2982"/>
      <c r="D271" s="2982"/>
      <c r="E271" s="2982"/>
      <c r="F271" s="2971">
        <v>0.05</v>
      </c>
      <c r="G271" s="2988"/>
    </row>
    <row r="272" spans="1:7">
      <c r="A272" s="2981" t="s">
        <v>305</v>
      </c>
      <c r="B272" s="2970" t="s">
        <v>3210</v>
      </c>
      <c r="C272" s="2982"/>
      <c r="D272" s="2982"/>
      <c r="E272" s="2982"/>
      <c r="F272" s="2971">
        <v>0.05</v>
      </c>
      <c r="G272" s="2988"/>
    </row>
    <row r="273" spans="1:7">
      <c r="A273" s="2981" t="s">
        <v>305</v>
      </c>
      <c r="B273" s="2970" t="s">
        <v>3211</v>
      </c>
      <c r="C273" s="2982"/>
      <c r="D273" s="2982"/>
      <c r="E273" s="2982"/>
      <c r="F273" s="2971">
        <v>0.05</v>
      </c>
      <c r="G273" s="2988"/>
    </row>
    <row r="274" spans="1:7">
      <c r="A274" s="2981" t="s">
        <v>305</v>
      </c>
      <c r="B274" s="2970" t="s">
        <v>3212</v>
      </c>
      <c r="C274" s="2982"/>
      <c r="D274" s="2982"/>
      <c r="E274" s="2982"/>
      <c r="F274" s="2971">
        <v>0.05</v>
      </c>
      <c r="G274" s="2988"/>
    </row>
    <row r="275" spans="1:7">
      <c r="A275" s="2981" t="s">
        <v>305</v>
      </c>
      <c r="B275" s="2970" t="s">
        <v>3213</v>
      </c>
      <c r="C275" s="2982"/>
      <c r="D275" s="2982"/>
      <c r="E275" s="2982"/>
      <c r="F275" s="2971">
        <v>0.05</v>
      </c>
      <c r="G275" s="2988"/>
    </row>
    <row r="276" spans="1:7" ht="14.25" thickBot="1">
      <c r="A276" s="2984" t="s">
        <v>305</v>
      </c>
      <c r="B276" s="2974" t="s">
        <v>3214</v>
      </c>
      <c r="C276" s="2976"/>
      <c r="D276" s="2976"/>
      <c r="E276" s="2976"/>
      <c r="F276" s="2975">
        <v>0.05</v>
      </c>
      <c r="G276" s="2989"/>
    </row>
    <row r="277" spans="1:7">
      <c r="A277" s="2980" t="s">
        <v>306</v>
      </c>
      <c r="B277" s="2966" t="s">
        <v>2858</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2870</v>
      </c>
      <c r="C279" s="2971">
        <v>0.15</v>
      </c>
      <c r="D279" s="2971">
        <v>0.15</v>
      </c>
      <c r="E279" s="2971">
        <v>0.15</v>
      </c>
      <c r="F279" s="2971">
        <v>0.15</v>
      </c>
      <c r="G279" s="2972">
        <v>0.15</v>
      </c>
    </row>
    <row r="280" spans="1:7">
      <c r="A280" s="2981" t="s">
        <v>306</v>
      </c>
      <c r="B280" s="2970" t="s">
        <v>2874</v>
      </c>
      <c r="C280" s="2971">
        <v>0.15</v>
      </c>
      <c r="D280" s="2971">
        <v>0.15</v>
      </c>
      <c r="E280" s="2971">
        <v>0.15</v>
      </c>
      <c r="F280" s="2971">
        <v>0.15</v>
      </c>
      <c r="G280" s="2972">
        <v>0.15</v>
      </c>
    </row>
    <row r="281" spans="1:7">
      <c r="A281" s="2981" t="s">
        <v>306</v>
      </c>
      <c r="B281" s="2970" t="s">
        <v>2878</v>
      </c>
      <c r="C281" s="2971">
        <v>0.15</v>
      </c>
      <c r="D281" s="2971">
        <v>0.15</v>
      </c>
      <c r="E281" s="2971">
        <v>0.15</v>
      </c>
      <c r="F281" s="2971">
        <v>0.15</v>
      </c>
      <c r="G281" s="2972">
        <v>0.15</v>
      </c>
    </row>
    <row r="282" spans="1:7">
      <c r="A282" s="2981" t="s">
        <v>306</v>
      </c>
      <c r="B282" s="2970" t="s">
        <v>2882</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2897</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2902</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2912</v>
      </c>
      <c r="C293" s="2971">
        <v>0.15</v>
      </c>
      <c r="D293" s="2971">
        <v>0.15</v>
      </c>
      <c r="E293" s="2971">
        <v>0.15</v>
      </c>
      <c r="F293" s="2971">
        <v>0.14499999999999999</v>
      </c>
      <c r="G293" s="2972">
        <v>0.15</v>
      </c>
    </row>
    <row r="294" spans="1:7">
      <c r="A294" s="2981" t="s">
        <v>306</v>
      </c>
      <c r="B294" s="2970" t="s">
        <v>2914</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2931</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2944</v>
      </c>
      <c r="C302" s="2971">
        <v>0.15</v>
      </c>
      <c r="D302" s="2971">
        <v>0.15</v>
      </c>
      <c r="E302" s="2971">
        <v>0.15</v>
      </c>
      <c r="F302" s="2971">
        <v>0.14699999999999999</v>
      </c>
      <c r="G302" s="2972">
        <v>0.15</v>
      </c>
    </row>
    <row r="303" spans="1:7">
      <c r="A303" s="2981" t="s">
        <v>306</v>
      </c>
      <c r="B303" s="2970" t="s">
        <v>2951</v>
      </c>
      <c r="C303" s="2971">
        <v>0.15</v>
      </c>
      <c r="D303" s="2971">
        <v>0.15</v>
      </c>
      <c r="E303" s="2971">
        <v>0.15</v>
      </c>
      <c r="F303" s="2971">
        <v>0.14199999999999999</v>
      </c>
      <c r="G303" s="2972">
        <v>0.15</v>
      </c>
    </row>
    <row r="304" spans="1:7">
      <c r="A304" s="2981" t="s">
        <v>306</v>
      </c>
      <c r="B304" s="2970" t="s">
        <v>2958</v>
      </c>
      <c r="C304" s="2971">
        <v>0.15</v>
      </c>
      <c r="D304" s="2971">
        <v>0.15</v>
      </c>
      <c r="E304" s="2971">
        <v>0.15</v>
      </c>
      <c r="F304" s="2971">
        <v>0.14499999999999999</v>
      </c>
      <c r="G304" s="2972">
        <v>0.15</v>
      </c>
    </row>
    <row r="305" spans="1:7">
      <c r="A305" s="2981" t="s">
        <v>306</v>
      </c>
      <c r="B305" s="2970" t="s">
        <v>2964</v>
      </c>
      <c r="C305" s="2971">
        <v>0.15</v>
      </c>
      <c r="D305" s="2971">
        <v>0.15</v>
      </c>
      <c r="E305" s="2971">
        <v>0.15</v>
      </c>
      <c r="F305" s="2971">
        <v>0.111</v>
      </c>
      <c r="G305" s="2972">
        <v>0.15</v>
      </c>
    </row>
    <row r="306" spans="1:7">
      <c r="A306" s="2981" t="s">
        <v>306</v>
      </c>
      <c r="B306" s="2970" t="s">
        <v>2971</v>
      </c>
      <c r="C306" s="2971">
        <v>0.15</v>
      </c>
      <c r="D306" s="2971">
        <v>0.15</v>
      </c>
      <c r="E306" s="2971">
        <v>0.15</v>
      </c>
      <c r="F306" s="2971">
        <v>0.126</v>
      </c>
      <c r="G306" s="2972">
        <v>0.15</v>
      </c>
    </row>
    <row r="307" spans="1:7">
      <c r="A307" s="2981" t="s">
        <v>306</v>
      </c>
      <c r="B307" s="2970" t="s">
        <v>2976</v>
      </c>
      <c r="C307" s="2971">
        <v>0.15</v>
      </c>
      <c r="D307" s="2971">
        <v>0.15</v>
      </c>
      <c r="E307" s="2971">
        <v>0.15</v>
      </c>
      <c r="F307" s="2971">
        <v>0.12</v>
      </c>
      <c r="G307" s="2972">
        <v>0.15</v>
      </c>
    </row>
    <row r="308" spans="1:7">
      <c r="A308" s="2981" t="s">
        <v>306</v>
      </c>
      <c r="B308" s="2970" t="s">
        <v>2982</v>
      </c>
      <c r="C308" s="2971">
        <v>0.15</v>
      </c>
      <c r="D308" s="2971">
        <v>0.15</v>
      </c>
      <c r="E308" s="2971">
        <v>0.15</v>
      </c>
      <c r="F308" s="2971">
        <v>0.13</v>
      </c>
      <c r="G308" s="2972">
        <v>0.15</v>
      </c>
    </row>
    <row r="309" spans="1:7">
      <c r="A309" s="2981" t="s">
        <v>306</v>
      </c>
      <c r="B309" s="2970" t="s">
        <v>2986</v>
      </c>
      <c r="C309" s="2971">
        <v>0.15</v>
      </c>
      <c r="D309" s="2971">
        <v>0.15</v>
      </c>
      <c r="E309" s="2971">
        <v>0.15</v>
      </c>
      <c r="F309" s="2971">
        <v>0.14099999999999999</v>
      </c>
      <c r="G309" s="2972">
        <v>0.15</v>
      </c>
    </row>
    <row r="310" spans="1:7">
      <c r="A310" s="2981" t="s">
        <v>306</v>
      </c>
      <c r="B310" s="2970" t="s">
        <v>2991</v>
      </c>
      <c r="C310" s="2971">
        <v>0.15</v>
      </c>
      <c r="D310" s="2971">
        <v>0.15</v>
      </c>
      <c r="E310" s="2971">
        <v>0.15</v>
      </c>
      <c r="F310" s="2971">
        <v>0.15</v>
      </c>
      <c r="G310" s="2972">
        <v>0.15</v>
      </c>
    </row>
    <row r="311" spans="1:7">
      <c r="A311" s="2981" t="s">
        <v>306</v>
      </c>
      <c r="B311" s="2970" t="s">
        <v>2996</v>
      </c>
      <c r="C311" s="2971">
        <v>0.13200000000000001</v>
      </c>
      <c r="D311" s="2971">
        <v>0.13300000000000001</v>
      </c>
      <c r="E311" s="2971">
        <v>0.14499999999999999</v>
      </c>
      <c r="F311" s="2971">
        <v>0.14199999999999999</v>
      </c>
      <c r="G311" s="2972">
        <v>0.14000000000000001</v>
      </c>
    </row>
    <row r="312" spans="1:7">
      <c r="A312" s="2981" t="s">
        <v>306</v>
      </c>
      <c r="B312" s="2970" t="s">
        <v>3001</v>
      </c>
      <c r="C312" s="2971">
        <v>0.13800000000000001</v>
      </c>
      <c r="D312" s="2971">
        <v>0.14000000000000001</v>
      </c>
      <c r="E312" s="2971">
        <v>0.14599999999999999</v>
      </c>
      <c r="F312" s="2971">
        <v>0.14899999999999999</v>
      </c>
      <c r="G312" s="2972">
        <v>0.14199999999999999</v>
      </c>
    </row>
    <row r="313" spans="1:7">
      <c r="A313" s="2981" t="s">
        <v>306</v>
      </c>
      <c r="B313" s="2970" t="s">
        <v>3006</v>
      </c>
      <c r="C313" s="2971">
        <v>0.125</v>
      </c>
      <c r="D313" s="2971">
        <v>0.127</v>
      </c>
      <c r="E313" s="2971">
        <v>0.14399999999999999</v>
      </c>
      <c r="F313" s="2971">
        <v>0.115</v>
      </c>
      <c r="G313" s="2972">
        <v>0.13600000000000001</v>
      </c>
    </row>
    <row r="314" spans="1:7">
      <c r="A314" s="2981" t="s">
        <v>306</v>
      </c>
      <c r="B314" s="2970" t="s">
        <v>3215</v>
      </c>
      <c r="C314" s="2987"/>
      <c r="D314" s="2987"/>
      <c r="E314" s="2987"/>
      <c r="F314" s="2971">
        <v>0.05</v>
      </c>
      <c r="G314" s="2988"/>
    </row>
    <row r="315" spans="1:7">
      <c r="A315" s="2981" t="s">
        <v>306</v>
      </c>
      <c r="B315" s="2970" t="s">
        <v>3216</v>
      </c>
      <c r="C315" s="2987"/>
      <c r="D315" s="2987"/>
      <c r="E315" s="2987"/>
      <c r="F315" s="2971">
        <v>0.05</v>
      </c>
      <c r="G315" s="2988"/>
    </row>
    <row r="316" spans="1:7">
      <c r="A316" s="2981" t="s">
        <v>306</v>
      </c>
      <c r="B316" s="2970" t="s">
        <v>3217</v>
      </c>
      <c r="C316" s="2982"/>
      <c r="D316" s="2982"/>
      <c r="E316" s="2982"/>
      <c r="F316" s="2971">
        <v>0.05</v>
      </c>
      <c r="G316" s="2988"/>
    </row>
    <row r="317" spans="1:7">
      <c r="A317" s="2981" t="s">
        <v>306</v>
      </c>
      <c r="B317" s="2970" t="s">
        <v>3218</v>
      </c>
      <c r="C317" s="2982"/>
      <c r="D317" s="2982"/>
      <c r="E317" s="2982"/>
      <c r="F317" s="2971">
        <v>0.05</v>
      </c>
      <c r="G317" s="2988"/>
    </row>
    <row r="318" spans="1:7">
      <c r="A318" s="2981" t="s">
        <v>306</v>
      </c>
      <c r="B318" s="2970" t="s">
        <v>3219</v>
      </c>
      <c r="C318" s="2982"/>
      <c r="D318" s="2982"/>
      <c r="E318" s="2982"/>
      <c r="F318" s="2971">
        <v>0.05</v>
      </c>
      <c r="G318" s="2988"/>
    </row>
    <row r="319" spans="1:7">
      <c r="A319" s="2981" t="s">
        <v>306</v>
      </c>
      <c r="B319" s="2970" t="s">
        <v>3220</v>
      </c>
      <c r="C319" s="2982"/>
      <c r="D319" s="2982"/>
      <c r="E319" s="2982"/>
      <c r="F319" s="2971">
        <v>0.05</v>
      </c>
      <c r="G319" s="2988"/>
    </row>
    <row r="320" spans="1:7">
      <c r="A320" s="2981" t="s">
        <v>306</v>
      </c>
      <c r="B320" s="2970" t="s">
        <v>3221</v>
      </c>
      <c r="C320" s="2982"/>
      <c r="D320" s="2982"/>
      <c r="E320" s="2982"/>
      <c r="F320" s="2971">
        <v>0.05</v>
      </c>
      <c r="G320" s="2988"/>
    </row>
    <row r="321" spans="1:7">
      <c r="A321" s="2981" t="s">
        <v>306</v>
      </c>
      <c r="B321" s="2970" t="s">
        <v>3222</v>
      </c>
      <c r="C321" s="2982"/>
      <c r="D321" s="2982"/>
      <c r="E321" s="2982"/>
      <c r="F321" s="2971">
        <v>0.05</v>
      </c>
      <c r="G321" s="2988"/>
    </row>
    <row r="322" spans="1:7">
      <c r="A322" s="2981" t="s">
        <v>306</v>
      </c>
      <c r="B322" s="2970" t="s">
        <v>3223</v>
      </c>
      <c r="C322" s="2982"/>
      <c r="D322" s="2982"/>
      <c r="E322" s="2982"/>
      <c r="F322" s="2971">
        <v>0.05</v>
      </c>
      <c r="G322" s="2988"/>
    </row>
    <row r="323" spans="1:7">
      <c r="A323" s="2981" t="s">
        <v>306</v>
      </c>
      <c r="B323" s="2970" t="s">
        <v>3224</v>
      </c>
      <c r="C323" s="2982"/>
      <c r="D323" s="2982"/>
      <c r="E323" s="2982"/>
      <c r="F323" s="2971">
        <v>0.05</v>
      </c>
      <c r="G323" s="2988"/>
    </row>
    <row r="324" spans="1:7">
      <c r="A324" s="2981" t="s">
        <v>306</v>
      </c>
      <c r="B324" s="2970" t="s">
        <v>3225</v>
      </c>
      <c r="C324" s="2982"/>
      <c r="D324" s="2982"/>
      <c r="E324" s="2982"/>
      <c r="F324" s="2971">
        <v>0.05</v>
      </c>
      <c r="G324" s="2988"/>
    </row>
    <row r="325" spans="1:7">
      <c r="A325" s="2981" t="s">
        <v>306</v>
      </c>
      <c r="B325" s="2970" t="s">
        <v>3226</v>
      </c>
      <c r="C325" s="2982"/>
      <c r="D325" s="2982"/>
      <c r="E325" s="2982"/>
      <c r="F325" s="2971">
        <v>0.05</v>
      </c>
      <c r="G325" s="2988"/>
    </row>
    <row r="326" spans="1:7" ht="14.25" thickBot="1">
      <c r="A326" s="2984" t="s">
        <v>306</v>
      </c>
      <c r="B326" s="2974" t="s">
        <v>3227</v>
      </c>
      <c r="C326" s="2976"/>
      <c r="D326" s="2976"/>
      <c r="E326" s="2976"/>
      <c r="F326" s="2975">
        <v>0.05</v>
      </c>
      <c r="G326" s="2989"/>
    </row>
    <row r="327" spans="1:7">
      <c r="A327" s="2980" t="s">
        <v>307</v>
      </c>
      <c r="B327" s="2966" t="s">
        <v>2859</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2871</v>
      </c>
      <c r="C329" s="2971">
        <v>0.15</v>
      </c>
      <c r="D329" s="2971">
        <v>0.15</v>
      </c>
      <c r="E329" s="2971">
        <v>0.15</v>
      </c>
      <c r="F329" s="2971">
        <v>0.15</v>
      </c>
      <c r="G329" s="2972">
        <v>0.15</v>
      </c>
    </row>
    <row r="330" spans="1:7">
      <c r="A330" s="2981" t="s">
        <v>307</v>
      </c>
      <c r="B330" s="2970" t="s">
        <v>2875</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2883</v>
      </c>
      <c r="C332" s="2971">
        <v>0.15</v>
      </c>
      <c r="D332" s="2971">
        <v>0.15</v>
      </c>
      <c r="E332" s="2971">
        <v>0.15</v>
      </c>
      <c r="F332" s="2971">
        <v>0.15</v>
      </c>
      <c r="G332" s="2972">
        <v>0.15</v>
      </c>
    </row>
    <row r="333" spans="1:7">
      <c r="A333" s="2981" t="s">
        <v>307</v>
      </c>
      <c r="B333" s="2970" t="s">
        <v>2887</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2893</v>
      </c>
      <c r="C336" s="2971">
        <v>0.15</v>
      </c>
      <c r="D336" s="2971">
        <v>0.15</v>
      </c>
      <c r="E336" s="2971">
        <v>0.15</v>
      </c>
      <c r="F336" s="2971">
        <v>0.14199999999999999</v>
      </c>
      <c r="G336" s="2972">
        <v>0.15</v>
      </c>
    </row>
    <row r="337" spans="1:7">
      <c r="A337" s="2981" t="s">
        <v>307</v>
      </c>
      <c r="B337" s="2970" t="s">
        <v>2898</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2905</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2910</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2918</v>
      </c>
      <c r="C345" s="2971">
        <v>0.15</v>
      </c>
      <c r="D345" s="2971">
        <v>0.15</v>
      </c>
      <c r="E345" s="2971">
        <v>0.15</v>
      </c>
      <c r="F345" s="2971">
        <v>0.13800000000000001</v>
      </c>
      <c r="G345" s="2972">
        <v>0.15</v>
      </c>
    </row>
    <row r="346" spans="1:7">
      <c r="A346" s="2981" t="s">
        <v>307</v>
      </c>
      <c r="B346" s="2970" t="s">
        <v>2920</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2927</v>
      </c>
      <c r="C348" s="2971">
        <v>0.15</v>
      </c>
      <c r="D348" s="2971">
        <v>0.15</v>
      </c>
      <c r="E348" s="2971">
        <v>0.15</v>
      </c>
      <c r="F348" s="2971">
        <v>0.14399999999999999</v>
      </c>
      <c r="G348" s="2972">
        <v>0.15</v>
      </c>
    </row>
    <row r="349" spans="1:7">
      <c r="A349" s="2981" t="s">
        <v>307</v>
      </c>
      <c r="B349" s="2970" t="s">
        <v>2932</v>
      </c>
      <c r="C349" s="2971">
        <v>0.15</v>
      </c>
      <c r="D349" s="2971">
        <v>0.15</v>
      </c>
      <c r="E349" s="2971">
        <v>0.15</v>
      </c>
      <c r="F349" s="2971">
        <v>0.15</v>
      </c>
      <c r="G349" s="2972">
        <v>0.15</v>
      </c>
    </row>
    <row r="350" spans="1:7">
      <c r="A350" s="2981" t="s">
        <v>307</v>
      </c>
      <c r="B350" s="2970" t="s">
        <v>2935</v>
      </c>
      <c r="C350" s="2971">
        <v>0.15</v>
      </c>
      <c r="D350" s="2971">
        <v>0.15</v>
      </c>
      <c r="E350" s="2971">
        <v>0.15</v>
      </c>
      <c r="F350" s="2971">
        <v>0.14699999999999999</v>
      </c>
      <c r="G350" s="2972">
        <v>0.15</v>
      </c>
    </row>
    <row r="351" spans="1:7">
      <c r="A351" s="2981" t="s">
        <v>307</v>
      </c>
      <c r="B351" s="2970" t="s">
        <v>2940</v>
      </c>
      <c r="C351" s="2971">
        <v>0.15</v>
      </c>
      <c r="D351" s="2971">
        <v>0.15</v>
      </c>
      <c r="E351" s="2971">
        <v>0.15</v>
      </c>
      <c r="F351" s="2971">
        <v>0.13</v>
      </c>
      <c r="G351" s="2972">
        <v>0.15</v>
      </c>
    </row>
    <row r="352" spans="1:7">
      <c r="A352" s="2981" t="s">
        <v>307</v>
      </c>
      <c r="B352" s="2970" t="s">
        <v>2945</v>
      </c>
      <c r="C352" s="2971">
        <v>0.15</v>
      </c>
      <c r="D352" s="2971">
        <v>0.15</v>
      </c>
      <c r="E352" s="2971">
        <v>0.15</v>
      </c>
      <c r="F352" s="2971">
        <v>0.14599999999999999</v>
      </c>
      <c r="G352" s="2972">
        <v>0.15</v>
      </c>
    </row>
    <row r="353" spans="1:7">
      <c r="A353" s="2981" t="s">
        <v>307</v>
      </c>
      <c r="B353" s="2970" t="s">
        <v>2952</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2965</v>
      </c>
      <c r="C355" s="2971">
        <v>0.15</v>
      </c>
      <c r="D355" s="2971">
        <v>0.15</v>
      </c>
      <c r="E355" s="2971">
        <v>0.15</v>
      </c>
      <c r="F355" s="2971">
        <v>0.15</v>
      </c>
      <c r="G355" s="2972">
        <v>0.15</v>
      </c>
    </row>
    <row r="356" spans="1:7">
      <c r="A356" s="2981" t="s">
        <v>307</v>
      </c>
      <c r="B356" s="2970" t="s">
        <v>2972</v>
      </c>
      <c r="C356" s="2971">
        <v>0.15</v>
      </c>
      <c r="D356" s="2971">
        <v>0.15</v>
      </c>
      <c r="E356" s="2971">
        <v>0.15</v>
      </c>
      <c r="F356" s="2971">
        <v>0.15</v>
      </c>
      <c r="G356" s="2972">
        <v>0.15</v>
      </c>
    </row>
    <row r="357" spans="1:7" ht="14.25" thickBot="1">
      <c r="A357" s="2984" t="s">
        <v>307</v>
      </c>
      <c r="B357" s="2974" t="s">
        <v>2977</v>
      </c>
      <c r="C357" s="2975">
        <v>0.126</v>
      </c>
      <c r="D357" s="2975">
        <v>0.127</v>
      </c>
      <c r="E357" s="2975">
        <v>0.14299999999999999</v>
      </c>
      <c r="F357" s="2975">
        <v>0.125</v>
      </c>
      <c r="G357" s="2977">
        <v>0.129</v>
      </c>
    </row>
    <row r="358" spans="1:7">
      <c r="A358" s="2980" t="s">
        <v>2846</v>
      </c>
      <c r="B358" s="2966" t="s">
        <v>2860</v>
      </c>
      <c r="C358" s="2967">
        <v>0.15</v>
      </c>
      <c r="D358" s="2967">
        <v>0.15</v>
      </c>
      <c r="E358" s="2967">
        <v>0.15</v>
      </c>
      <c r="F358" s="2967">
        <v>0.15</v>
      </c>
      <c r="G358" s="2968">
        <v>0.15</v>
      </c>
    </row>
    <row r="359" spans="1:7">
      <c r="A359" s="2981" t="s">
        <v>2846</v>
      </c>
      <c r="B359" s="2970" t="s">
        <v>2866</v>
      </c>
      <c r="C359" s="2971">
        <v>0.1</v>
      </c>
      <c r="D359" s="2971">
        <v>0.1</v>
      </c>
      <c r="E359" s="2971">
        <v>0.1</v>
      </c>
      <c r="F359" s="2971">
        <v>0.1</v>
      </c>
      <c r="G359" s="2972">
        <v>0.1</v>
      </c>
    </row>
    <row r="360" spans="1:7">
      <c r="A360" s="2981" t="s">
        <v>2846</v>
      </c>
      <c r="B360" s="2970" t="s">
        <v>2872</v>
      </c>
      <c r="C360" s="2971">
        <v>0.15</v>
      </c>
      <c r="D360" s="2971">
        <v>0.15</v>
      </c>
      <c r="E360" s="2971">
        <v>0.15</v>
      </c>
      <c r="F360" s="2971">
        <v>0.14899999999999999</v>
      </c>
      <c r="G360" s="2972">
        <v>0.15</v>
      </c>
    </row>
    <row r="361" spans="1:7">
      <c r="A361" s="2981" t="s">
        <v>2846</v>
      </c>
      <c r="B361" s="2970" t="s">
        <v>153</v>
      </c>
      <c r="C361" s="2971">
        <v>0.15</v>
      </c>
      <c r="D361" s="2971">
        <v>0.15</v>
      </c>
      <c r="E361" s="2971">
        <v>0.15</v>
      </c>
      <c r="F361" s="2971">
        <v>0.115</v>
      </c>
      <c r="G361" s="2972">
        <v>0.15</v>
      </c>
    </row>
    <row r="362" spans="1:7">
      <c r="A362" s="2981" t="s">
        <v>2846</v>
      </c>
      <c r="B362" s="2970" t="s">
        <v>2879</v>
      </c>
      <c r="C362" s="2971">
        <v>0.15</v>
      </c>
      <c r="D362" s="2971">
        <v>0.15</v>
      </c>
      <c r="E362" s="2971">
        <v>0.15</v>
      </c>
      <c r="F362" s="2971">
        <v>0.106</v>
      </c>
      <c r="G362" s="2972">
        <v>0.15</v>
      </c>
    </row>
    <row r="363" spans="1:7">
      <c r="A363" s="2981" t="s">
        <v>2846</v>
      </c>
      <c r="B363" s="2970" t="s">
        <v>2884</v>
      </c>
      <c r="C363" s="2971">
        <v>0.15</v>
      </c>
      <c r="D363" s="2971">
        <v>0.15</v>
      </c>
      <c r="E363" s="2971">
        <v>0.15</v>
      </c>
      <c r="F363" s="2971">
        <v>0.14699999999999999</v>
      </c>
      <c r="G363" s="2972">
        <v>0.15</v>
      </c>
    </row>
    <row r="364" spans="1:7">
      <c r="A364" s="2981" t="s">
        <v>2846</v>
      </c>
      <c r="B364" s="2970" t="s">
        <v>2888</v>
      </c>
      <c r="C364" s="2971">
        <v>0.15</v>
      </c>
      <c r="D364" s="2971">
        <v>0.15</v>
      </c>
      <c r="E364" s="2971">
        <v>0.15</v>
      </c>
      <c r="F364" s="2971">
        <v>0.14799999999999999</v>
      </c>
      <c r="G364" s="2972">
        <v>0.15</v>
      </c>
    </row>
    <row r="365" spans="1:7">
      <c r="A365" s="2981" t="s">
        <v>2846</v>
      </c>
      <c r="B365" s="2970" t="s">
        <v>200</v>
      </c>
      <c r="C365" s="2971">
        <v>0.15</v>
      </c>
      <c r="D365" s="2971">
        <v>0.15</v>
      </c>
      <c r="E365" s="2971">
        <v>0.15</v>
      </c>
      <c r="F365" s="2971">
        <v>0.15</v>
      </c>
      <c r="G365" s="2972">
        <v>0.15</v>
      </c>
    </row>
    <row r="366" spans="1:7">
      <c r="A366" s="2981" t="s">
        <v>2846</v>
      </c>
      <c r="B366" s="2970" t="s">
        <v>2891</v>
      </c>
      <c r="C366" s="2971">
        <v>0.15</v>
      </c>
      <c r="D366" s="2971">
        <v>0.15</v>
      </c>
      <c r="E366" s="2971">
        <v>0.15</v>
      </c>
      <c r="F366" s="2971">
        <v>0.15</v>
      </c>
      <c r="G366" s="2972">
        <v>0.15</v>
      </c>
    </row>
    <row r="367" spans="1:7">
      <c r="A367" s="2981" t="s">
        <v>2846</v>
      </c>
      <c r="B367" s="2970" t="s">
        <v>2894</v>
      </c>
      <c r="C367" s="2971">
        <v>0.15</v>
      </c>
      <c r="D367" s="2971">
        <v>0.15</v>
      </c>
      <c r="E367" s="2971">
        <v>0.15</v>
      </c>
      <c r="F367" s="2971">
        <v>0.14699999999999999</v>
      </c>
      <c r="G367" s="2972">
        <v>0.15</v>
      </c>
    </row>
    <row r="368" spans="1:7">
      <c r="A368" s="2981" t="s">
        <v>2846</v>
      </c>
      <c r="B368" s="2970" t="s">
        <v>2899</v>
      </c>
      <c r="C368" s="2971">
        <v>0.15</v>
      </c>
      <c r="D368" s="2971">
        <v>0.15</v>
      </c>
      <c r="E368" s="2971">
        <v>0.15</v>
      </c>
      <c r="F368" s="2971">
        <v>0.13600000000000001</v>
      </c>
      <c r="G368" s="2972">
        <v>0.15</v>
      </c>
    </row>
    <row r="369" spans="1:7">
      <c r="A369" s="2981" t="s">
        <v>2846</v>
      </c>
      <c r="B369" s="2970" t="s">
        <v>214</v>
      </c>
      <c r="C369" s="2971">
        <v>0.15</v>
      </c>
      <c r="D369" s="2971">
        <v>0.15</v>
      </c>
      <c r="E369" s="2971">
        <v>0.15</v>
      </c>
      <c r="F369" s="2971">
        <v>0.14399999999999999</v>
      </c>
      <c r="G369" s="2972">
        <v>0.15</v>
      </c>
    </row>
    <row r="370" spans="1:7">
      <c r="A370" s="2981" t="s">
        <v>2846</v>
      </c>
      <c r="B370" s="2970" t="s">
        <v>221</v>
      </c>
      <c r="C370" s="2971">
        <v>0.15</v>
      </c>
      <c r="D370" s="2971">
        <v>0.15</v>
      </c>
      <c r="E370" s="2971">
        <v>0.15</v>
      </c>
      <c r="F370" s="2971">
        <v>0.14599999999999999</v>
      </c>
      <c r="G370" s="2972">
        <v>0.15</v>
      </c>
    </row>
    <row r="371" spans="1:7">
      <c r="A371" s="2981" t="s">
        <v>2846</v>
      </c>
      <c r="B371" s="2970" t="s">
        <v>229</v>
      </c>
      <c r="C371" s="2971">
        <v>0.15</v>
      </c>
      <c r="D371" s="2971">
        <v>0.15</v>
      </c>
      <c r="E371" s="2971">
        <v>0.15</v>
      </c>
      <c r="F371" s="2971">
        <v>0.12</v>
      </c>
      <c r="G371" s="2972">
        <v>0.15</v>
      </c>
    </row>
    <row r="372" spans="1:7">
      <c r="A372" s="2981" t="s">
        <v>2846</v>
      </c>
      <c r="B372" s="2970" t="s">
        <v>2907</v>
      </c>
      <c r="C372" s="2971">
        <v>0.15</v>
      </c>
      <c r="D372" s="2971">
        <v>0.15</v>
      </c>
      <c r="E372" s="2971">
        <v>0.15</v>
      </c>
      <c r="F372" s="2971">
        <v>0.14299999999999999</v>
      </c>
      <c r="G372" s="2972">
        <v>0.15</v>
      </c>
    </row>
    <row r="373" spans="1:7">
      <c r="A373" s="2981" t="s">
        <v>2846</v>
      </c>
      <c r="B373" s="2970" t="s">
        <v>258</v>
      </c>
      <c r="C373" s="2971">
        <v>0.15</v>
      </c>
      <c r="D373" s="2971">
        <v>0.15</v>
      </c>
      <c r="E373" s="2971">
        <v>0.15</v>
      </c>
      <c r="F373" s="2971">
        <v>0.14599999999999999</v>
      </c>
      <c r="G373" s="2972">
        <v>0.15</v>
      </c>
    </row>
    <row r="374" spans="1:7">
      <c r="A374" s="2981" t="s">
        <v>2846</v>
      </c>
      <c r="B374" s="2970" t="s">
        <v>266</v>
      </c>
      <c r="C374" s="2971">
        <v>0.15</v>
      </c>
      <c r="D374" s="2971">
        <v>0.15</v>
      </c>
      <c r="E374" s="2971">
        <v>0.15</v>
      </c>
      <c r="F374" s="2971">
        <v>0.14399999999999999</v>
      </c>
      <c r="G374" s="2972">
        <v>0.15</v>
      </c>
    </row>
    <row r="375" spans="1:7">
      <c r="A375" s="2981" t="s">
        <v>2846</v>
      </c>
      <c r="B375" s="2970" t="s">
        <v>2915</v>
      </c>
      <c r="C375" s="2971">
        <v>0.15</v>
      </c>
      <c r="D375" s="2971">
        <v>0.15</v>
      </c>
      <c r="E375" s="2971">
        <v>0.15</v>
      </c>
      <c r="F375" s="2971">
        <v>0.13</v>
      </c>
      <c r="G375" s="2972">
        <v>0.15</v>
      </c>
    </row>
    <row r="376" spans="1:7">
      <c r="A376" s="2981" t="s">
        <v>2846</v>
      </c>
      <c r="B376" s="2970" t="s">
        <v>277</v>
      </c>
      <c r="C376" s="2971">
        <v>0.15</v>
      </c>
      <c r="D376" s="2971">
        <v>0.15</v>
      </c>
      <c r="E376" s="2971">
        <v>0.15</v>
      </c>
      <c r="F376" s="2971">
        <v>0.14199999999999999</v>
      </c>
      <c r="G376" s="2972">
        <v>0.15</v>
      </c>
    </row>
    <row r="377" spans="1:7" ht="14.25" thickBot="1">
      <c r="A377" s="2984" t="s">
        <v>2846</v>
      </c>
      <c r="B377" s="2974" t="s">
        <v>2921</v>
      </c>
      <c r="C377" s="2975">
        <v>0.15</v>
      </c>
      <c r="D377" s="2975">
        <v>0.15</v>
      </c>
      <c r="E377" s="2975">
        <v>0.15</v>
      </c>
      <c r="F377" s="2975">
        <v>0.14000000000000001</v>
      </c>
      <c r="G377" s="2977">
        <v>0.15</v>
      </c>
    </row>
    <row r="378" spans="1:7">
      <c r="A378" s="2980" t="s">
        <v>2847</v>
      </c>
      <c r="B378" s="2966" t="s">
        <v>2861</v>
      </c>
      <c r="C378" s="2967">
        <v>0.15</v>
      </c>
      <c r="D378" s="2967">
        <v>0.15</v>
      </c>
      <c r="E378" s="2967">
        <v>0.15</v>
      </c>
      <c r="F378" s="2967">
        <v>0.107</v>
      </c>
      <c r="G378" s="2968">
        <v>0.15</v>
      </c>
    </row>
    <row r="379" spans="1:7">
      <c r="A379" s="2981" t="s">
        <v>2847</v>
      </c>
      <c r="B379" s="2970" t="s">
        <v>2867</v>
      </c>
      <c r="C379" s="2971">
        <v>0.15</v>
      </c>
      <c r="D379" s="2971">
        <v>0.15</v>
      </c>
      <c r="E379" s="2971">
        <v>0.15</v>
      </c>
      <c r="F379" s="2971">
        <v>0.115</v>
      </c>
      <c r="G379" s="2972">
        <v>0.14899999999999999</v>
      </c>
    </row>
    <row r="380" spans="1:7">
      <c r="A380" s="2981" t="s">
        <v>2847</v>
      </c>
      <c r="B380" s="2970" t="s">
        <v>2873</v>
      </c>
      <c r="C380" s="2971">
        <v>0.15</v>
      </c>
      <c r="D380" s="2971">
        <v>0.15</v>
      </c>
      <c r="E380" s="2971">
        <v>0.15</v>
      </c>
      <c r="F380" s="2971">
        <v>0.1</v>
      </c>
      <c r="G380" s="2972">
        <v>0.14799999999999999</v>
      </c>
    </row>
    <row r="381" spans="1:7">
      <c r="A381" s="2981" t="s">
        <v>2847</v>
      </c>
      <c r="B381" s="2970" t="s">
        <v>2876</v>
      </c>
      <c r="C381" s="2971">
        <v>0.15</v>
      </c>
      <c r="D381" s="2971">
        <v>0.15</v>
      </c>
      <c r="E381" s="2971">
        <v>0.15</v>
      </c>
      <c r="F381" s="2971">
        <v>0.126</v>
      </c>
      <c r="G381" s="2972">
        <v>0.15</v>
      </c>
    </row>
    <row r="382" spans="1:7">
      <c r="A382" s="2981" t="s">
        <v>2847</v>
      </c>
      <c r="B382" s="2970" t="s">
        <v>2880</v>
      </c>
      <c r="C382" s="2971">
        <v>0.15</v>
      </c>
      <c r="D382" s="2971">
        <v>0.15</v>
      </c>
      <c r="E382" s="2971">
        <v>0.15</v>
      </c>
      <c r="F382" s="2971">
        <v>0.15</v>
      </c>
      <c r="G382" s="2972">
        <v>0.15</v>
      </c>
    </row>
    <row r="383" spans="1:7">
      <c r="A383" s="2981" t="s">
        <v>2847</v>
      </c>
      <c r="B383" s="2970" t="s">
        <v>2885</v>
      </c>
      <c r="C383" s="2971">
        <v>0.15</v>
      </c>
      <c r="D383" s="2971">
        <v>0.15</v>
      </c>
      <c r="E383" s="2971">
        <v>0.15</v>
      </c>
      <c r="F383" s="2971">
        <v>0.14699999999999999</v>
      </c>
      <c r="G383" s="2972">
        <v>0.15</v>
      </c>
    </row>
    <row r="384" spans="1:7" ht="14.25" thickBot="1">
      <c r="A384" s="2991" t="s">
        <v>2847</v>
      </c>
      <c r="B384" s="2992" t="s">
        <v>2889</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06"/>
  </cols>
  <sheetData>
    <row r="1" spans="1:6" ht="14.25">
      <c r="A1" s="3486" t="s">
        <v>3228</v>
      </c>
      <c r="B1" s="3486"/>
      <c r="C1" s="3486"/>
      <c r="D1" s="3486"/>
      <c r="E1" s="3486"/>
      <c r="F1" s="3487"/>
    </row>
    <row r="2" spans="1:6" ht="14.25">
      <c r="A2" s="2995" t="s">
        <v>3229</v>
      </c>
    </row>
    <row r="3" spans="1:6" ht="14.25">
      <c r="A3" s="2995" t="s">
        <v>3230</v>
      </c>
      <c r="F3" s="2996" t="s">
        <v>3231</v>
      </c>
    </row>
    <row r="4" spans="1:6">
      <c r="A4" s="2997" t="s">
        <v>672</v>
      </c>
      <c r="B4" s="2997" t="s">
        <v>673</v>
      </c>
      <c r="C4" s="2997" t="s">
        <v>21</v>
      </c>
      <c r="D4" s="2997" t="s">
        <v>674</v>
      </c>
      <c r="E4" s="2997" t="s">
        <v>3</v>
      </c>
      <c r="F4" s="2997" t="s">
        <v>3232</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79"/>
  <sheetViews>
    <sheetView zoomScale="90" zoomScaleNormal="90" workbookViewId="0">
      <selection activeCell="G73" sqref="G73"/>
    </sheetView>
  </sheetViews>
  <sheetFormatPr defaultRowHeight="13.5"/>
  <cols>
    <col min="1" max="1" width="13.875" customWidth="1"/>
    <col min="11" max="17" width="0" hidden="1" customWidth="1"/>
    <col min="25" max="30" width="0" hidden="1" customWidth="1"/>
  </cols>
  <sheetData>
    <row r="1" spans="1:44">
      <c r="A1" s="2930">
        <f>'基准地价修正-商业'!G23</f>
        <v>45940</v>
      </c>
      <c r="B1" s="2922" t="s">
        <v>3373</v>
      </c>
      <c r="C1" s="2923"/>
      <c r="D1" s="2923"/>
      <c r="E1" s="2923"/>
      <c r="F1" s="2923"/>
      <c r="G1" s="2923"/>
      <c r="H1" s="2923"/>
      <c r="I1" s="2923"/>
      <c r="J1" s="2889"/>
      <c r="K1" s="2923" t="s">
        <v>454</v>
      </c>
      <c r="L1" s="2923"/>
      <c r="M1" s="2923"/>
      <c r="N1" s="2923"/>
      <c r="O1" s="2923"/>
      <c r="P1" s="2923"/>
      <c r="Q1" s="2889"/>
      <c r="R1" s="3488" t="s">
        <v>456</v>
      </c>
      <c r="S1" s="3489"/>
      <c r="T1" s="3489"/>
      <c r="U1" s="3489"/>
      <c r="V1" s="3489"/>
      <c r="W1" s="3489"/>
      <c r="X1" s="2889"/>
      <c r="Y1" s="3488" t="s">
        <v>457</v>
      </c>
      <c r="Z1" s="3489"/>
      <c r="AA1" s="3489"/>
      <c r="AB1" s="3489"/>
      <c r="AC1" s="3489"/>
      <c r="AD1" s="3489"/>
    </row>
    <row r="2" spans="1:44" s="2004" customFormat="1" ht="14.25" thickBot="1">
      <c r="B2" s="2874"/>
      <c r="C2" s="2875"/>
      <c r="D2" s="2005" t="s">
        <v>2806</v>
      </c>
      <c r="E2" s="2006" t="s">
        <v>2807</v>
      </c>
      <c r="F2" s="2006" t="s">
        <v>2808</v>
      </c>
      <c r="G2" s="2006" t="s">
        <v>2809</v>
      </c>
      <c r="H2" s="2006" t="s">
        <v>2810</v>
      </c>
      <c r="I2" s="2006" t="s">
        <v>2627</v>
      </c>
      <c r="J2" s="2876"/>
      <c r="K2" s="2005" t="s">
        <v>2806</v>
      </c>
      <c r="L2" s="2006" t="s">
        <v>2807</v>
      </c>
      <c r="M2" s="2006" t="s">
        <v>2808</v>
      </c>
      <c r="N2" s="2006" t="s">
        <v>2809</v>
      </c>
      <c r="O2" s="2006" t="s">
        <v>2811</v>
      </c>
      <c r="P2" s="2006" t="s">
        <v>2627</v>
      </c>
      <c r="Q2" s="2876"/>
      <c r="R2" s="2005" t="s">
        <v>2806</v>
      </c>
      <c r="S2" s="2006" t="s">
        <v>2807</v>
      </c>
      <c r="T2" s="2006" t="s">
        <v>2808</v>
      </c>
      <c r="U2" s="2006" t="s">
        <v>2812</v>
      </c>
      <c r="V2" s="2006" t="s">
        <v>2813</v>
      </c>
      <c r="W2" s="2006" t="s">
        <v>2627</v>
      </c>
      <c r="X2" s="2876"/>
      <c r="Y2" s="2005" t="s">
        <v>2806</v>
      </c>
      <c r="Z2" s="2006" t="s">
        <v>2807</v>
      </c>
      <c r="AA2" s="2006" t="s">
        <v>2808</v>
      </c>
      <c r="AB2" s="2006" t="s">
        <v>2814</v>
      </c>
      <c r="AC2" s="2006" t="s">
        <v>2813</v>
      </c>
      <c r="AD2" s="2006" t="s">
        <v>2627</v>
      </c>
      <c r="AF2" t="s">
        <v>3400</v>
      </c>
      <c r="AG2" t="s">
        <v>673</v>
      </c>
      <c r="AH2" t="s">
        <v>21</v>
      </c>
      <c r="AI2" t="s">
        <v>3401</v>
      </c>
      <c r="AJ2" t="s">
        <v>3</v>
      </c>
      <c r="AK2" t="s">
        <v>3402</v>
      </c>
      <c r="AM2" t="s">
        <v>3400</v>
      </c>
      <c r="AN2" t="s">
        <v>673</v>
      </c>
      <c r="AO2" t="s">
        <v>21</v>
      </c>
      <c r="AP2" t="s">
        <v>3401</v>
      </c>
      <c r="AQ2" t="s">
        <v>3</v>
      </c>
      <c r="AR2" t="s">
        <v>3402</v>
      </c>
    </row>
    <row r="3" spans="1:44" s="2879" customFormat="1" ht="12.75">
      <c r="A3" s="2877" t="s">
        <v>2815</v>
      </c>
      <c r="B3" s="2878"/>
      <c r="D3" s="2879">
        <f>ROUND(AVERAGEIF(D4:D24,"&lt;&gt;0"),2)</f>
        <v>0.37</v>
      </c>
      <c r="E3" s="2879">
        <f t="shared" ref="E3:H3" si="0">ROUND(AVERAGEIF(E4:E24,"&lt;&gt;0"),2)</f>
        <v>0.16</v>
      </c>
      <c r="F3" s="2879">
        <f t="shared" si="0"/>
        <v>-0.12</v>
      </c>
      <c r="G3" s="2879">
        <f t="shared" si="0"/>
        <v>0.44</v>
      </c>
      <c r="H3" s="2879">
        <f t="shared" si="0"/>
        <v>0.5</v>
      </c>
      <c r="I3" s="2879">
        <f>F3</f>
        <v>-0.12</v>
      </c>
      <c r="J3" s="2880"/>
      <c r="K3" s="2881">
        <f>ROUND(AVERAGEIF(K4:K24,"&lt;&gt;0"),4)</f>
        <v>3.7000000000000002E-3</v>
      </c>
      <c r="L3" s="2882">
        <f t="shared" ref="L3:O3" si="1">ROUND(AVERAGEIF(L4:L24,"&lt;&gt;0"),4)</f>
        <v>1.6000000000000001E-3</v>
      </c>
      <c r="M3" s="2882">
        <f t="shared" si="1"/>
        <v>-1.1999999999999999E-3</v>
      </c>
      <c r="N3" s="2882">
        <f t="shared" si="1"/>
        <v>4.4000000000000003E-3</v>
      </c>
      <c r="O3" s="2882">
        <f t="shared" si="1"/>
        <v>5.0000000000000001E-3</v>
      </c>
      <c r="P3" s="2882">
        <f>M3</f>
        <v>-1.1999999999999999E-3</v>
      </c>
      <c r="Q3" s="2880"/>
      <c r="R3" s="2883">
        <f>ROUND(SUMPRODUCT(PRODUCT(1+K4:K24)),4)</f>
        <v>1.0680000000000001</v>
      </c>
      <c r="S3" s="2884">
        <f t="shared" ref="S3:V3" si="2">ROUND(SUMPRODUCT(PRODUCT(1+L4:L24)),4)</f>
        <v>1.0290999999999999</v>
      </c>
      <c r="T3" s="2884">
        <f t="shared" si="2"/>
        <v>0.97850000000000004</v>
      </c>
      <c r="U3" s="2884">
        <f t="shared" si="2"/>
        <v>1.0807</v>
      </c>
      <c r="V3" s="2884">
        <f t="shared" si="2"/>
        <v>1.093</v>
      </c>
      <c r="W3" s="2883">
        <f>T3</f>
        <v>0.97850000000000004</v>
      </c>
      <c r="X3" s="2880"/>
      <c r="Y3" s="2885">
        <f>ROUND(AVERAGEIF(Y11:Y24,"&lt;&gt;0"),4)</f>
        <v>8.3999999999999995E-3</v>
      </c>
      <c r="Z3" s="2886">
        <f t="shared" ref="Z3:AC3" si="3">ROUND(AVERAGEIF(Z11:Z24,"&lt;&gt;0"),4)</f>
        <v>3.5000000000000001E-3</v>
      </c>
      <c r="AA3" s="2887">
        <f t="shared" si="3"/>
        <v>8.0000000000000004E-4</v>
      </c>
      <c r="AB3" s="2885">
        <f t="shared" si="3"/>
        <v>9.1000000000000004E-3</v>
      </c>
      <c r="AC3" s="2888">
        <f t="shared" si="3"/>
        <v>6.1000000000000004E-3</v>
      </c>
      <c r="AD3" s="2885">
        <f>AA3</f>
        <v>8.0000000000000004E-4</v>
      </c>
    </row>
    <row r="4" spans="1:44" s="2003" customFormat="1" ht="12.75">
      <c r="B4" s="2019"/>
      <c r="J4" s="2889"/>
      <c r="K4" s="2890"/>
      <c r="L4" s="2891"/>
      <c r="M4" s="2891"/>
      <c r="N4" s="2891"/>
      <c r="O4" s="2891"/>
      <c r="P4" s="2891"/>
      <c r="Q4" s="2889"/>
      <c r="R4" s="2021"/>
      <c r="S4" s="2892"/>
      <c r="T4" s="2893"/>
      <c r="U4" s="2021"/>
      <c r="V4" s="2894"/>
      <c r="W4" s="2021"/>
      <c r="X4" s="2889"/>
      <c r="Y4" s="2022"/>
      <c r="Z4" s="2895"/>
      <c r="AA4" s="2896"/>
      <c r="AB4" s="2022"/>
      <c r="AC4" s="2897"/>
      <c r="AD4" s="2022"/>
    </row>
    <row r="5" spans="1:44" s="2039" customFormat="1">
      <c r="A5" s="2034" t="s">
        <v>3399</v>
      </c>
      <c r="B5" s="2025">
        <v>2025</v>
      </c>
      <c r="C5" s="2036">
        <v>4</v>
      </c>
      <c r="D5" s="2001">
        <v>0</v>
      </c>
      <c r="E5" s="2001">
        <v>0</v>
      </c>
      <c r="F5" s="2001">
        <v>0</v>
      </c>
      <c r="G5" s="2001">
        <v>0</v>
      </c>
      <c r="H5" s="2001">
        <v>0</v>
      </c>
      <c r="I5" s="2002">
        <f t="shared" ref="I5" si="4">F5</f>
        <v>0</v>
      </c>
      <c r="J5" s="2899"/>
      <c r="K5" s="2037">
        <f t="shared" ref="K5" si="5">D5/100</f>
        <v>0</v>
      </c>
      <c r="L5" s="2022">
        <f t="shared" ref="L5" si="6">E5/100</f>
        <v>0</v>
      </c>
      <c r="M5" s="2022">
        <f t="shared" ref="M5" si="7">F5/100</f>
        <v>0</v>
      </c>
      <c r="N5" s="2022">
        <f t="shared" ref="N5" si="8">G5/100</f>
        <v>0</v>
      </c>
      <c r="O5" s="2022">
        <f t="shared" ref="O5" si="9">H5/100</f>
        <v>0</v>
      </c>
      <c r="P5" s="2022">
        <f t="shared" ref="P5:P11" si="10">M5</f>
        <v>0</v>
      </c>
      <c r="Q5" s="2899"/>
      <c r="R5" s="2021">
        <f>ROUND(IF(项目基本情况!$B$8="出让",SUMPRODUCT(PRODUCT(1+K5:$K$24)),SUMPRODUCT(PRODUCT(1+K5:$K$23))),4)</f>
        <v>1.0577000000000001</v>
      </c>
      <c r="S5" s="2021">
        <f>ROUND(IF(项目基本情况!$B$8="出让",SUMPRODUCT(PRODUCT(1+L5:$L$24)),SUMPRODUCT(PRODUCT(1+L5:$L$23))),4)</f>
        <v>1.0275000000000001</v>
      </c>
      <c r="T5" s="2021">
        <f>ROUND(IF(项目基本情况!$B$8="出让",SUMPRODUCT(PRODUCT(1+M5:$M$24)),SUMPRODUCT(PRODUCT(1+M5:$M$23))),4)</f>
        <v>0.98089999999999999</v>
      </c>
      <c r="U5" s="2021">
        <f>ROUND(IF(项目基本情况!$B$8="出让",SUMPRODUCT(PRODUCT(1+N5:$N$24)),SUMPRODUCT(PRODUCT(1+N5:$N$23))),4)</f>
        <v>1.0689</v>
      </c>
      <c r="V5" s="2021">
        <f>ROUND(IF(项目基本情况!$B$8="出让",SUMPRODUCT(PRODUCT(1+O5:$O$24)),SUMPRODUCT(PRODUCT(1+O5:$O$23))),4)</f>
        <v>1.0891</v>
      </c>
      <c r="W5" s="2021">
        <f t="shared" ref="W5:W11" si="11">T5</f>
        <v>0.98089999999999999</v>
      </c>
      <c r="X5" s="2899"/>
      <c r="Y5" s="2022">
        <f t="shared" ref="Y5:Y11" si="12">IF(D5=0,0,ROUND(AVERAGE(D5:D18)/100,4))</f>
        <v>0</v>
      </c>
      <c r="Z5" s="2022">
        <f t="shared" ref="Z5" si="13">IF(E5=0,0,ROUND(AVERAGE(E5:E18)/100,4))</f>
        <v>0</v>
      </c>
      <c r="AA5" s="2022">
        <f t="shared" ref="AA5" si="14">IF(F5=0,0,ROUND(AVERAGE(F5:F18)/100,4))</f>
        <v>0</v>
      </c>
      <c r="AB5" s="2022">
        <f t="shared" ref="AB5" si="15">IF(G5=0,0,ROUND(AVERAGE(G5:G18)/100,4))</f>
        <v>0</v>
      </c>
      <c r="AC5" s="2022">
        <f t="shared" ref="AC5" si="16">IF(H5=0,0,ROUND(AVERAGE(H5:H18)/100,4))</f>
        <v>0</v>
      </c>
      <c r="AD5" s="2022">
        <f t="shared" ref="AD5" si="17">AA5</f>
        <v>0</v>
      </c>
      <c r="AF5" s="3144">
        <f>$AF$24*R5</f>
        <v>105.77000000000001</v>
      </c>
      <c r="AG5" s="3144">
        <f t="shared" ref="AG5:AK5" si="18">$AF$24*S5</f>
        <v>102.75000000000001</v>
      </c>
      <c r="AH5" s="3144">
        <f t="shared" si="18"/>
        <v>98.09</v>
      </c>
      <c r="AI5" s="3144">
        <f t="shared" si="18"/>
        <v>106.89</v>
      </c>
      <c r="AJ5" s="3144">
        <f t="shared" si="18"/>
        <v>108.91</v>
      </c>
      <c r="AK5" s="3144">
        <f t="shared" si="18"/>
        <v>98.09</v>
      </c>
      <c r="AM5" s="3150">
        <v>100</v>
      </c>
      <c r="AN5" s="3150">
        <v>100</v>
      </c>
      <c r="AO5" s="3150">
        <v>100</v>
      </c>
      <c r="AP5" s="3150">
        <v>100</v>
      </c>
      <c r="AQ5" s="3150">
        <v>100</v>
      </c>
      <c r="AR5" s="3150">
        <v>100</v>
      </c>
    </row>
    <row r="6" spans="1:44" s="2039" customFormat="1" ht="12.75">
      <c r="A6" s="2034" t="s">
        <v>3398</v>
      </c>
      <c r="B6" s="2025">
        <v>2025</v>
      </c>
      <c r="C6" s="2036">
        <v>3</v>
      </c>
      <c r="D6" s="2001">
        <v>0</v>
      </c>
      <c r="E6" s="2001">
        <v>0</v>
      </c>
      <c r="F6" s="2001">
        <v>0</v>
      </c>
      <c r="G6" s="2001">
        <v>0</v>
      </c>
      <c r="H6" s="2001">
        <v>0</v>
      </c>
      <c r="I6" s="2002">
        <f t="shared" ref="I6" si="19">F6</f>
        <v>0</v>
      </c>
      <c r="J6" s="2899"/>
      <c r="K6" s="2037">
        <f t="shared" ref="K6" si="20">D6/100</f>
        <v>0</v>
      </c>
      <c r="L6" s="2022">
        <f t="shared" ref="L6" si="21">E6/100</f>
        <v>0</v>
      </c>
      <c r="M6" s="2022">
        <f t="shared" ref="M6" si="22">F6/100</f>
        <v>0</v>
      </c>
      <c r="N6" s="2022">
        <f t="shared" ref="N6" si="23">G6/100</f>
        <v>0</v>
      </c>
      <c r="O6" s="2022">
        <f t="shared" ref="O6" si="24">H6/100</f>
        <v>0</v>
      </c>
      <c r="P6" s="2022">
        <f t="shared" si="10"/>
        <v>0</v>
      </c>
      <c r="Q6" s="2899"/>
      <c r="R6" s="2021">
        <f>ROUND(IF(项目基本情况!$B$8="出让",SUMPRODUCT(PRODUCT(1+K6:$K$24)),SUMPRODUCT(PRODUCT(1+K6:$K$23))),4)</f>
        <v>1.0577000000000001</v>
      </c>
      <c r="S6" s="2021">
        <f>ROUND(IF(项目基本情况!$B$8="出让",SUMPRODUCT(PRODUCT(1+L6:$L$24)),SUMPRODUCT(PRODUCT(1+L6:$L$23))),4)</f>
        <v>1.0275000000000001</v>
      </c>
      <c r="T6" s="2021">
        <f>ROUND(IF(项目基本情况!$B$8="出让",SUMPRODUCT(PRODUCT(1+M6:$M$24)),SUMPRODUCT(PRODUCT(1+M6:$M$23))),4)</f>
        <v>0.98089999999999999</v>
      </c>
      <c r="U6" s="2021">
        <f>ROUND(IF(项目基本情况!$B$8="出让",SUMPRODUCT(PRODUCT(1+N6:$N$24)),SUMPRODUCT(PRODUCT(1+N6:$N$23))),4)</f>
        <v>1.0689</v>
      </c>
      <c r="V6" s="2021">
        <f>ROUND(IF(项目基本情况!$B$8="出让",SUMPRODUCT(PRODUCT(1+O6:$O$24)),SUMPRODUCT(PRODUCT(1+O6:$O$23))),4)</f>
        <v>1.0891</v>
      </c>
      <c r="W6" s="2021">
        <f t="shared" si="11"/>
        <v>0.98089999999999999</v>
      </c>
      <c r="X6" s="2899"/>
      <c r="Y6" s="2022">
        <f t="shared" si="12"/>
        <v>0</v>
      </c>
      <c r="Z6" s="2022">
        <f t="shared" ref="Z6" si="25">IF(E6=0,0,ROUND(AVERAGE(E6:E19)/100,4))</f>
        <v>0</v>
      </c>
      <c r="AA6" s="2022">
        <f t="shared" ref="AA6" si="26">IF(F6=0,0,ROUND(AVERAGE(F6:F19)/100,4))</f>
        <v>0</v>
      </c>
      <c r="AB6" s="2022">
        <f t="shared" ref="AB6" si="27">IF(G6=0,0,ROUND(AVERAGE(G6:G19)/100,4))</f>
        <v>0</v>
      </c>
      <c r="AC6" s="2022">
        <f t="shared" ref="AC6" si="28">IF(H6=0,0,ROUND(AVERAGE(H6:H19)/100,4))</f>
        <v>0</v>
      </c>
      <c r="AD6" s="2022">
        <f t="shared" ref="AD6" si="29">AA6</f>
        <v>0</v>
      </c>
      <c r="AF6" s="3144">
        <f t="shared" ref="AF6:AF23" si="30">$AF$24*R6</f>
        <v>105.77000000000001</v>
      </c>
      <c r="AG6" s="3144">
        <f t="shared" ref="AG6:AG23" si="31">$AF$24*S6</f>
        <v>102.75000000000001</v>
      </c>
      <c r="AH6" s="3144">
        <f t="shared" ref="AH6:AH23" si="32">$AF$24*T6</f>
        <v>98.09</v>
      </c>
      <c r="AI6" s="3144">
        <f t="shared" ref="AI6:AI23" si="33">$AF$24*U6</f>
        <v>106.89</v>
      </c>
      <c r="AJ6" s="3144">
        <f t="shared" ref="AJ6:AJ23" si="34">$AF$24*V6</f>
        <v>108.91</v>
      </c>
      <c r="AK6" s="3144">
        <f t="shared" ref="AK6:AK23" si="35">$AF$24*W6</f>
        <v>98.09</v>
      </c>
      <c r="AM6" s="3144">
        <f>AM5/(1+D5/100)</f>
        <v>100</v>
      </c>
      <c r="AN6" s="3144">
        <f t="shared" ref="AN6:AR6" si="36">AN5/(1+E5/100)</f>
        <v>100</v>
      </c>
      <c r="AO6" s="3144">
        <f t="shared" si="36"/>
        <v>100</v>
      </c>
      <c r="AP6" s="3144">
        <f t="shared" si="36"/>
        <v>100</v>
      </c>
      <c r="AQ6" s="3144">
        <f t="shared" si="36"/>
        <v>100</v>
      </c>
      <c r="AR6" s="3144">
        <f t="shared" si="36"/>
        <v>100</v>
      </c>
    </row>
    <row r="7" spans="1:44" s="2909" customFormat="1" ht="12.75">
      <c r="A7" s="2900" t="s">
        <v>3397</v>
      </c>
      <c r="B7" s="2901">
        <v>2025</v>
      </c>
      <c r="C7" s="2902">
        <v>2</v>
      </c>
      <c r="D7" s="2903">
        <v>0.05</v>
      </c>
      <c r="E7" s="2903">
        <v>-0.62</v>
      </c>
      <c r="F7" s="2903">
        <v>-1.05</v>
      </c>
      <c r="G7" s="2903">
        <v>0.09</v>
      </c>
      <c r="H7" s="2904">
        <v>0.17</v>
      </c>
      <c r="I7" s="2905">
        <f t="shared" ref="I7" si="37">F7</f>
        <v>-1.05</v>
      </c>
      <c r="J7" s="2906"/>
      <c r="K7" s="2907">
        <f t="shared" ref="K7" si="38">D7/100</f>
        <v>5.0000000000000001E-4</v>
      </c>
      <c r="L7" s="2908">
        <f t="shared" ref="L7" si="39">E7/100</f>
        <v>-6.1999999999999998E-3</v>
      </c>
      <c r="M7" s="2908">
        <f t="shared" ref="M7" si="40">F7/100</f>
        <v>-1.0500000000000001E-2</v>
      </c>
      <c r="N7" s="2908">
        <f t="shared" ref="N7" si="41">G7/100</f>
        <v>8.9999999999999998E-4</v>
      </c>
      <c r="O7" s="2908">
        <f t="shared" ref="O7" si="42">H7/100</f>
        <v>1.7000000000000001E-3</v>
      </c>
      <c r="P7" s="2908">
        <f t="shared" si="10"/>
        <v>-1.0500000000000001E-2</v>
      </c>
      <c r="Q7" s="2906"/>
      <c r="R7" s="2906">
        <f>ROUND(IF(项目基本情况!$B$8="出让",SUMPRODUCT(PRODUCT(1+K7:$K$24)),SUMPRODUCT(PRODUCT(1+K7:$K$23))),4)</f>
        <v>1.0577000000000001</v>
      </c>
      <c r="S7" s="2906">
        <f>ROUND(IF(项目基本情况!$B$8="出让",SUMPRODUCT(PRODUCT(1+L7:$L$24)),SUMPRODUCT(PRODUCT(1+L7:$L$23))),4)</f>
        <v>1.0275000000000001</v>
      </c>
      <c r="T7" s="2906">
        <f>ROUND(IF(项目基本情况!$B$8="出让",SUMPRODUCT(PRODUCT(1+M7:$M$24)),SUMPRODUCT(PRODUCT(1+M7:$M$23))),4)</f>
        <v>0.98089999999999999</v>
      </c>
      <c r="U7" s="2906">
        <f>ROUND(IF(项目基本情况!$B$8="出让",SUMPRODUCT(PRODUCT(1+N7:$N$24)),SUMPRODUCT(PRODUCT(1+N7:$N$23))),4)</f>
        <v>1.0689</v>
      </c>
      <c r="V7" s="2906">
        <f>ROUND(IF(项目基本情况!$B$8="出让",SUMPRODUCT(PRODUCT(1+O7:$O$24)),SUMPRODUCT(PRODUCT(1+O7:$O$23))),4)</f>
        <v>1.0891</v>
      </c>
      <c r="W7" s="2906">
        <f t="shared" si="11"/>
        <v>0.98089999999999999</v>
      </c>
      <c r="X7" s="2906"/>
      <c r="Y7" s="2908">
        <f t="shared" si="12"/>
        <v>2.3E-3</v>
      </c>
      <c r="Z7" s="2908">
        <f t="shared" ref="Z7" si="43">IF(E7=0,0,ROUND(AVERAGE(E7:E20)/100,4))</f>
        <v>1E-3</v>
      </c>
      <c r="AA7" s="2908">
        <f t="shared" ref="AA7" si="44">IF(F7=0,0,ROUND(AVERAGE(F7:F20)/100,4))</f>
        <v>-1.9E-3</v>
      </c>
      <c r="AB7" s="2908">
        <f t="shared" ref="AB7" si="45">IF(G7=0,0,ROUND(AVERAGE(G7:G20)/100,4))</f>
        <v>2.8999999999999998E-3</v>
      </c>
      <c r="AC7" s="2908">
        <f t="shared" ref="AC7" si="46">IF(H7=0,0,ROUND(AVERAGE(H7:H20)/100,4))</f>
        <v>4.7000000000000002E-3</v>
      </c>
      <c r="AD7" s="2908">
        <f t="shared" ref="AD7" si="47">AA7</f>
        <v>-1.9E-3</v>
      </c>
      <c r="AF7" s="3145">
        <f t="shared" si="30"/>
        <v>105.77000000000001</v>
      </c>
      <c r="AG7" s="3145">
        <f t="shared" si="31"/>
        <v>102.75000000000001</v>
      </c>
      <c r="AH7" s="3145">
        <f t="shared" si="32"/>
        <v>98.09</v>
      </c>
      <c r="AI7" s="3145">
        <f t="shared" si="33"/>
        <v>106.89</v>
      </c>
      <c r="AJ7" s="3145">
        <f t="shared" si="34"/>
        <v>108.91</v>
      </c>
      <c r="AK7" s="3145">
        <f t="shared" si="35"/>
        <v>98.09</v>
      </c>
      <c r="AM7" s="3145">
        <f t="shared" ref="AM7:AM24" si="48">AM6/(1+D6/100)</f>
        <v>100</v>
      </c>
      <c r="AN7" s="3145">
        <f t="shared" ref="AN7:AN24" si="49">AN6/(1+E6/100)</f>
        <v>100</v>
      </c>
      <c r="AO7" s="3145">
        <f t="shared" ref="AO7:AO24" si="50">AO6/(1+F6/100)</f>
        <v>100</v>
      </c>
      <c r="AP7" s="3145">
        <f t="shared" ref="AP7:AP24" si="51">AP6/(1+G6/100)</f>
        <v>100</v>
      </c>
      <c r="AQ7" s="3145">
        <f t="shared" ref="AQ7:AQ24" si="52">AQ6/(1+H6/100)</f>
        <v>100</v>
      </c>
      <c r="AR7" s="3145">
        <f t="shared" ref="AR7:AR24" si="53">AR6/(1+I6/100)</f>
        <v>100</v>
      </c>
    </row>
    <row r="8" spans="1:44" s="2039" customFormat="1" ht="12.75">
      <c r="A8" s="2034" t="s">
        <v>3405</v>
      </c>
      <c r="B8" s="2025">
        <v>2025</v>
      </c>
      <c r="C8" s="2036">
        <v>1</v>
      </c>
      <c r="D8" s="2001">
        <v>0.56999999999999995</v>
      </c>
      <c r="E8" s="2001">
        <v>-0.56999999999999995</v>
      </c>
      <c r="F8" s="2001">
        <v>-0.9</v>
      </c>
      <c r="G8" s="2001">
        <v>1.1200000000000001</v>
      </c>
      <c r="H8" s="2001">
        <v>0.42</v>
      </c>
      <c r="I8" s="2002">
        <f t="shared" ref="I8" si="54">F8</f>
        <v>-0.9</v>
      </c>
      <c r="J8" s="2899"/>
      <c r="K8" s="2037">
        <f t="shared" ref="K8" si="55">D8/100</f>
        <v>5.6999999999999993E-3</v>
      </c>
      <c r="L8" s="2022">
        <f t="shared" ref="L8" si="56">E8/100</f>
        <v>-5.6999999999999993E-3</v>
      </c>
      <c r="M8" s="2022">
        <f t="shared" ref="M8" si="57">F8/100</f>
        <v>-9.0000000000000011E-3</v>
      </c>
      <c r="N8" s="2022">
        <f t="shared" ref="N8" si="58">G8/100</f>
        <v>1.1200000000000002E-2</v>
      </c>
      <c r="O8" s="2022">
        <f t="shared" ref="O8" si="59">H8/100</f>
        <v>4.1999999999999997E-3</v>
      </c>
      <c r="P8" s="2022">
        <f t="shared" si="10"/>
        <v>-9.0000000000000011E-3</v>
      </c>
      <c r="Q8" s="2899"/>
      <c r="R8" s="2021">
        <f>ROUND(IF(项目基本情况!$B$8="出让",SUMPRODUCT(PRODUCT(1+K8:$K$24)),SUMPRODUCT(PRODUCT(1+K8:$K$23))),4)</f>
        <v>1.0571999999999999</v>
      </c>
      <c r="S8" s="2021">
        <f>ROUND(IF(项目基本情况!$B$8="出让",SUMPRODUCT(PRODUCT(1+L8:$L$24)),SUMPRODUCT(PRODUCT(1+L8:$L$23))),4)</f>
        <v>1.0339</v>
      </c>
      <c r="T8" s="2021">
        <f>ROUND(IF(项目基本情况!$B$8="出让",SUMPRODUCT(PRODUCT(1+M8:$M$24)),SUMPRODUCT(PRODUCT(1+M8:$M$23))),4)</f>
        <v>0.99129999999999996</v>
      </c>
      <c r="U8" s="2021">
        <f>ROUND(IF(项目基本情况!$B$8="出让",SUMPRODUCT(PRODUCT(1+N8:$N$24)),SUMPRODUCT(PRODUCT(1+N8:$N$23))),4)</f>
        <v>1.0679000000000001</v>
      </c>
      <c r="V8" s="2021">
        <f>ROUND(IF(项目基本情况!$B$8="出让",SUMPRODUCT(PRODUCT(1+O8:$O$24)),SUMPRODUCT(PRODUCT(1+O8:$O$23))),4)</f>
        <v>1.0871999999999999</v>
      </c>
      <c r="W8" s="2021">
        <f t="shared" si="11"/>
        <v>0.99129999999999996</v>
      </c>
      <c r="X8" s="2899"/>
      <c r="Y8" s="2022">
        <f t="shared" si="12"/>
        <v>3.0000000000000001E-3</v>
      </c>
      <c r="Z8" s="2022">
        <f t="shared" ref="Z8" si="60">IF(E8=0,0,ROUND(AVERAGE(E8:E21)/100,4))</f>
        <v>1.6000000000000001E-3</v>
      </c>
      <c r="AA8" s="2022">
        <f t="shared" ref="AA8" si="61">IF(F8=0,0,ROUND(AVERAGE(F8:F21)/100,4))</f>
        <v>-1.1000000000000001E-3</v>
      </c>
      <c r="AB8" s="2022">
        <f t="shared" ref="AB8" si="62">IF(G8=0,0,ROUND(AVERAGE(G8:G21)/100,4))</f>
        <v>3.7000000000000002E-3</v>
      </c>
      <c r="AC8" s="2022">
        <f t="shared" ref="AC8" si="63">IF(H8=0,0,ROUND(AVERAGE(H8:H21)/100,4))</f>
        <v>4.8999999999999998E-3</v>
      </c>
      <c r="AD8" s="2022">
        <f t="shared" ref="AD8" si="64">AA8</f>
        <v>-1.1000000000000001E-3</v>
      </c>
      <c r="AF8" s="3144">
        <f t="shared" si="30"/>
        <v>105.72</v>
      </c>
      <c r="AG8" s="3144">
        <f t="shared" si="31"/>
        <v>103.39</v>
      </c>
      <c r="AH8" s="3144">
        <f t="shared" si="32"/>
        <v>99.13</v>
      </c>
      <c r="AI8" s="3144">
        <f t="shared" si="33"/>
        <v>106.79</v>
      </c>
      <c r="AJ8" s="3144">
        <f t="shared" si="34"/>
        <v>108.72</v>
      </c>
      <c r="AK8" s="3144">
        <f t="shared" si="35"/>
        <v>99.13</v>
      </c>
      <c r="AM8" s="3144">
        <f t="shared" si="48"/>
        <v>99.950024987506254</v>
      </c>
      <c r="AN8" s="3144">
        <f t="shared" si="49"/>
        <v>100.6238679814852</v>
      </c>
      <c r="AO8" s="3144">
        <f t="shared" si="50"/>
        <v>101.06114199090449</v>
      </c>
      <c r="AP8" s="3144">
        <f t="shared" si="51"/>
        <v>99.910080927165566</v>
      </c>
      <c r="AQ8" s="3144">
        <f t="shared" si="52"/>
        <v>99.830288509533787</v>
      </c>
      <c r="AR8" s="3144">
        <f t="shared" si="53"/>
        <v>101.06114199090449</v>
      </c>
    </row>
    <row r="9" spans="1:44" s="2039" customFormat="1" ht="12.75">
      <c r="A9" s="2034" t="s">
        <v>3404</v>
      </c>
      <c r="B9" s="2025">
        <v>2024</v>
      </c>
      <c r="C9" s="2036">
        <v>4</v>
      </c>
      <c r="D9" s="2001">
        <v>-1.02</v>
      </c>
      <c r="E9" s="2001">
        <v>-0.48</v>
      </c>
      <c r="F9" s="2001">
        <v>-0.75</v>
      </c>
      <c r="G9" s="2001">
        <v>-1.05</v>
      </c>
      <c r="H9" s="2001">
        <v>0.08</v>
      </c>
      <c r="I9" s="2002">
        <f t="shared" ref="I9" si="65">F9</f>
        <v>-0.75</v>
      </c>
      <c r="J9" s="2899"/>
      <c r="K9" s="2037">
        <f t="shared" ref="K9" si="66">D9/100</f>
        <v>-1.0200000000000001E-2</v>
      </c>
      <c r="L9" s="2022">
        <f t="shared" ref="L9" si="67">E9/100</f>
        <v>-4.7999999999999996E-3</v>
      </c>
      <c r="M9" s="2022">
        <f t="shared" ref="M9" si="68">F9/100</f>
        <v>-7.4999999999999997E-3</v>
      </c>
      <c r="N9" s="2022">
        <f t="shared" ref="N9" si="69">G9/100</f>
        <v>-1.0500000000000001E-2</v>
      </c>
      <c r="O9" s="2022">
        <f t="shared" ref="O9" si="70">H9/100</f>
        <v>8.0000000000000004E-4</v>
      </c>
      <c r="P9" s="2022">
        <f t="shared" si="10"/>
        <v>-7.4999999999999997E-3</v>
      </c>
      <c r="Q9" s="2899"/>
      <c r="R9" s="2021">
        <f>ROUND(IF(项目基本情况!$B$8="出让",SUMPRODUCT(PRODUCT(1+K9:$K$24)),SUMPRODUCT(PRODUCT(1+K9:$K$23))),4)</f>
        <v>1.0511999999999999</v>
      </c>
      <c r="S9" s="2021">
        <f>ROUND(IF(项目基本情况!$B$8="出让",SUMPRODUCT(PRODUCT(1+L9:$L$24)),SUMPRODUCT(PRODUCT(1+L9:$L$23))),4)</f>
        <v>1.0398000000000001</v>
      </c>
      <c r="T9" s="2021">
        <f>ROUND(IF(项目基本情况!$B$8="出让",SUMPRODUCT(PRODUCT(1+M9:$M$24)),SUMPRODUCT(PRODUCT(1+M9:$M$23))),4)</f>
        <v>1.0003</v>
      </c>
      <c r="U9" s="2021">
        <f>ROUND(IF(项目基本情况!$B$8="出让",SUMPRODUCT(PRODUCT(1+N9:$N$24)),SUMPRODUCT(PRODUCT(1+N9:$N$23))),4)</f>
        <v>1.0561</v>
      </c>
      <c r="V9" s="2021">
        <f>ROUND(IF(项目基本情况!$B$8="出让",SUMPRODUCT(PRODUCT(1+O9:$O$24)),SUMPRODUCT(PRODUCT(1+O9:$O$23))),4)</f>
        <v>1.0827</v>
      </c>
      <c r="W9" s="2021">
        <f t="shared" si="11"/>
        <v>1.0003</v>
      </c>
      <c r="X9" s="2899"/>
      <c r="Y9" s="2022">
        <f t="shared" si="12"/>
        <v>2.8999999999999998E-3</v>
      </c>
      <c r="Z9" s="2022">
        <f t="shared" ref="Z9" si="71">IF(E9=0,0,ROUND(AVERAGE(E9:E22)/100,4))</f>
        <v>2.3E-3</v>
      </c>
      <c r="AA9" s="2022">
        <f t="shared" ref="AA9" si="72">IF(F9=0,0,ROUND(AVERAGE(F9:F22)/100,4))</f>
        <v>-2.9999999999999997E-4</v>
      </c>
      <c r="AB9" s="2022">
        <f t="shared" ref="AB9" si="73">IF(G9=0,0,ROUND(AVERAGE(G9:G22)/100,4))</f>
        <v>3.3E-3</v>
      </c>
      <c r="AC9" s="2022">
        <f t="shared" ref="AC9" si="74">IF(H9=0,0,ROUND(AVERAGE(H9:H22)/100,4))</f>
        <v>5.0000000000000001E-3</v>
      </c>
      <c r="AD9" s="2022">
        <f t="shared" ref="AD9" si="75">AA9</f>
        <v>-2.9999999999999997E-4</v>
      </c>
      <c r="AF9" s="3144">
        <f t="shared" si="30"/>
        <v>105.11999999999999</v>
      </c>
      <c r="AG9" s="3144">
        <f t="shared" si="31"/>
        <v>103.98</v>
      </c>
      <c r="AH9" s="3144">
        <f t="shared" si="32"/>
        <v>100.03</v>
      </c>
      <c r="AI9" s="3144">
        <f t="shared" si="33"/>
        <v>105.61</v>
      </c>
      <c r="AJ9" s="3144">
        <f t="shared" si="34"/>
        <v>108.27</v>
      </c>
      <c r="AK9" s="3144">
        <f t="shared" si="35"/>
        <v>100.03</v>
      </c>
      <c r="AM9" s="3144">
        <f t="shared" si="48"/>
        <v>99.383538816253605</v>
      </c>
      <c r="AN9" s="3144">
        <f t="shared" si="49"/>
        <v>101.20071204011386</v>
      </c>
      <c r="AO9" s="3144">
        <f t="shared" si="50"/>
        <v>101.97895256398031</v>
      </c>
      <c r="AP9" s="3144">
        <f t="shared" si="51"/>
        <v>98.80348192955455</v>
      </c>
      <c r="AQ9" s="3144">
        <f t="shared" si="52"/>
        <v>99.412754938790869</v>
      </c>
      <c r="AR9" s="3144">
        <f t="shared" si="53"/>
        <v>101.97895256398031</v>
      </c>
    </row>
    <row r="10" spans="1:44" s="2039" customFormat="1" ht="12.75">
      <c r="A10" s="2034" t="s">
        <v>3377</v>
      </c>
      <c r="B10" s="2025">
        <v>2024</v>
      </c>
      <c r="C10" s="2036">
        <v>3</v>
      </c>
      <c r="D10" s="2001">
        <v>-1.19</v>
      </c>
      <c r="E10" s="2001">
        <v>-0.47</v>
      </c>
      <c r="F10" s="2001">
        <v>-0.28999999999999998</v>
      </c>
      <c r="G10" s="2001">
        <v>-0.74</v>
      </c>
      <c r="H10" s="2001">
        <v>-0.21</v>
      </c>
      <c r="I10" s="2002">
        <f t="shared" ref="I10" si="76">F10</f>
        <v>-0.28999999999999998</v>
      </c>
      <c r="J10" s="2899"/>
      <c r="K10" s="2037">
        <f t="shared" ref="K10" si="77">D10/100</f>
        <v>-1.1899999999999999E-2</v>
      </c>
      <c r="L10" s="2022">
        <f t="shared" ref="L10" si="78">E10/100</f>
        <v>-4.6999999999999993E-3</v>
      </c>
      <c r="M10" s="2022">
        <f t="shared" ref="M10" si="79">F10/100</f>
        <v>-2.8999999999999998E-3</v>
      </c>
      <c r="N10" s="2022">
        <f t="shared" ref="N10" si="80">G10/100</f>
        <v>-7.4000000000000003E-3</v>
      </c>
      <c r="O10" s="2022">
        <f t="shared" ref="O10" si="81">H10/100</f>
        <v>-2.0999999999999999E-3</v>
      </c>
      <c r="P10" s="2022">
        <f t="shared" si="10"/>
        <v>-2.8999999999999998E-3</v>
      </c>
      <c r="Q10" s="2899"/>
      <c r="R10" s="2021">
        <f>ROUND(IF(项目基本情况!$B$8="出让",SUMPRODUCT(PRODUCT(1+K10:$K$24)),SUMPRODUCT(PRODUCT(1+K10:$K$23))),4)</f>
        <v>1.0620000000000001</v>
      </c>
      <c r="S10" s="2021">
        <f>ROUND(IF(项目基本情况!$B$8="出让",SUMPRODUCT(PRODUCT(1+L10:$L$24)),SUMPRODUCT(PRODUCT(1+L10:$L$23))),4)</f>
        <v>1.0448</v>
      </c>
      <c r="T10" s="2021">
        <f>ROUND(IF(项目基本情况!$B$8="出让",SUMPRODUCT(PRODUCT(1+M10:$M$24)),SUMPRODUCT(PRODUCT(1+M10:$M$23))),4)</f>
        <v>1.0079</v>
      </c>
      <c r="U10" s="2021">
        <f>ROUND(IF(项目基本情况!$B$8="出让",SUMPRODUCT(PRODUCT(1+N10:$N$24)),SUMPRODUCT(PRODUCT(1+N10:$N$23))),4)</f>
        <v>1.0672999999999999</v>
      </c>
      <c r="V10" s="2021">
        <f>ROUND(IF(项目基本情况!$B$8="出让",SUMPRODUCT(PRODUCT(1+O10:$O$24)),SUMPRODUCT(PRODUCT(1+O10:$O$23))),4)</f>
        <v>1.0818000000000001</v>
      </c>
      <c r="W10" s="2021">
        <f t="shared" si="11"/>
        <v>1.0079</v>
      </c>
      <c r="X10" s="2899"/>
      <c r="Y10" s="2022">
        <f t="shared" si="12"/>
        <v>4.3E-3</v>
      </c>
      <c r="Z10" s="2022">
        <f t="shared" ref="Z10" si="82">IF(E10=0,0,ROUND(AVERAGE(E10:E23)/100,4))</f>
        <v>3.0999999999999999E-3</v>
      </c>
      <c r="AA10" s="2022">
        <f t="shared" ref="AA10" si="83">IF(F10=0,0,ROUND(AVERAGE(F10:F23)/100,4))</f>
        <v>5.9999999999999995E-4</v>
      </c>
      <c r="AB10" s="2022">
        <f t="shared" ref="AB10" si="84">IF(G10=0,0,ROUND(AVERAGE(G10:G23)/100,4))</f>
        <v>4.7000000000000002E-3</v>
      </c>
      <c r="AC10" s="2022">
        <f t="shared" ref="AC10" si="85">IF(H10=0,0,ROUND(AVERAGE(H10:H23)/100,4))</f>
        <v>5.5999999999999999E-3</v>
      </c>
      <c r="AD10" s="2022">
        <f t="shared" ref="AD10" si="86">AA10</f>
        <v>5.9999999999999995E-4</v>
      </c>
      <c r="AF10" s="3144">
        <f t="shared" si="30"/>
        <v>106.2</v>
      </c>
      <c r="AG10" s="3144">
        <f t="shared" si="31"/>
        <v>104.47999999999999</v>
      </c>
      <c r="AH10" s="3144">
        <f t="shared" si="32"/>
        <v>100.79</v>
      </c>
      <c r="AI10" s="3144">
        <f t="shared" si="33"/>
        <v>106.72999999999999</v>
      </c>
      <c r="AJ10" s="3144">
        <f t="shared" si="34"/>
        <v>108.18</v>
      </c>
      <c r="AK10" s="3144">
        <f t="shared" si="35"/>
        <v>100.79</v>
      </c>
      <c r="AM10" s="3144">
        <f t="shared" si="48"/>
        <v>100.40769732900949</v>
      </c>
      <c r="AN10" s="3144">
        <f t="shared" si="49"/>
        <v>101.68881836828162</v>
      </c>
      <c r="AO10" s="3144">
        <f t="shared" si="50"/>
        <v>102.74957437176857</v>
      </c>
      <c r="AP10" s="3144">
        <f t="shared" si="51"/>
        <v>99.851927164784783</v>
      </c>
      <c r="AQ10" s="3144">
        <f t="shared" si="52"/>
        <v>99.333288308144361</v>
      </c>
      <c r="AR10" s="3144">
        <f t="shared" si="53"/>
        <v>102.74957437176857</v>
      </c>
    </row>
    <row r="11" spans="1:44" s="2039" customFormat="1" ht="12.75">
      <c r="A11" s="2898" t="s">
        <v>3371</v>
      </c>
      <c r="B11" s="2025">
        <v>2024</v>
      </c>
      <c r="C11" s="2036">
        <v>2</v>
      </c>
      <c r="D11" s="2001">
        <v>-0.59</v>
      </c>
      <c r="E11" s="2001">
        <v>-0.21</v>
      </c>
      <c r="F11" s="2001">
        <v>-1.38</v>
      </c>
      <c r="G11" s="2001">
        <v>-1.24</v>
      </c>
      <c r="H11" s="2910">
        <v>0.34</v>
      </c>
      <c r="I11" s="2002">
        <f t="shared" ref="I11:I24" si="87">F11</f>
        <v>-1.38</v>
      </c>
      <c r="J11" s="2899"/>
      <c r="K11" s="2037">
        <f t="shared" ref="K11:O24" si="88">D11/100</f>
        <v>-5.8999999999999999E-3</v>
      </c>
      <c r="L11" s="2022">
        <f t="shared" si="88"/>
        <v>-2.0999999999999999E-3</v>
      </c>
      <c r="M11" s="2022">
        <f t="shared" si="88"/>
        <v>-1.38E-2</v>
      </c>
      <c r="N11" s="2022">
        <f t="shared" si="88"/>
        <v>-1.24E-2</v>
      </c>
      <c r="O11" s="2022">
        <f t="shared" si="88"/>
        <v>3.4000000000000002E-3</v>
      </c>
      <c r="P11" s="2022">
        <f t="shared" si="10"/>
        <v>-1.38E-2</v>
      </c>
      <c r="Q11" s="2899"/>
      <c r="R11" s="2021">
        <f>ROUND(IF(项目基本情况!$B$8="出让",SUMPRODUCT(PRODUCT(1+K11:$K$24)),SUMPRODUCT(PRODUCT(1+K11:$K$23))),4)</f>
        <v>1.0748</v>
      </c>
      <c r="S11" s="2021">
        <f>ROUND(IF(项目基本情况!$B$8="出让",SUMPRODUCT(PRODUCT(1+L11:$L$24)),SUMPRODUCT(PRODUCT(1+L11:$L$23))),4)</f>
        <v>1.0498000000000001</v>
      </c>
      <c r="T11" s="2021">
        <f>ROUND(IF(项目基本情况!$B$8="出让",SUMPRODUCT(PRODUCT(1+M11:$M$24)),SUMPRODUCT(PRODUCT(1+M11:$M$23))),4)</f>
        <v>1.0107999999999999</v>
      </c>
      <c r="U11" s="2021">
        <f>ROUND(IF(项目基本情况!$B$8="出让",SUMPRODUCT(PRODUCT(1+N11:$N$24)),SUMPRODUCT(PRODUCT(1+N11:$N$23))),4)</f>
        <v>1.0752999999999999</v>
      </c>
      <c r="V11" s="2021">
        <f>ROUND(IF(项目基本情况!$B$8="出让",SUMPRODUCT(PRODUCT(1+O11:$O$24)),SUMPRODUCT(PRODUCT(1+O11:$O$23))),4)</f>
        <v>1.0841000000000001</v>
      </c>
      <c r="W11" s="2021">
        <f t="shared" si="11"/>
        <v>1.0107999999999999</v>
      </c>
      <c r="X11" s="2899"/>
      <c r="Y11" s="2022">
        <f t="shared" si="12"/>
        <v>5.8999999999999999E-3</v>
      </c>
      <c r="Z11" s="2022">
        <f t="shared" ref="Z11:AC11" si="89">IF(E11=0,0,ROUND(AVERAGE(E11:E24)/100,4))</f>
        <v>3.5999999999999999E-3</v>
      </c>
      <c r="AA11" s="2022">
        <f t="shared" si="89"/>
        <v>5.9999999999999995E-4</v>
      </c>
      <c r="AB11" s="2022">
        <f t="shared" si="89"/>
        <v>6.0000000000000001E-3</v>
      </c>
      <c r="AC11" s="2022">
        <f t="shared" si="89"/>
        <v>6.0000000000000001E-3</v>
      </c>
      <c r="AD11" s="2022">
        <f t="shared" ref="AD11:AD23" si="90">AA11</f>
        <v>5.9999999999999995E-4</v>
      </c>
      <c r="AF11" s="3144">
        <f t="shared" si="30"/>
        <v>107.48</v>
      </c>
      <c r="AG11" s="3144">
        <f t="shared" si="31"/>
        <v>104.98</v>
      </c>
      <c r="AH11" s="3144">
        <f t="shared" si="32"/>
        <v>101.08</v>
      </c>
      <c r="AI11" s="3144">
        <f t="shared" si="33"/>
        <v>107.52999999999999</v>
      </c>
      <c r="AJ11" s="3144">
        <f t="shared" si="34"/>
        <v>108.41000000000001</v>
      </c>
      <c r="AK11" s="3144">
        <f t="shared" si="35"/>
        <v>101.08</v>
      </c>
      <c r="AM11" s="3144">
        <f t="shared" si="48"/>
        <v>101.61693890194262</v>
      </c>
      <c r="AN11" s="3144">
        <f t="shared" si="49"/>
        <v>102.16901272810371</v>
      </c>
      <c r="AO11" s="3144">
        <f t="shared" si="50"/>
        <v>103.04841477461495</v>
      </c>
      <c r="AP11" s="3144">
        <f t="shared" si="51"/>
        <v>100.59634008138704</v>
      </c>
      <c r="AQ11" s="3144">
        <f t="shared" si="52"/>
        <v>99.542327195254401</v>
      </c>
      <c r="AR11" s="3144">
        <f t="shared" si="53"/>
        <v>103.04841477461495</v>
      </c>
    </row>
    <row r="12" spans="1:44" s="2039" customFormat="1" ht="12.75">
      <c r="A12" s="2898" t="s">
        <v>3370</v>
      </c>
      <c r="B12" s="2025">
        <v>2024</v>
      </c>
      <c r="C12" s="2036">
        <v>1</v>
      </c>
      <c r="D12" s="2001">
        <v>0.08</v>
      </c>
      <c r="E12" s="2001">
        <v>0.46</v>
      </c>
      <c r="F12" s="2001">
        <v>-0.16</v>
      </c>
      <c r="G12" s="2001">
        <v>0.26</v>
      </c>
      <c r="H12" s="2910">
        <v>0.59</v>
      </c>
      <c r="I12" s="2002">
        <f t="shared" si="87"/>
        <v>-0.16</v>
      </c>
      <c r="J12" s="2899"/>
      <c r="K12" s="2037">
        <f t="shared" ref="K12" si="91">D12/100</f>
        <v>8.0000000000000004E-4</v>
      </c>
      <c r="L12" s="2022">
        <f t="shared" ref="L12" si="92">E12/100</f>
        <v>4.5999999999999999E-3</v>
      </c>
      <c r="M12" s="2022">
        <f t="shared" ref="M12" si="93">F12/100</f>
        <v>-1.6000000000000001E-3</v>
      </c>
      <c r="N12" s="2022">
        <f t="shared" ref="N12" si="94">G12/100</f>
        <v>2.5999999999999999E-3</v>
      </c>
      <c r="O12" s="2022">
        <f t="shared" ref="O12" si="95">H12/100</f>
        <v>5.8999999999999999E-3</v>
      </c>
      <c r="P12" s="2022">
        <f t="shared" ref="P12" si="96">M12</f>
        <v>-1.6000000000000001E-3</v>
      </c>
      <c r="Q12" s="2899"/>
      <c r="R12" s="2021">
        <f>ROUND(IF(项目基本情况!$B$8="出让",SUMPRODUCT(PRODUCT(1+K12:$K$24)),SUMPRODUCT(PRODUCT(1+K12:$K$23))),4)</f>
        <v>1.0811999999999999</v>
      </c>
      <c r="S12" s="2021">
        <f>ROUND(IF(项目基本情况!$B$8="出让",SUMPRODUCT(PRODUCT(1+L12:$L$24)),SUMPRODUCT(PRODUCT(1+L12:$L$23))),4)</f>
        <v>1.052</v>
      </c>
      <c r="T12" s="2021">
        <f>ROUND(IF(项目基本情况!$B$8="出让",SUMPRODUCT(PRODUCT(1+M12:$M$24)),SUMPRODUCT(PRODUCT(1+M12:$M$23))),4)</f>
        <v>1.0249999999999999</v>
      </c>
      <c r="U12" s="2021">
        <f>ROUND(IF(项目基本情况!$B$8="出让",SUMPRODUCT(PRODUCT(1+N12:$N$24)),SUMPRODUCT(PRODUCT(1+N12:$N$23))),4)</f>
        <v>1.0888</v>
      </c>
      <c r="V12" s="2021">
        <f>ROUND(IF(项目基本情况!$B$8="出让",SUMPRODUCT(PRODUCT(1+O12:$O$24)),SUMPRODUCT(PRODUCT(1+O12:$O$23))),4)</f>
        <v>1.0804</v>
      </c>
      <c r="W12" s="2021">
        <f t="shared" ref="W12" si="97">T12</f>
        <v>1.0249999999999999</v>
      </c>
      <c r="X12" s="2899"/>
      <c r="Y12" s="2022"/>
      <c r="Z12" s="2022"/>
      <c r="AA12" s="2022"/>
      <c r="AB12" s="2022"/>
      <c r="AC12" s="2022"/>
      <c r="AD12" s="2022"/>
      <c r="AF12" s="3144">
        <f t="shared" si="30"/>
        <v>108.11999999999999</v>
      </c>
      <c r="AG12" s="3144">
        <f t="shared" si="31"/>
        <v>105.2</v>
      </c>
      <c r="AH12" s="3144">
        <f t="shared" si="32"/>
        <v>102.49999999999999</v>
      </c>
      <c r="AI12" s="3144">
        <f t="shared" si="33"/>
        <v>108.88</v>
      </c>
      <c r="AJ12" s="3144">
        <f t="shared" si="34"/>
        <v>108.04</v>
      </c>
      <c r="AK12" s="3144">
        <f t="shared" si="35"/>
        <v>102.49999999999999</v>
      </c>
      <c r="AM12" s="3144">
        <f t="shared" si="48"/>
        <v>102.22003712095626</v>
      </c>
      <c r="AN12" s="3144">
        <f t="shared" si="49"/>
        <v>102.38401916835726</v>
      </c>
      <c r="AO12" s="3144">
        <f t="shared" si="50"/>
        <v>104.49038204686165</v>
      </c>
      <c r="AP12" s="3144">
        <f t="shared" si="51"/>
        <v>101.85939659921733</v>
      </c>
      <c r="AQ12" s="3144">
        <f t="shared" si="52"/>
        <v>99.205030092938401</v>
      </c>
      <c r="AR12" s="3144">
        <f t="shared" si="53"/>
        <v>104.49038204686165</v>
      </c>
    </row>
    <row r="13" spans="1:44" s="2039" customFormat="1" ht="12.75">
      <c r="A13" s="2898" t="s">
        <v>3366</v>
      </c>
      <c r="B13" s="2025">
        <v>2023</v>
      </c>
      <c r="C13" s="2036">
        <v>4</v>
      </c>
      <c r="D13" s="2001">
        <v>0.19</v>
      </c>
      <c r="E13" s="2001">
        <v>0.24</v>
      </c>
      <c r="F13" s="2001">
        <v>-0.16</v>
      </c>
      <c r="G13" s="2001">
        <v>0.17</v>
      </c>
      <c r="H13" s="2910">
        <v>0.61</v>
      </c>
      <c r="I13" s="2002">
        <f>F13</f>
        <v>-0.16</v>
      </c>
      <c r="J13" s="2899"/>
      <c r="K13" s="2037">
        <f t="shared" si="88"/>
        <v>1.9E-3</v>
      </c>
      <c r="L13" s="2022">
        <f t="shared" si="88"/>
        <v>2.3999999999999998E-3</v>
      </c>
      <c r="M13" s="2022">
        <f t="shared" si="88"/>
        <v>-1.6000000000000001E-3</v>
      </c>
      <c r="N13" s="2022">
        <f t="shared" si="88"/>
        <v>1.7000000000000001E-3</v>
      </c>
      <c r="O13" s="2022">
        <f t="shared" si="88"/>
        <v>6.0999999999999995E-3</v>
      </c>
      <c r="P13" s="2022">
        <f t="shared" ref="P13" si="98">M13</f>
        <v>-1.6000000000000001E-3</v>
      </c>
      <c r="Q13" s="2899"/>
      <c r="R13" s="2021">
        <f>ROUND(IF(项目基本情况!$B$8="出让",SUMPRODUCT(PRODUCT(1+K13:$K$24)),SUMPRODUCT(PRODUCT(1+K13:$K$23))),4)</f>
        <v>1.0804</v>
      </c>
      <c r="S13" s="2021">
        <f>ROUND(IF(项目基本情况!$B$8="出让",SUMPRODUCT(PRODUCT(1+L13:$L$24)),SUMPRODUCT(PRODUCT(1+L13:$L$23))),4)</f>
        <v>1.0471999999999999</v>
      </c>
      <c r="T13" s="2021">
        <f>ROUND(IF(项目基本情况!$B$8="出让",SUMPRODUCT(PRODUCT(1+M13:$M$24)),SUMPRODUCT(PRODUCT(1+M13:$M$23))),4)</f>
        <v>1.0266</v>
      </c>
      <c r="U13" s="2021">
        <f>ROUND(IF(项目基本情况!$B$8="出让",SUMPRODUCT(PRODUCT(1+N13:$N$24)),SUMPRODUCT(PRODUCT(1+N13:$N$23))),4)</f>
        <v>1.0859000000000001</v>
      </c>
      <c r="V13" s="2021">
        <f>ROUND(IF(项目基本情况!$B$8="出让",SUMPRODUCT(PRODUCT(1+O13:$O$24)),SUMPRODUCT(PRODUCT(1+O13:$O$23))),4)</f>
        <v>1.0741000000000001</v>
      </c>
      <c r="W13" s="2021">
        <f t="shared" ref="W13" si="99">T13</f>
        <v>1.0266</v>
      </c>
      <c r="X13" s="2899"/>
      <c r="Y13" s="2022"/>
      <c r="Z13" s="2022"/>
      <c r="AA13" s="2022"/>
      <c r="AB13" s="2022"/>
      <c r="AC13" s="2022"/>
      <c r="AD13" s="2022"/>
      <c r="AF13" s="3144">
        <f t="shared" si="30"/>
        <v>108.04</v>
      </c>
      <c r="AG13" s="3144">
        <f t="shared" si="31"/>
        <v>104.71999999999998</v>
      </c>
      <c r="AH13" s="3144">
        <f t="shared" si="32"/>
        <v>102.66</v>
      </c>
      <c r="AI13" s="3144">
        <f t="shared" si="33"/>
        <v>108.59</v>
      </c>
      <c r="AJ13" s="3144">
        <f t="shared" si="34"/>
        <v>107.41000000000001</v>
      </c>
      <c r="AK13" s="3144">
        <f t="shared" si="35"/>
        <v>102.66</v>
      </c>
      <c r="AM13" s="3144">
        <f t="shared" si="48"/>
        <v>102.13832645978844</v>
      </c>
      <c r="AN13" s="3144">
        <f t="shared" si="49"/>
        <v>101.91520920600962</v>
      </c>
      <c r="AO13" s="3144">
        <f t="shared" si="50"/>
        <v>104.65783458219317</v>
      </c>
      <c r="AP13" s="3144">
        <f t="shared" si="51"/>
        <v>101.5952489519423</v>
      </c>
      <c r="AQ13" s="3144">
        <f t="shared" si="52"/>
        <v>98.623153487362956</v>
      </c>
      <c r="AR13" s="3144">
        <f t="shared" si="53"/>
        <v>104.65783458219317</v>
      </c>
    </row>
    <row r="14" spans="1:44" s="2039" customFormat="1" ht="12.75">
      <c r="A14" s="2898" t="s">
        <v>3365</v>
      </c>
      <c r="B14" s="2025">
        <v>2023</v>
      </c>
      <c r="C14" s="2036">
        <v>3</v>
      </c>
      <c r="D14" s="2001">
        <v>0.25</v>
      </c>
      <c r="E14" s="2001">
        <v>0.5</v>
      </c>
      <c r="F14" s="2001">
        <v>0.31</v>
      </c>
      <c r="G14" s="2001">
        <v>0.21</v>
      </c>
      <c r="H14" s="2910">
        <v>0.43</v>
      </c>
      <c r="I14" s="2002">
        <f t="shared" si="87"/>
        <v>0.31</v>
      </c>
      <c r="J14" s="2899"/>
      <c r="K14" s="2037">
        <f t="shared" ref="K14:K16" si="100">D14/100</f>
        <v>2.5000000000000001E-3</v>
      </c>
      <c r="L14" s="2022">
        <f t="shared" ref="L14:L16" si="101">E14/100</f>
        <v>5.0000000000000001E-3</v>
      </c>
      <c r="M14" s="2022">
        <f t="shared" ref="M14:M16" si="102">F14/100</f>
        <v>3.0999999999999999E-3</v>
      </c>
      <c r="N14" s="2022">
        <f t="shared" ref="N14:N16" si="103">G14/100</f>
        <v>2.0999999999999999E-3</v>
      </c>
      <c r="O14" s="2022">
        <f t="shared" ref="O14:O16" si="104">H14/100</f>
        <v>4.3E-3</v>
      </c>
      <c r="P14" s="2022">
        <f t="shared" ref="P14:P16" si="105">M14</f>
        <v>3.0999999999999999E-3</v>
      </c>
      <c r="Q14" s="2899"/>
      <c r="R14" s="2021">
        <f>ROUND(IF(项目基本情况!$B$8="出让",SUMPRODUCT(PRODUCT(1+K14:$K$24)),SUMPRODUCT(PRODUCT(1+K14:$K$23))),4)</f>
        <v>1.0783</v>
      </c>
      <c r="S14" s="2021">
        <f>ROUND(IF(项目基本情况!$B$8="出让",SUMPRODUCT(PRODUCT(1+L14:$L$24)),SUMPRODUCT(PRODUCT(1+L14:$L$23))),4)</f>
        <v>1.0447</v>
      </c>
      <c r="T14" s="2021">
        <f>ROUND(IF(项目基本情况!$B$8="出让",SUMPRODUCT(PRODUCT(1+M14:$M$24)),SUMPRODUCT(PRODUCT(1+M14:$M$23))),4)</f>
        <v>1.0282</v>
      </c>
      <c r="U14" s="2021">
        <f>ROUND(IF(项目基本情况!$B$8="出让",SUMPRODUCT(PRODUCT(1+N14:$N$24)),SUMPRODUCT(PRODUCT(1+N14:$N$23))),4)</f>
        <v>1.0841000000000001</v>
      </c>
      <c r="V14" s="2021">
        <f>ROUND(IF(项目基本情况!$B$8="出让",SUMPRODUCT(PRODUCT(1+O14:$O$24)),SUMPRODUCT(PRODUCT(1+O14:$O$23))),4)</f>
        <v>1.0674999999999999</v>
      </c>
      <c r="W14" s="2021">
        <f t="shared" ref="W14:W15" si="106">T14</f>
        <v>1.0282</v>
      </c>
      <c r="X14" s="2899"/>
      <c r="Y14" s="2022"/>
      <c r="Z14" s="2022"/>
      <c r="AA14" s="2022"/>
      <c r="AB14" s="2022"/>
      <c r="AC14" s="2022"/>
      <c r="AD14" s="2022"/>
      <c r="AF14" s="3144">
        <f t="shared" si="30"/>
        <v>107.83</v>
      </c>
      <c r="AG14" s="3144">
        <f t="shared" si="31"/>
        <v>104.47</v>
      </c>
      <c r="AH14" s="3144">
        <f t="shared" si="32"/>
        <v>102.82</v>
      </c>
      <c r="AI14" s="3144">
        <f t="shared" si="33"/>
        <v>108.41000000000001</v>
      </c>
      <c r="AJ14" s="3144">
        <f t="shared" si="34"/>
        <v>106.74999999999999</v>
      </c>
      <c r="AK14" s="3144">
        <f t="shared" si="35"/>
        <v>102.82</v>
      </c>
      <c r="AM14" s="3144">
        <f t="shared" si="48"/>
        <v>101.94463165963514</v>
      </c>
      <c r="AN14" s="3144">
        <f t="shared" si="49"/>
        <v>101.67119833001759</v>
      </c>
      <c r="AO14" s="3144">
        <f t="shared" si="50"/>
        <v>104.8255554709467</v>
      </c>
      <c r="AP14" s="3144">
        <f t="shared" si="51"/>
        <v>101.4228301407031</v>
      </c>
      <c r="AQ14" s="3144">
        <f t="shared" si="52"/>
        <v>98.025199768773433</v>
      </c>
      <c r="AR14" s="3144">
        <f t="shared" si="53"/>
        <v>104.8255554709467</v>
      </c>
    </row>
    <row r="15" spans="1:44" s="2039" customFormat="1" ht="12.75">
      <c r="A15" s="2898" t="s">
        <v>3363</v>
      </c>
      <c r="B15" s="2025">
        <v>2023</v>
      </c>
      <c r="C15" s="2036">
        <v>2</v>
      </c>
      <c r="D15" s="2001">
        <v>0.91</v>
      </c>
      <c r="E15" s="2001">
        <v>0.66</v>
      </c>
      <c r="F15" s="2001">
        <v>0.47</v>
      </c>
      <c r="G15" s="2001">
        <v>0.96</v>
      </c>
      <c r="H15" s="2910">
        <v>0.71</v>
      </c>
      <c r="I15" s="2002">
        <f t="shared" si="87"/>
        <v>0.47</v>
      </c>
      <c r="J15" s="2899"/>
      <c r="K15" s="2037">
        <f t="shared" si="100"/>
        <v>9.1000000000000004E-3</v>
      </c>
      <c r="L15" s="2022">
        <f t="shared" si="101"/>
        <v>6.6E-3</v>
      </c>
      <c r="M15" s="2022">
        <f t="shared" si="102"/>
        <v>4.6999999999999993E-3</v>
      </c>
      <c r="N15" s="2022">
        <f t="shared" si="103"/>
        <v>9.5999999999999992E-3</v>
      </c>
      <c r="O15" s="2022">
        <f t="shared" si="104"/>
        <v>7.0999999999999995E-3</v>
      </c>
      <c r="P15" s="2022">
        <f t="shared" si="105"/>
        <v>4.6999999999999993E-3</v>
      </c>
      <c r="Q15" s="2899"/>
      <c r="R15" s="2021">
        <f>ROUND(IF(项目基本情况!$B$8="出让",SUMPRODUCT(PRODUCT(1+K15:$K$24)),SUMPRODUCT(PRODUCT(1+K15:$K$23))),4)</f>
        <v>1.0755999999999999</v>
      </c>
      <c r="S15" s="2021">
        <f>ROUND(IF(项目基本情况!$B$8="出让",SUMPRODUCT(PRODUCT(1+L15:$L$24)),SUMPRODUCT(PRODUCT(1+L15:$L$23))),4)</f>
        <v>1.0395000000000001</v>
      </c>
      <c r="T15" s="2021">
        <f>ROUND(IF(项目基本情况!$B$8="出让",SUMPRODUCT(PRODUCT(1+M15:$M$24)),SUMPRODUCT(PRODUCT(1+M15:$M$23))),4)</f>
        <v>1.0250999999999999</v>
      </c>
      <c r="U15" s="2021">
        <f>ROUND(IF(项目基本情况!$B$8="出让",SUMPRODUCT(PRODUCT(1+N15:$N$24)),SUMPRODUCT(PRODUCT(1+N15:$N$23))),4)</f>
        <v>1.0818000000000001</v>
      </c>
      <c r="V15" s="2021">
        <f>ROUND(IF(项目基本情况!$B$8="出让",SUMPRODUCT(PRODUCT(1+O15:$O$24)),SUMPRODUCT(PRODUCT(1+O15:$O$23))),4)</f>
        <v>1.0629999999999999</v>
      </c>
      <c r="W15" s="2021">
        <f t="shared" si="106"/>
        <v>1.0250999999999999</v>
      </c>
      <c r="X15" s="2899"/>
      <c r="Y15" s="2022"/>
      <c r="Z15" s="2022"/>
      <c r="AA15" s="2022"/>
      <c r="AB15" s="2022"/>
      <c r="AC15" s="2022"/>
      <c r="AD15" s="2022"/>
      <c r="AF15" s="3144">
        <f t="shared" si="30"/>
        <v>107.55999999999999</v>
      </c>
      <c r="AG15" s="3144">
        <f t="shared" si="31"/>
        <v>103.95</v>
      </c>
      <c r="AH15" s="3144">
        <f t="shared" si="32"/>
        <v>102.50999999999999</v>
      </c>
      <c r="AI15" s="3144">
        <f t="shared" si="33"/>
        <v>108.18</v>
      </c>
      <c r="AJ15" s="3144">
        <f t="shared" si="34"/>
        <v>106.3</v>
      </c>
      <c r="AK15" s="3144">
        <f t="shared" si="35"/>
        <v>102.50999999999999</v>
      </c>
      <c r="AM15" s="3144">
        <f t="shared" si="48"/>
        <v>101.69040564552134</v>
      </c>
      <c r="AN15" s="3144">
        <f t="shared" si="49"/>
        <v>101.16537147265433</v>
      </c>
      <c r="AO15" s="3144">
        <f t="shared" si="50"/>
        <v>104.50160050936765</v>
      </c>
      <c r="AP15" s="3144">
        <f t="shared" si="51"/>
        <v>101.21028853478006</v>
      </c>
      <c r="AQ15" s="3144">
        <f t="shared" si="52"/>
        <v>97.605496135391249</v>
      </c>
      <c r="AR15" s="3144">
        <f t="shared" si="53"/>
        <v>104.50160050936765</v>
      </c>
    </row>
    <row r="16" spans="1:44" s="2039" customFormat="1" ht="12.75">
      <c r="A16" s="2898" t="s">
        <v>3362</v>
      </c>
      <c r="B16" s="2025">
        <v>2023</v>
      </c>
      <c r="C16" s="2036">
        <v>1</v>
      </c>
      <c r="D16" s="2001">
        <v>0.89</v>
      </c>
      <c r="E16" s="2001">
        <v>0.74</v>
      </c>
      <c r="F16" s="2001">
        <v>0.56999999999999995</v>
      </c>
      <c r="G16" s="2001">
        <v>0.92</v>
      </c>
      <c r="H16" s="2910">
        <v>0.5</v>
      </c>
      <c r="I16" s="2002">
        <f t="shared" si="87"/>
        <v>0.56999999999999995</v>
      </c>
      <c r="J16" s="2899"/>
      <c r="K16" s="2037">
        <f t="shared" si="100"/>
        <v>8.8999999999999999E-3</v>
      </c>
      <c r="L16" s="2022">
        <f t="shared" si="101"/>
        <v>7.4000000000000003E-3</v>
      </c>
      <c r="M16" s="2022">
        <f t="shared" si="102"/>
        <v>5.6999999999999993E-3</v>
      </c>
      <c r="N16" s="2022">
        <f t="shared" si="103"/>
        <v>9.1999999999999998E-3</v>
      </c>
      <c r="O16" s="2022">
        <f t="shared" si="104"/>
        <v>5.0000000000000001E-3</v>
      </c>
      <c r="P16" s="2022">
        <f t="shared" si="105"/>
        <v>5.6999999999999993E-3</v>
      </c>
      <c r="Q16" s="2899"/>
      <c r="R16" s="2021">
        <f>ROUND(IF(项目基本情况!$B$8="出让",SUMPRODUCT(PRODUCT(1+K16:$K$24)),SUMPRODUCT(PRODUCT(1+K16:$K$23))),4)</f>
        <v>1.0659000000000001</v>
      </c>
      <c r="S16" s="2021">
        <f>ROUND(IF(项目基本情况!$B$8="出让",SUMPRODUCT(PRODUCT(1+L16:$L$24)),SUMPRODUCT(PRODUCT(1+L16:$L$23))),4)</f>
        <v>1.0326</v>
      </c>
      <c r="T16" s="2021">
        <f>ROUND(IF(项目基本情况!$B$8="出让",SUMPRODUCT(PRODUCT(1+M16:$M$24)),SUMPRODUCT(PRODUCT(1+M16:$M$23))),4)</f>
        <v>1.0203</v>
      </c>
      <c r="U16" s="2021">
        <f>ROUND(IF(项目基本情况!$B$8="出让",SUMPRODUCT(PRODUCT(1+N16:$N$24)),SUMPRODUCT(PRODUCT(1+N16:$N$23))),4)</f>
        <v>1.0714999999999999</v>
      </c>
      <c r="V16" s="2021">
        <f>ROUND(IF(项目基本情况!$B$8="出让",SUMPRODUCT(PRODUCT(1+O16:$O$24)),SUMPRODUCT(PRODUCT(1+O16:$O$23))),4)</f>
        <v>1.0555000000000001</v>
      </c>
      <c r="W16" s="2021">
        <f t="shared" ref="W16:W23" si="107">T16</f>
        <v>1.0203</v>
      </c>
      <c r="X16" s="2899"/>
      <c r="Y16" s="2022"/>
      <c r="Z16" s="2022"/>
      <c r="AA16" s="2022"/>
      <c r="AB16" s="2022"/>
      <c r="AC16" s="2022"/>
      <c r="AD16" s="2022"/>
      <c r="AF16" s="3144">
        <f t="shared" si="30"/>
        <v>106.59</v>
      </c>
      <c r="AG16" s="3144">
        <f t="shared" si="31"/>
        <v>103.25999999999999</v>
      </c>
      <c r="AH16" s="3144">
        <f t="shared" si="32"/>
        <v>102.03</v>
      </c>
      <c r="AI16" s="3144">
        <f t="shared" si="33"/>
        <v>107.14999999999999</v>
      </c>
      <c r="AJ16" s="3144">
        <f t="shared" si="34"/>
        <v>105.55000000000001</v>
      </c>
      <c r="AK16" s="3144">
        <f t="shared" si="35"/>
        <v>102.03</v>
      </c>
      <c r="AM16" s="3144">
        <f t="shared" si="48"/>
        <v>100.77336799675089</v>
      </c>
      <c r="AN16" s="3144">
        <f t="shared" si="49"/>
        <v>100.50205789057652</v>
      </c>
      <c r="AO16" s="3144">
        <f t="shared" si="50"/>
        <v>104.01274062841411</v>
      </c>
      <c r="AP16" s="3144">
        <f t="shared" si="51"/>
        <v>100.24790861210386</v>
      </c>
      <c r="AQ16" s="3144">
        <f t="shared" si="52"/>
        <v>96.917382718092782</v>
      </c>
      <c r="AR16" s="3144">
        <f t="shared" si="53"/>
        <v>104.01274062841411</v>
      </c>
    </row>
    <row r="17" spans="1:44" s="2039" customFormat="1" ht="12.75">
      <c r="A17" s="2898" t="s">
        <v>3361</v>
      </c>
      <c r="B17" s="2025">
        <v>2022</v>
      </c>
      <c r="C17" s="2036">
        <v>4</v>
      </c>
      <c r="D17" s="2001">
        <v>0.62</v>
      </c>
      <c r="E17" s="2001">
        <v>0.2</v>
      </c>
      <c r="F17" s="2001">
        <v>0.11</v>
      </c>
      <c r="G17" s="2001">
        <v>0.69</v>
      </c>
      <c r="H17" s="2910">
        <v>0.53</v>
      </c>
      <c r="I17" s="2002">
        <f t="shared" si="87"/>
        <v>0.11</v>
      </c>
      <c r="J17" s="2899"/>
      <c r="K17" s="2037">
        <f t="shared" si="88"/>
        <v>6.1999999999999998E-3</v>
      </c>
      <c r="L17" s="2022">
        <f t="shared" si="88"/>
        <v>2E-3</v>
      </c>
      <c r="M17" s="2022">
        <f t="shared" si="88"/>
        <v>1.1000000000000001E-3</v>
      </c>
      <c r="N17" s="2022">
        <f t="shared" si="88"/>
        <v>6.8999999999999999E-3</v>
      </c>
      <c r="O17" s="2022">
        <f t="shared" si="88"/>
        <v>5.3E-3</v>
      </c>
      <c r="P17" s="2022">
        <f t="shared" ref="P17:P24" si="108">M17</f>
        <v>1.1000000000000001E-3</v>
      </c>
      <c r="Q17" s="2899"/>
      <c r="R17" s="2021">
        <f>ROUND(IF(项目基本情况!$B$8="出让",SUMPRODUCT(PRODUCT(1+K17:$K$24)),SUMPRODUCT(PRODUCT(1+K17:$K$23))),4)</f>
        <v>1.0565</v>
      </c>
      <c r="S17" s="2021">
        <f>ROUND(IF(项目基本情况!$B$8="出让",SUMPRODUCT(PRODUCT(1+L17:$L$24)),SUMPRODUCT(PRODUCT(1+L17:$L$23))),4)</f>
        <v>1.0250999999999999</v>
      </c>
      <c r="T17" s="2021">
        <f>ROUND(IF(项目基本情况!$B$8="出让",SUMPRODUCT(PRODUCT(1+M17:$M$24)),SUMPRODUCT(PRODUCT(1+M17:$M$23))),4)</f>
        <v>1.0145</v>
      </c>
      <c r="U17" s="2021">
        <f>ROUND(IF(项目基本情况!$B$8="出让",SUMPRODUCT(PRODUCT(1+N17:$N$24)),SUMPRODUCT(PRODUCT(1+N17:$N$23))),4)</f>
        <v>1.0618000000000001</v>
      </c>
      <c r="V17" s="2021">
        <f>ROUND(IF(项目基本情况!$B$8="出让",SUMPRODUCT(PRODUCT(1+O17:$O$24)),SUMPRODUCT(PRODUCT(1+O17:$O$23))),4)</f>
        <v>1.0502</v>
      </c>
      <c r="W17" s="2021">
        <f t="shared" si="107"/>
        <v>1.0145</v>
      </c>
      <c r="X17" s="2899"/>
      <c r="Y17" s="2022">
        <f>IF(D17=0,0,ROUND(AVERAGE(D17:D25)/100,4))</f>
        <v>8.0999999999999996E-3</v>
      </c>
      <c r="Z17" s="2022">
        <f t="shared" ref="Z17:AC17" si="109">IF(E17=0,0,ROUND(AVERAGE(E17:E24)/100,4))</f>
        <v>3.3E-3</v>
      </c>
      <c r="AA17" s="2022">
        <f t="shared" si="109"/>
        <v>1.5E-3</v>
      </c>
      <c r="AB17" s="2022">
        <f t="shared" si="109"/>
        <v>8.8999999999999999E-3</v>
      </c>
      <c r="AC17" s="2022">
        <f t="shared" si="109"/>
        <v>6.6E-3</v>
      </c>
      <c r="AD17" s="2022">
        <f t="shared" si="90"/>
        <v>1.5E-3</v>
      </c>
      <c r="AF17" s="3144">
        <f t="shared" si="30"/>
        <v>105.65</v>
      </c>
      <c r="AG17" s="3144">
        <f t="shared" si="31"/>
        <v>102.50999999999999</v>
      </c>
      <c r="AH17" s="3144">
        <f t="shared" si="32"/>
        <v>101.44999999999999</v>
      </c>
      <c r="AI17" s="3144">
        <f t="shared" si="33"/>
        <v>106.18</v>
      </c>
      <c r="AJ17" s="3144">
        <f t="shared" si="34"/>
        <v>105.02</v>
      </c>
      <c r="AK17" s="3144">
        <f t="shared" si="35"/>
        <v>101.44999999999999</v>
      </c>
      <c r="AM17" s="3144">
        <f t="shared" si="48"/>
        <v>99.884396864655471</v>
      </c>
      <c r="AN17" s="3144">
        <f t="shared" si="49"/>
        <v>99.763805728187918</v>
      </c>
      <c r="AO17" s="3144">
        <f t="shared" si="50"/>
        <v>103.42322822751726</v>
      </c>
      <c r="AP17" s="3144">
        <f t="shared" si="51"/>
        <v>99.334035485635994</v>
      </c>
      <c r="AQ17" s="3144">
        <f t="shared" si="52"/>
        <v>96.435206684669438</v>
      </c>
      <c r="AR17" s="3144">
        <f t="shared" si="53"/>
        <v>103.42322822751726</v>
      </c>
    </row>
    <row r="18" spans="1:44" s="2039" customFormat="1" ht="12.75">
      <c r="A18" s="2898" t="s">
        <v>3359</v>
      </c>
      <c r="B18" s="2025">
        <v>2022</v>
      </c>
      <c r="C18" s="2036">
        <v>3</v>
      </c>
      <c r="D18" s="2001">
        <v>0.66</v>
      </c>
      <c r="E18" s="2001">
        <v>0.32</v>
      </c>
      <c r="F18" s="2001">
        <v>0.23</v>
      </c>
      <c r="G18" s="2001">
        <v>0.72</v>
      </c>
      <c r="H18" s="2910">
        <v>0.63</v>
      </c>
      <c r="I18" s="2002">
        <f t="shared" si="87"/>
        <v>0.23</v>
      </c>
      <c r="J18" s="2899"/>
      <c r="K18" s="2037">
        <f t="shared" si="88"/>
        <v>6.6E-3</v>
      </c>
      <c r="L18" s="2022">
        <f t="shared" si="88"/>
        <v>3.2000000000000002E-3</v>
      </c>
      <c r="M18" s="2022">
        <f t="shared" si="88"/>
        <v>2.3E-3</v>
      </c>
      <c r="N18" s="2022">
        <f t="shared" si="88"/>
        <v>7.1999999999999998E-3</v>
      </c>
      <c r="O18" s="2022">
        <f t="shared" si="88"/>
        <v>6.3E-3</v>
      </c>
      <c r="P18" s="2022">
        <f t="shared" si="108"/>
        <v>2.3E-3</v>
      </c>
      <c r="Q18" s="2899"/>
      <c r="R18" s="2021">
        <f>ROUND(IF(项目基本情况!$B$8="出让",SUMPRODUCT(PRODUCT(1+K18:$K$24)),SUMPRODUCT(PRODUCT(1+K18:$K$23))),4)</f>
        <v>1.05</v>
      </c>
      <c r="S18" s="2021">
        <f>ROUND(IF(项目基本情况!$B$8="出让",SUMPRODUCT(PRODUCT(1+L18:$L$24)),SUMPRODUCT(PRODUCT(1+L18:$L$23))),4)</f>
        <v>1.0229999999999999</v>
      </c>
      <c r="T18" s="2021">
        <f>ROUND(IF(项目基本情况!$B$8="出让",SUMPRODUCT(PRODUCT(1+M18:$M$24)),SUMPRODUCT(PRODUCT(1+M18:$M$23))),4)</f>
        <v>1.0134000000000001</v>
      </c>
      <c r="U18" s="2021">
        <f>ROUND(IF(项目基本情况!$B$8="出让",SUMPRODUCT(PRODUCT(1+N18:$N$24)),SUMPRODUCT(PRODUCT(1+N18:$N$23))),4)</f>
        <v>1.0545</v>
      </c>
      <c r="V18" s="2021">
        <f>ROUND(IF(项目基本情况!$B$8="出让",SUMPRODUCT(PRODUCT(1+O18:$O$24)),SUMPRODUCT(PRODUCT(1+O18:$O$23))),4)</f>
        <v>1.0447</v>
      </c>
      <c r="W18" s="2021">
        <f t="shared" si="107"/>
        <v>1.0134000000000001</v>
      </c>
      <c r="X18" s="2899"/>
      <c r="Y18" s="2022">
        <f>IF(D18=0,0,ROUND(AVERAGE(D18:D24)/100,4))</f>
        <v>8.3999999999999995E-3</v>
      </c>
      <c r="Z18" s="2022">
        <f t="shared" ref="Z18:AC18" si="110">IF(E18=0,0,ROUND(AVERAGE(E18:E24)/100,4))</f>
        <v>3.5000000000000001E-3</v>
      </c>
      <c r="AA18" s="2022">
        <f t="shared" si="110"/>
        <v>1.5E-3</v>
      </c>
      <c r="AB18" s="2022">
        <f t="shared" si="110"/>
        <v>9.1999999999999998E-3</v>
      </c>
      <c r="AC18" s="2022">
        <f t="shared" si="110"/>
        <v>6.7999999999999996E-3</v>
      </c>
      <c r="AD18" s="2022">
        <f t="shared" si="90"/>
        <v>1.5E-3</v>
      </c>
      <c r="AF18" s="3144">
        <f t="shared" si="30"/>
        <v>105</v>
      </c>
      <c r="AG18" s="3144">
        <f t="shared" si="31"/>
        <v>102.3</v>
      </c>
      <c r="AH18" s="3144">
        <f t="shared" si="32"/>
        <v>101.34</v>
      </c>
      <c r="AI18" s="3144">
        <f t="shared" si="33"/>
        <v>105.45</v>
      </c>
      <c r="AJ18" s="3144">
        <f t="shared" si="34"/>
        <v>104.47</v>
      </c>
      <c r="AK18" s="3144">
        <f t="shared" si="35"/>
        <v>101.34</v>
      </c>
      <c r="AM18" s="3144">
        <f t="shared" si="48"/>
        <v>99.268929501744651</v>
      </c>
      <c r="AN18" s="3144">
        <f t="shared" si="49"/>
        <v>99.564676375437045</v>
      </c>
      <c r="AO18" s="3144">
        <f t="shared" si="50"/>
        <v>103.30958768106807</v>
      </c>
      <c r="AP18" s="3144">
        <f t="shared" si="51"/>
        <v>98.653327525708619</v>
      </c>
      <c r="AQ18" s="3144">
        <f t="shared" si="52"/>
        <v>95.926794672903043</v>
      </c>
      <c r="AR18" s="3144">
        <f t="shared" si="53"/>
        <v>103.30958768106807</v>
      </c>
    </row>
    <row r="19" spans="1:44" s="2039" customFormat="1" ht="12.75">
      <c r="A19" s="2898" t="s">
        <v>3350</v>
      </c>
      <c r="B19" s="2025">
        <v>2022</v>
      </c>
      <c r="C19" s="2036">
        <v>2</v>
      </c>
      <c r="D19" s="2001">
        <v>0.93</v>
      </c>
      <c r="E19" s="2001">
        <v>0.15</v>
      </c>
      <c r="F19" s="2001">
        <v>0.01</v>
      </c>
      <c r="G19" s="2001">
        <v>1.05</v>
      </c>
      <c r="H19" s="2910">
        <v>1.08</v>
      </c>
      <c r="I19" s="2002">
        <f t="shared" si="87"/>
        <v>0.01</v>
      </c>
      <c r="J19" s="2899"/>
      <c r="K19" s="2037">
        <f t="shared" si="88"/>
        <v>9.300000000000001E-3</v>
      </c>
      <c r="L19" s="2022">
        <f t="shared" si="88"/>
        <v>1.5E-3</v>
      </c>
      <c r="M19" s="2022">
        <f t="shared" si="88"/>
        <v>1E-4</v>
      </c>
      <c r="N19" s="2022">
        <f t="shared" si="88"/>
        <v>1.0500000000000001E-2</v>
      </c>
      <c r="O19" s="2022">
        <f t="shared" si="88"/>
        <v>1.0800000000000001E-2</v>
      </c>
      <c r="P19" s="2022">
        <f t="shared" si="108"/>
        <v>1E-4</v>
      </c>
      <c r="Q19" s="2899"/>
      <c r="R19" s="2021">
        <f>ROUND(IF(项目基本情况!$B$8="出让",SUMPRODUCT(PRODUCT(1+K19:$K$24)),SUMPRODUCT(PRODUCT(1+K19:$K$23))),4)</f>
        <v>1.0430999999999999</v>
      </c>
      <c r="S19" s="2021">
        <f>ROUND(IF(项目基本情况!$B$8="出让",SUMPRODUCT(PRODUCT(1+L19:$L$24)),SUMPRODUCT(PRODUCT(1+L19:$L$23))),4)</f>
        <v>1.0197000000000001</v>
      </c>
      <c r="T19" s="2021">
        <f>ROUND(IF(项目基本情况!$B$8="出让",SUMPRODUCT(PRODUCT(1+M19:$M$24)),SUMPRODUCT(PRODUCT(1+M19:$M$23))),4)</f>
        <v>1.0109999999999999</v>
      </c>
      <c r="U19" s="2021">
        <f>ROUND(IF(项目基本情况!$B$8="出让",SUMPRODUCT(PRODUCT(1+N19:$N$24)),SUMPRODUCT(PRODUCT(1+N19:$N$23))),4)</f>
        <v>1.0468999999999999</v>
      </c>
      <c r="V19" s="2021">
        <f>ROUND(IF(项目基本情况!$B$8="出让",SUMPRODUCT(PRODUCT(1+O19:$O$24)),SUMPRODUCT(PRODUCT(1+O19:$O$23))),4)</f>
        <v>1.0382</v>
      </c>
      <c r="W19" s="2021">
        <f t="shared" si="107"/>
        <v>1.0109999999999999</v>
      </c>
      <c r="X19" s="2899"/>
      <c r="Y19" s="2022">
        <f>IF(D19=0,0,ROUND(AVERAGE(D19:D24)/100,4))</f>
        <v>8.6999999999999994E-3</v>
      </c>
      <c r="Z19" s="2022">
        <f t="shared" ref="Z19:AC19" si="111">IF(E19=0,0,ROUND(AVERAGE(E19:E24)/100,4))</f>
        <v>3.5000000000000001E-3</v>
      </c>
      <c r="AA19" s="2022">
        <f t="shared" si="111"/>
        <v>1.4E-3</v>
      </c>
      <c r="AB19" s="2022">
        <f t="shared" si="111"/>
        <v>9.4999999999999998E-3</v>
      </c>
      <c r="AC19" s="2022">
        <f t="shared" si="111"/>
        <v>6.8999999999999999E-3</v>
      </c>
      <c r="AD19" s="2022">
        <f t="shared" si="90"/>
        <v>1.4E-3</v>
      </c>
      <c r="AF19" s="3144">
        <f t="shared" si="30"/>
        <v>104.30999999999999</v>
      </c>
      <c r="AG19" s="3144">
        <f t="shared" si="31"/>
        <v>101.97</v>
      </c>
      <c r="AH19" s="3144">
        <f t="shared" si="32"/>
        <v>101.1</v>
      </c>
      <c r="AI19" s="3144">
        <f t="shared" si="33"/>
        <v>104.69</v>
      </c>
      <c r="AJ19" s="3144">
        <f t="shared" si="34"/>
        <v>103.82000000000001</v>
      </c>
      <c r="AK19" s="3144">
        <f t="shared" si="35"/>
        <v>101.1</v>
      </c>
      <c r="AM19" s="3144">
        <f t="shared" si="48"/>
        <v>98.618050369307227</v>
      </c>
      <c r="AN19" s="3144">
        <f t="shared" si="49"/>
        <v>99.247085701193214</v>
      </c>
      <c r="AO19" s="3144">
        <f t="shared" si="50"/>
        <v>103.07252088303709</v>
      </c>
      <c r="AP19" s="3144">
        <f t="shared" si="51"/>
        <v>97.948101197089571</v>
      </c>
      <c r="AQ19" s="3144">
        <f t="shared" si="52"/>
        <v>95.326239364904154</v>
      </c>
      <c r="AR19" s="3144">
        <f t="shared" si="53"/>
        <v>103.07252088303709</v>
      </c>
    </row>
    <row r="20" spans="1:44" s="2039" customFormat="1" ht="12.75">
      <c r="A20" s="2898" t="s">
        <v>2816</v>
      </c>
      <c r="B20" s="2025">
        <v>2022</v>
      </c>
      <c r="C20" s="2036">
        <v>1</v>
      </c>
      <c r="D20" s="2001">
        <v>0.89</v>
      </c>
      <c r="E20" s="2001">
        <v>0.44</v>
      </c>
      <c r="F20" s="2001">
        <v>0.37</v>
      </c>
      <c r="G20" s="2001">
        <v>0.96</v>
      </c>
      <c r="H20" s="2910">
        <v>0.64</v>
      </c>
      <c r="I20" s="2002">
        <f t="shared" si="87"/>
        <v>0.37</v>
      </c>
      <c r="J20" s="2899"/>
      <c r="K20" s="2037">
        <f t="shared" si="88"/>
        <v>8.8999999999999999E-3</v>
      </c>
      <c r="L20" s="2022">
        <f t="shared" si="88"/>
        <v>4.4000000000000003E-3</v>
      </c>
      <c r="M20" s="2022">
        <f t="shared" si="88"/>
        <v>3.7000000000000002E-3</v>
      </c>
      <c r="N20" s="2022">
        <f t="shared" si="88"/>
        <v>9.5999999999999992E-3</v>
      </c>
      <c r="O20" s="2022">
        <f t="shared" si="88"/>
        <v>6.4000000000000003E-3</v>
      </c>
      <c r="P20" s="2022">
        <f t="shared" si="108"/>
        <v>3.7000000000000002E-3</v>
      </c>
      <c r="Q20" s="2899"/>
      <c r="R20" s="2021">
        <f>ROUND(IF(项目基本情况!$B$8="出让",SUMPRODUCT(PRODUCT(1+K20:$K$24)),SUMPRODUCT(PRODUCT(1+K20:$K$23))),4)</f>
        <v>1.0335000000000001</v>
      </c>
      <c r="S20" s="2021">
        <f>ROUND(IF(项目基本情况!$B$8="出让",SUMPRODUCT(PRODUCT(1+L20:$L$24)),SUMPRODUCT(PRODUCT(1+L20:$L$23))),4)</f>
        <v>1.0182</v>
      </c>
      <c r="T20" s="2021">
        <f>ROUND(IF(项目基本情况!$B$8="出让",SUMPRODUCT(PRODUCT(1+M20:$M$24)),SUMPRODUCT(PRODUCT(1+M20:$M$23))),4)</f>
        <v>1.0108999999999999</v>
      </c>
      <c r="U20" s="2021">
        <f>ROUND(IF(项目基本情况!$B$8="出让",SUMPRODUCT(PRODUCT(1+N20:$N$24)),SUMPRODUCT(PRODUCT(1+N20:$N$23))),4)</f>
        <v>1.0361</v>
      </c>
      <c r="V20" s="2021">
        <f>ROUND(IF(项目基本情况!$B$8="出让",SUMPRODUCT(PRODUCT(1+O20:$O$24)),SUMPRODUCT(PRODUCT(1+O20:$O$23))),4)</f>
        <v>1.0270999999999999</v>
      </c>
      <c r="W20" s="2021">
        <f t="shared" si="107"/>
        <v>1.0108999999999999</v>
      </c>
      <c r="X20" s="2899"/>
      <c r="Y20" s="2022">
        <f>IF(D20=0,0,ROUND(AVERAGE(D20:D24)/100,4))</f>
        <v>8.6E-3</v>
      </c>
      <c r="Z20" s="2022">
        <f t="shared" ref="Z20:AC20" si="112">IF(E20=0,0,ROUND(AVERAGE(E20:E24)/100,4))</f>
        <v>3.8999999999999998E-3</v>
      </c>
      <c r="AA20" s="2022">
        <f t="shared" si="112"/>
        <v>1.6999999999999999E-3</v>
      </c>
      <c r="AB20" s="2022">
        <f t="shared" si="112"/>
        <v>9.2999999999999992E-3</v>
      </c>
      <c r="AC20" s="2022">
        <f t="shared" si="112"/>
        <v>6.1000000000000004E-3</v>
      </c>
      <c r="AD20" s="2022">
        <f t="shared" si="90"/>
        <v>1.6999999999999999E-3</v>
      </c>
      <c r="AF20" s="3144">
        <f t="shared" si="30"/>
        <v>103.35000000000001</v>
      </c>
      <c r="AG20" s="3144">
        <f t="shared" si="31"/>
        <v>101.82</v>
      </c>
      <c r="AH20" s="3144">
        <f t="shared" si="32"/>
        <v>101.08999999999999</v>
      </c>
      <c r="AI20" s="3144">
        <f t="shared" si="33"/>
        <v>103.61</v>
      </c>
      <c r="AJ20" s="3144">
        <f t="shared" si="34"/>
        <v>102.71</v>
      </c>
      <c r="AK20" s="3144">
        <f t="shared" si="35"/>
        <v>101.08999999999999</v>
      </c>
      <c r="AM20" s="3144">
        <f t="shared" si="48"/>
        <v>97.709353382846743</v>
      </c>
      <c r="AN20" s="3144">
        <f t="shared" si="49"/>
        <v>99.098438044127022</v>
      </c>
      <c r="AO20" s="3144">
        <f t="shared" si="50"/>
        <v>103.06221466157093</v>
      </c>
      <c r="AP20" s="3144">
        <f t="shared" si="51"/>
        <v>96.930332703700714</v>
      </c>
      <c r="AQ20" s="3144">
        <f t="shared" si="52"/>
        <v>94.307716031761146</v>
      </c>
      <c r="AR20" s="3144">
        <f t="shared" si="53"/>
        <v>103.06221466157093</v>
      </c>
    </row>
    <row r="21" spans="1:44" s="2039" customFormat="1" ht="12.75">
      <c r="A21" s="2898" t="s">
        <v>2817</v>
      </c>
      <c r="B21" s="2025">
        <v>2021</v>
      </c>
      <c r="C21" s="2036">
        <v>4</v>
      </c>
      <c r="D21" s="2001">
        <v>1.03</v>
      </c>
      <c r="E21" s="2001">
        <v>0.24</v>
      </c>
      <c r="F21" s="2001">
        <v>7.0000000000000007E-2</v>
      </c>
      <c r="G21" s="2001">
        <v>1.17</v>
      </c>
      <c r="H21" s="2910">
        <v>0.55000000000000004</v>
      </c>
      <c r="I21" s="2002">
        <f t="shared" si="87"/>
        <v>7.0000000000000007E-2</v>
      </c>
      <c r="J21" s="2899"/>
      <c r="K21" s="2037">
        <f t="shared" si="88"/>
        <v>1.03E-2</v>
      </c>
      <c r="L21" s="2022">
        <f t="shared" si="88"/>
        <v>2.3999999999999998E-3</v>
      </c>
      <c r="M21" s="2022">
        <f t="shared" si="88"/>
        <v>7.000000000000001E-4</v>
      </c>
      <c r="N21" s="2022">
        <f t="shared" si="88"/>
        <v>1.1699999999999999E-2</v>
      </c>
      <c r="O21" s="2022">
        <f t="shared" si="88"/>
        <v>5.5000000000000005E-3</v>
      </c>
      <c r="P21" s="2022">
        <f t="shared" si="108"/>
        <v>7.000000000000001E-4</v>
      </c>
      <c r="Q21" s="2899"/>
      <c r="R21" s="2021">
        <f>ROUND(IF(项目基本情况!$B$8="出让",SUMPRODUCT(PRODUCT(1+K21:$K$24)),SUMPRODUCT(PRODUCT(1+K21:$K$23))),4)</f>
        <v>1.0244</v>
      </c>
      <c r="S21" s="2021">
        <f>ROUND(IF(项目基本情况!$B$8="出让",SUMPRODUCT(PRODUCT(1+L21:$L$24)),SUMPRODUCT(PRODUCT(1+L21:$L$23))),4)</f>
        <v>1.0138</v>
      </c>
      <c r="T21" s="2021">
        <f>ROUND(IF(项目基本情况!$B$8="出让",SUMPRODUCT(PRODUCT(1+M21:$M$24)),SUMPRODUCT(PRODUCT(1+M21:$M$23))),4)</f>
        <v>1.0072000000000001</v>
      </c>
      <c r="U21" s="2021">
        <f>ROUND(IF(项目基本情况!$B$8="出让",SUMPRODUCT(PRODUCT(1+N21:$N$24)),SUMPRODUCT(PRODUCT(1+N21:$N$23))),4)</f>
        <v>1.0262</v>
      </c>
      <c r="V21" s="2021">
        <f>ROUND(IF(项目基本情况!$B$8="出让",SUMPRODUCT(PRODUCT(1+O21:$O$24)),SUMPRODUCT(PRODUCT(1+O21:$O$23))),4)</f>
        <v>1.0205</v>
      </c>
      <c r="W21" s="2021">
        <f t="shared" si="107"/>
        <v>1.0072000000000001</v>
      </c>
      <c r="X21" s="2899"/>
      <c r="Y21" s="2022">
        <f>IF(D21=0,0,ROUND(AVERAGE(D21:D24)/100,4))</f>
        <v>8.5000000000000006E-3</v>
      </c>
      <c r="Z21" s="2022">
        <f t="shared" ref="Z21:AC21" si="113">IF(E21=0,0,ROUND(AVERAGE(E21:E24)/100,4))</f>
        <v>3.8E-3</v>
      </c>
      <c r="AA21" s="2022">
        <f t="shared" si="113"/>
        <v>1.1999999999999999E-3</v>
      </c>
      <c r="AB21" s="2022">
        <f t="shared" si="113"/>
        <v>9.2999999999999992E-3</v>
      </c>
      <c r="AC21" s="2022">
        <f t="shared" si="113"/>
        <v>6.0000000000000001E-3</v>
      </c>
      <c r="AD21" s="2022">
        <f t="shared" si="90"/>
        <v>1.1999999999999999E-3</v>
      </c>
      <c r="AF21" s="3144">
        <f t="shared" si="30"/>
        <v>102.44</v>
      </c>
      <c r="AG21" s="3144">
        <f t="shared" si="31"/>
        <v>101.38000000000001</v>
      </c>
      <c r="AH21" s="3144">
        <f t="shared" si="32"/>
        <v>100.72000000000001</v>
      </c>
      <c r="AI21" s="3144">
        <f t="shared" si="33"/>
        <v>102.62</v>
      </c>
      <c r="AJ21" s="3144">
        <f t="shared" si="34"/>
        <v>102.05</v>
      </c>
      <c r="AK21" s="3144">
        <f t="shared" si="35"/>
        <v>100.72000000000001</v>
      </c>
      <c r="AM21" s="3144">
        <f t="shared" si="48"/>
        <v>96.847411421198089</v>
      </c>
      <c r="AN21" s="3144">
        <f t="shared" si="49"/>
        <v>98.664315057872386</v>
      </c>
      <c r="AO21" s="3144">
        <f t="shared" si="50"/>
        <v>102.68229018787579</v>
      </c>
      <c r="AP21" s="3144">
        <f t="shared" si="51"/>
        <v>96.008649666898478</v>
      </c>
      <c r="AQ21" s="3144">
        <f t="shared" si="52"/>
        <v>93.70798492822054</v>
      </c>
      <c r="AR21" s="3144">
        <f t="shared" si="53"/>
        <v>102.68229018787579</v>
      </c>
    </row>
    <row r="22" spans="1:44" s="2039" customFormat="1" ht="12.75">
      <c r="A22" s="2898" t="s">
        <v>2818</v>
      </c>
      <c r="B22" s="2025">
        <v>2021</v>
      </c>
      <c r="C22" s="2036">
        <v>3</v>
      </c>
      <c r="D22" s="2001">
        <v>0.47</v>
      </c>
      <c r="E22" s="2001">
        <v>0.41</v>
      </c>
      <c r="F22" s="2001">
        <v>0.24</v>
      </c>
      <c r="G22" s="2001">
        <v>0.48</v>
      </c>
      <c r="H22" s="2910">
        <v>0.48</v>
      </c>
      <c r="I22" s="2002">
        <f t="shared" si="87"/>
        <v>0.24</v>
      </c>
      <c r="J22" s="2899"/>
      <c r="K22" s="2037">
        <f t="shared" si="88"/>
        <v>4.6999999999999993E-3</v>
      </c>
      <c r="L22" s="2022">
        <f t="shared" si="88"/>
        <v>4.0999999999999995E-3</v>
      </c>
      <c r="M22" s="2022">
        <f t="shared" si="88"/>
        <v>2.3999999999999998E-3</v>
      </c>
      <c r="N22" s="2022">
        <f t="shared" si="88"/>
        <v>4.7999999999999996E-3</v>
      </c>
      <c r="O22" s="2022">
        <f t="shared" si="88"/>
        <v>4.7999999999999996E-3</v>
      </c>
      <c r="P22" s="2022">
        <f t="shared" si="108"/>
        <v>2.3999999999999998E-3</v>
      </c>
      <c r="Q22" s="2899"/>
      <c r="R22" s="2021">
        <f>ROUND(IF(项目基本情况!$B$8="出让",SUMPRODUCT(PRODUCT(1+K22:$K$24)),SUMPRODUCT(PRODUCT(1+K22:$K$23))),4)</f>
        <v>1.0139</v>
      </c>
      <c r="S22" s="2021">
        <f>ROUND(IF(项目基本情况!$B$8="出让",SUMPRODUCT(PRODUCT(1+L22:$L$24)),SUMPRODUCT(PRODUCT(1+L22:$L$23))),4)</f>
        <v>1.0113000000000001</v>
      </c>
      <c r="T22" s="2021">
        <f>ROUND(IF(项目基本情况!$B$8="出让",SUMPRODUCT(PRODUCT(1+M22:$M$24)),SUMPRODUCT(PRODUCT(1+M22:$M$23))),4)</f>
        <v>1.0065</v>
      </c>
      <c r="U22" s="2021">
        <f>ROUND(IF(项目基本情况!$B$8="出让",SUMPRODUCT(PRODUCT(1+N22:$N$24)),SUMPRODUCT(PRODUCT(1+N22:$N$23))),4)</f>
        <v>1.0143</v>
      </c>
      <c r="V22" s="2021">
        <f>ROUND(IF(项目基本情况!$B$8="出让",SUMPRODUCT(PRODUCT(1+O22:$O$24)),SUMPRODUCT(PRODUCT(1+O22:$O$23))),4)</f>
        <v>1.0148999999999999</v>
      </c>
      <c r="W22" s="2021">
        <f t="shared" si="107"/>
        <v>1.0065</v>
      </c>
      <c r="X22" s="2899"/>
      <c r="Y22" s="2022">
        <f>IF(D22=0,0,ROUND(AVERAGE(D22:D24)/100,4))</f>
        <v>7.9000000000000008E-3</v>
      </c>
      <c r="Z22" s="2022">
        <f>IF(E22=0,0,ROUND(AVERAGE(E22:E24)/100,4))</f>
        <v>4.3E-3</v>
      </c>
      <c r="AA22" s="2022">
        <f>IF(F22=0,0,ROUND(AVERAGE(F22:F24)/100,4))</f>
        <v>1.2999999999999999E-3</v>
      </c>
      <c r="AB22" s="2022">
        <f>IF(G22=0,0,ROUND(AVERAGE(G22:G24)/100,4))</f>
        <v>8.5000000000000006E-3</v>
      </c>
      <c r="AC22" s="2022">
        <f>IF(H22=0,0,ROUND(AVERAGE(H22:H24)/100,4))</f>
        <v>6.1999999999999998E-3</v>
      </c>
      <c r="AD22" s="2022">
        <f t="shared" si="90"/>
        <v>1.2999999999999999E-3</v>
      </c>
      <c r="AF22" s="3144">
        <f t="shared" si="30"/>
        <v>101.39</v>
      </c>
      <c r="AG22" s="3144">
        <f t="shared" si="31"/>
        <v>101.13000000000001</v>
      </c>
      <c r="AH22" s="3144">
        <f t="shared" si="32"/>
        <v>100.64999999999999</v>
      </c>
      <c r="AI22" s="3144">
        <f t="shared" si="33"/>
        <v>101.42999999999999</v>
      </c>
      <c r="AJ22" s="3144">
        <f t="shared" si="34"/>
        <v>101.49</v>
      </c>
      <c r="AK22" s="3144">
        <f t="shared" si="35"/>
        <v>100.64999999999999</v>
      </c>
      <c r="AM22" s="3144">
        <f t="shared" si="48"/>
        <v>95.860052876569426</v>
      </c>
      <c r="AN22" s="3144">
        <f t="shared" si="49"/>
        <v>98.428087647518353</v>
      </c>
      <c r="AO22" s="3144">
        <f t="shared" si="50"/>
        <v>102.61046286387109</v>
      </c>
      <c r="AP22" s="3144">
        <f t="shared" si="51"/>
        <v>94.898339099435077</v>
      </c>
      <c r="AQ22" s="3144">
        <f t="shared" si="52"/>
        <v>93.195410172273029</v>
      </c>
      <c r="AR22" s="3144">
        <f t="shared" si="53"/>
        <v>102.61046286387109</v>
      </c>
    </row>
    <row r="23" spans="1:44" s="2039" customFormat="1" ht="12.75">
      <c r="A23" s="2898" t="s">
        <v>2819</v>
      </c>
      <c r="B23" s="2025">
        <v>2021</v>
      </c>
      <c r="C23" s="2036">
        <v>2</v>
      </c>
      <c r="D23" s="2001">
        <v>0.92</v>
      </c>
      <c r="E23" s="2001">
        <v>0.72</v>
      </c>
      <c r="F23" s="2001">
        <v>0.41</v>
      </c>
      <c r="G23" s="2001">
        <v>0.95</v>
      </c>
      <c r="H23" s="2910">
        <v>1.01</v>
      </c>
      <c r="I23" s="2002">
        <f t="shared" si="87"/>
        <v>0.41</v>
      </c>
      <c r="J23" s="2899"/>
      <c r="K23" s="2037">
        <f t="shared" si="88"/>
        <v>9.1999999999999998E-3</v>
      </c>
      <c r="L23" s="2022">
        <f t="shared" si="88"/>
        <v>7.1999999999999998E-3</v>
      </c>
      <c r="M23" s="2022">
        <f t="shared" si="88"/>
        <v>4.0999999999999995E-3</v>
      </c>
      <c r="N23" s="2022">
        <f t="shared" si="88"/>
        <v>9.4999999999999998E-3</v>
      </c>
      <c r="O23" s="2022">
        <f t="shared" si="88"/>
        <v>1.01E-2</v>
      </c>
      <c r="P23" s="2022">
        <f t="shared" si="108"/>
        <v>4.0999999999999995E-3</v>
      </c>
      <c r="Q23" s="2899"/>
      <c r="R23" s="2021">
        <f>ROUND(IF(项目基本情况!$B$8="出让",SUMPRODUCT(PRODUCT(1+K23:$K$24)),SUMPRODUCT(PRODUCT(1+K23:$K$23))),4)</f>
        <v>1.0092000000000001</v>
      </c>
      <c r="S23" s="2021">
        <f>ROUND(IF(项目基本情况!$B$8="出让",SUMPRODUCT(PRODUCT(1+L23:$L$24)),SUMPRODUCT(PRODUCT(1+L23:$L$23))),4)</f>
        <v>1.0072000000000001</v>
      </c>
      <c r="T23" s="2021">
        <f>ROUND(IF(项目基本情况!$B$8="出让",SUMPRODUCT(PRODUCT(1+M23:$M$24)),SUMPRODUCT(PRODUCT(1+M23:$M$23))),4)</f>
        <v>1.0041</v>
      </c>
      <c r="U23" s="2021">
        <f>ROUND(IF(项目基本情况!$B$8="出让",SUMPRODUCT(PRODUCT(1+N23:$N$24)),SUMPRODUCT(PRODUCT(1+N23:$N$23))),4)</f>
        <v>1.0095000000000001</v>
      </c>
      <c r="V23" s="2021">
        <f>ROUND(IF(项目基本情况!$B$8="出让",SUMPRODUCT(PRODUCT(1+O23:$O$24)),SUMPRODUCT(PRODUCT(1+O23:$O$23))),4)</f>
        <v>1.0101</v>
      </c>
      <c r="W23" s="2021">
        <f t="shared" si="107"/>
        <v>1.0041</v>
      </c>
      <c r="X23" s="2899"/>
      <c r="Y23" s="2022">
        <f>IF(D23=0,0,ROUND(AVERAGE(D23:D24)/100,4))</f>
        <v>9.4999999999999998E-3</v>
      </c>
      <c r="Z23" s="2022">
        <f>IF(E23=0,0,ROUND(AVERAGE(E23:E24)/100,4))</f>
        <v>4.4000000000000003E-3</v>
      </c>
      <c r="AA23" s="2022">
        <f>IF(F23=0,0,ROUND(AVERAGE(F23:F24)/100,4))</f>
        <v>8.0000000000000004E-4</v>
      </c>
      <c r="AB23" s="2022">
        <f>IF(G23=0,0,ROUND(AVERAGE(G23:G24)/100,4))</f>
        <v>1.03E-2</v>
      </c>
      <c r="AC23" s="2022">
        <f>IF(H23=0,0,ROUND(AVERAGE(H23:H24)/100,4))</f>
        <v>6.8999999999999999E-3</v>
      </c>
      <c r="AD23" s="2022">
        <f t="shared" si="90"/>
        <v>8.0000000000000004E-4</v>
      </c>
      <c r="AF23" s="3144">
        <f t="shared" si="30"/>
        <v>100.92000000000002</v>
      </c>
      <c r="AG23" s="3144">
        <f t="shared" si="31"/>
        <v>100.72000000000001</v>
      </c>
      <c r="AH23" s="3144">
        <f t="shared" si="32"/>
        <v>100.41</v>
      </c>
      <c r="AI23" s="3144">
        <f t="shared" si="33"/>
        <v>100.95</v>
      </c>
      <c r="AJ23" s="3144">
        <f t="shared" si="34"/>
        <v>101.01</v>
      </c>
      <c r="AK23" s="3144">
        <f t="shared" si="35"/>
        <v>100.41</v>
      </c>
      <c r="AM23" s="3144">
        <f t="shared" si="48"/>
        <v>95.411618270697161</v>
      </c>
      <c r="AN23" s="3144">
        <f t="shared" si="49"/>
        <v>98.02618030825451</v>
      </c>
      <c r="AO23" s="3144">
        <f t="shared" si="50"/>
        <v>102.36478737417308</v>
      </c>
      <c r="AP23" s="3144">
        <f t="shared" si="51"/>
        <v>94.445003084628866</v>
      </c>
      <c r="AQ23" s="3144">
        <f t="shared" si="52"/>
        <v>92.750209168265357</v>
      </c>
      <c r="AR23" s="3144">
        <f t="shared" si="53"/>
        <v>102.36478737417308</v>
      </c>
    </row>
    <row r="24" spans="1:44" s="2921" customFormat="1" ht="14.25" thickBot="1">
      <c r="A24" s="2911" t="s">
        <v>2820</v>
      </c>
      <c r="B24" s="2912">
        <v>2021</v>
      </c>
      <c r="C24" s="2913">
        <v>1</v>
      </c>
      <c r="D24" s="2914">
        <v>0.97</v>
      </c>
      <c r="E24" s="2914">
        <v>0.16</v>
      </c>
      <c r="F24" s="2914">
        <v>-0.25</v>
      </c>
      <c r="G24" s="2914">
        <v>1.1100000000000001</v>
      </c>
      <c r="H24" s="2915">
        <v>0.36</v>
      </c>
      <c r="I24" s="2916">
        <f t="shared" si="87"/>
        <v>-0.25</v>
      </c>
      <c r="J24" s="2917"/>
      <c r="K24" s="2918">
        <f t="shared" si="88"/>
        <v>9.7000000000000003E-3</v>
      </c>
      <c r="L24" s="2919">
        <f t="shared" si="88"/>
        <v>1.6000000000000001E-3</v>
      </c>
      <c r="M24" s="2919">
        <f>F24/100</f>
        <v>-2.5000000000000001E-3</v>
      </c>
      <c r="N24" s="2919">
        <f t="shared" si="88"/>
        <v>1.11E-2</v>
      </c>
      <c r="O24" s="2919">
        <f t="shared" si="88"/>
        <v>3.5999999999999999E-3</v>
      </c>
      <c r="P24" s="2919">
        <f t="shared" si="108"/>
        <v>-2.5000000000000001E-3</v>
      </c>
      <c r="Q24" s="2917"/>
      <c r="R24" s="2920">
        <v>1</v>
      </c>
      <c r="S24" s="2920">
        <v>1</v>
      </c>
      <c r="T24" s="2920">
        <v>1</v>
      </c>
      <c r="U24" s="2920">
        <v>1</v>
      </c>
      <c r="V24" s="2920">
        <v>1</v>
      </c>
      <c r="W24" s="2920">
        <f t="shared" ref="W24" si="114">T24</f>
        <v>1</v>
      </c>
      <c r="X24" s="2917"/>
      <c r="Y24" s="2919">
        <f>IF(D24=0,0,ROUND(AVERAGE(D24:D24)/100,4))</f>
        <v>9.7000000000000003E-3</v>
      </c>
      <c r="Z24" s="2919">
        <f>IF(E24=0,0,ROUND(AVERAGE(E24:E24)/100,4))</f>
        <v>1.6000000000000001E-3</v>
      </c>
      <c r="AA24" s="2919">
        <f>IF(F24=0,0,ROUND(AVERAGE(F24:F24)/100,4))</f>
        <v>-2.5000000000000001E-3</v>
      </c>
      <c r="AB24" s="2919">
        <f>IF(G24=0,0,ROUND(AVERAGE(G24:G24)/100,4))</f>
        <v>1.11E-2</v>
      </c>
      <c r="AC24" s="2919">
        <f>IF(H24=0,0,ROUND(AVERAGE(H24:H24)/100,4))</f>
        <v>3.5999999999999999E-3</v>
      </c>
      <c r="AD24" s="2919">
        <f>AA24</f>
        <v>-2.5000000000000001E-3</v>
      </c>
      <c r="AF24" s="3152">
        <v>100</v>
      </c>
      <c r="AG24" s="3152">
        <v>100</v>
      </c>
      <c r="AH24" s="3152">
        <v>100</v>
      </c>
      <c r="AI24" s="3152">
        <v>100</v>
      </c>
      <c r="AJ24" s="3152">
        <v>100</v>
      </c>
      <c r="AK24" s="3152">
        <v>100</v>
      </c>
      <c r="AM24" s="3151">
        <f t="shared" si="48"/>
        <v>94.541833403386008</v>
      </c>
      <c r="AN24" s="3151">
        <f t="shared" si="49"/>
        <v>97.325437160697476</v>
      </c>
      <c r="AO24" s="3151">
        <f t="shared" si="50"/>
        <v>101.94680547173894</v>
      </c>
      <c r="AP24" s="3151">
        <f t="shared" si="51"/>
        <v>93.556219004090011</v>
      </c>
      <c r="AQ24" s="3151">
        <f t="shared" si="52"/>
        <v>91.82279889938161</v>
      </c>
      <c r="AR24" s="3151">
        <f t="shared" si="53"/>
        <v>101.94680547173894</v>
      </c>
    </row>
    <row r="25" spans="1:44" ht="14.25" thickTop="1"/>
    <row r="26" spans="1:44">
      <c r="A26" s="3134" t="s">
        <v>3376</v>
      </c>
    </row>
    <row r="27" spans="1:44">
      <c r="I27" s="1401" t="s">
        <v>2821</v>
      </c>
    </row>
    <row r="29" spans="1:44" s="2003" customFormat="1" ht="12.75">
      <c r="B29" s="2922" t="s">
        <v>3374</v>
      </c>
      <c r="C29" s="2923"/>
      <c r="D29" s="2923"/>
      <c r="E29" s="2923"/>
      <c r="F29" s="2923"/>
      <c r="G29" s="2923"/>
      <c r="H29" s="2923"/>
      <c r="I29" s="2923"/>
      <c r="J29" s="2889"/>
      <c r="K29" s="2923" t="s">
        <v>2822</v>
      </c>
      <c r="L29" s="2923"/>
      <c r="M29" s="2923"/>
      <c r="N29" s="2923"/>
      <c r="O29" s="2923"/>
      <c r="P29" s="2923"/>
      <c r="Q29" s="2889"/>
      <c r="R29" s="3488" t="s">
        <v>2823</v>
      </c>
      <c r="S29" s="3489"/>
      <c r="T29" s="3489"/>
      <c r="U29" s="3489"/>
      <c r="V29" s="3489"/>
      <c r="W29" s="3489"/>
      <c r="X29" s="2889"/>
      <c r="Y29" s="3488" t="s">
        <v>2824</v>
      </c>
      <c r="Z29" s="3489"/>
      <c r="AA29" s="3489"/>
      <c r="AB29" s="3489"/>
      <c r="AC29" s="3489"/>
      <c r="AD29" s="3489"/>
    </row>
    <row r="30" spans="1:44" s="2004" customFormat="1" ht="14.25" thickBot="1">
      <c r="B30" s="2874"/>
      <c r="C30" s="2875"/>
      <c r="D30" s="2005" t="s">
        <v>2825</v>
      </c>
      <c r="E30" s="2006" t="s">
        <v>2826</v>
      </c>
      <c r="F30" s="2006" t="s">
        <v>2827</v>
      </c>
      <c r="G30" s="2006" t="s">
        <v>2828</v>
      </c>
      <c r="H30" s="2006"/>
      <c r="I30" s="2006" t="s">
        <v>2829</v>
      </c>
      <c r="J30" s="2876"/>
      <c r="K30" s="2005" t="s">
        <v>2825</v>
      </c>
      <c r="L30" s="2006" t="s">
        <v>2826</v>
      </c>
      <c r="M30" s="2006" t="s">
        <v>2827</v>
      </c>
      <c r="N30" s="2006" t="s">
        <v>2828</v>
      </c>
      <c r="O30" s="2006"/>
      <c r="P30" s="2006" t="s">
        <v>2829</v>
      </c>
      <c r="Q30" s="2876"/>
      <c r="R30" s="2005" t="s">
        <v>2825</v>
      </c>
      <c r="S30" s="2006" t="s">
        <v>2826</v>
      </c>
      <c r="T30" s="2006" t="s">
        <v>2827</v>
      </c>
      <c r="U30" s="2006" t="s">
        <v>2828</v>
      </c>
      <c r="V30" s="2006"/>
      <c r="W30" s="2006" t="s">
        <v>2829</v>
      </c>
      <c r="X30" s="2876"/>
      <c r="Y30" s="2005" t="s">
        <v>2825</v>
      </c>
      <c r="Z30" s="2006" t="s">
        <v>2826</v>
      </c>
      <c r="AA30" s="2006" t="s">
        <v>2827</v>
      </c>
      <c r="AB30" s="2006" t="s">
        <v>2828</v>
      </c>
      <c r="AC30" s="2006"/>
      <c r="AD30" s="2006" t="s">
        <v>2829</v>
      </c>
      <c r="AG30" t="s">
        <v>673</v>
      </c>
      <c r="AH30" t="s">
        <v>21</v>
      </c>
      <c r="AI30" t="s">
        <v>3401</v>
      </c>
      <c r="AJ30"/>
      <c r="AK30" t="s">
        <v>3402</v>
      </c>
      <c r="AN30" t="s">
        <v>673</v>
      </c>
      <c r="AO30" t="s">
        <v>21</v>
      </c>
      <c r="AP30" t="s">
        <v>3401</v>
      </c>
      <c r="AQ30"/>
      <c r="AR30" t="s">
        <v>3402</v>
      </c>
    </row>
    <row r="31" spans="1:44" s="2879" customFormat="1" ht="12.75">
      <c r="A31" s="2877" t="s">
        <v>2830</v>
      </c>
      <c r="B31" s="2878"/>
      <c r="E31" s="2879">
        <f t="shared" ref="E31:G31" si="115">ROUND(AVERAGEIF(E32:E52,"&lt;&gt;0"),2)</f>
        <v>0.09</v>
      </c>
      <c r="F31" s="2879">
        <f t="shared" si="115"/>
        <v>0.01</v>
      </c>
      <c r="G31" s="2879">
        <f t="shared" si="115"/>
        <v>0.24</v>
      </c>
      <c r="I31" s="2879">
        <f>F31</f>
        <v>0.01</v>
      </c>
      <c r="J31" s="2880"/>
      <c r="K31" s="2881"/>
      <c r="L31" s="2882">
        <f t="shared" ref="L31:N31" si="116">ROUND(AVERAGEIF(L32:L52,"&lt;&gt;0"),4)</f>
        <v>8.9999999999999998E-4</v>
      </c>
      <c r="M31" s="2882">
        <f t="shared" si="116"/>
        <v>1E-4</v>
      </c>
      <c r="N31" s="2882">
        <f t="shared" si="116"/>
        <v>2.3999999999999998E-3</v>
      </c>
      <c r="O31" s="2882"/>
      <c r="P31" s="2882">
        <f>M31</f>
        <v>1E-4</v>
      </c>
      <c r="Q31" s="2880"/>
      <c r="R31" s="2883"/>
      <c r="S31" s="2884">
        <f>ROUND(SUMPRODUCT(PRODUCT(1+L32:L52)),4)</f>
        <v>1.0153000000000001</v>
      </c>
      <c r="T31" s="2884">
        <f t="shared" ref="T31:U31" si="117">ROUND(SUMPRODUCT(PRODUCT(1+M32:M52)),4)</f>
        <v>1.0016</v>
      </c>
      <c r="U31" s="2884">
        <f t="shared" si="117"/>
        <v>1.044</v>
      </c>
      <c r="V31" s="2884"/>
      <c r="W31" s="2883">
        <f>T31</f>
        <v>1.0016</v>
      </c>
      <c r="X31" s="2880"/>
      <c r="Y31" s="2885"/>
      <c r="Z31" s="2886">
        <f t="shared" ref="Z31:AB31" si="118">ROUND(AVERAGEIF(Z32:Z52,"&lt;&gt;0"),4)</f>
        <v>3.3E-3</v>
      </c>
      <c r="AA31" s="2887">
        <f t="shared" si="118"/>
        <v>3.8999999999999998E-3</v>
      </c>
      <c r="AB31" s="2885">
        <f t="shared" si="118"/>
        <v>6.4999999999999997E-3</v>
      </c>
      <c r="AC31" s="2888"/>
      <c r="AD31" s="2885">
        <f>AA31</f>
        <v>3.8999999999999998E-3</v>
      </c>
    </row>
    <row r="32" spans="1:44" s="2003" customFormat="1" ht="12.75">
      <c r="B32" s="2019"/>
      <c r="J32" s="2889"/>
      <c r="K32" s="2890"/>
      <c r="L32" s="2891"/>
      <c r="M32" s="2891"/>
      <c r="N32" s="2891"/>
      <c r="O32" s="2891"/>
      <c r="P32" s="2891"/>
      <c r="Q32" s="2889"/>
      <c r="R32" s="2021"/>
      <c r="S32" s="2892"/>
      <c r="T32" s="2893"/>
      <c r="U32" s="2021"/>
      <c r="V32" s="2894"/>
      <c r="W32" s="2021"/>
      <c r="X32" s="2889"/>
      <c r="Y32" s="2022"/>
      <c r="Z32" s="2895"/>
      <c r="AA32" s="2896"/>
      <c r="AB32" s="2022"/>
      <c r="AC32" s="2897"/>
      <c r="AD32" s="2022"/>
    </row>
    <row r="33" spans="1:44" s="2039" customFormat="1">
      <c r="A33" s="2034" t="s">
        <v>3399</v>
      </c>
      <c r="B33" s="2025">
        <v>2025</v>
      </c>
      <c r="C33" s="2036">
        <v>4</v>
      </c>
      <c r="D33" s="2001"/>
      <c r="E33" s="2001">
        <v>0</v>
      </c>
      <c r="F33" s="2001">
        <v>0</v>
      </c>
      <c r="G33" s="2001">
        <v>0</v>
      </c>
      <c r="H33" s="2001"/>
      <c r="I33" s="2002">
        <f t="shared" ref="I33" si="119">F33</f>
        <v>0</v>
      </c>
      <c r="J33" s="2899"/>
      <c r="K33" s="2037"/>
      <c r="L33" s="2022">
        <f t="shared" ref="L33" si="120">E33/100</f>
        <v>0</v>
      </c>
      <c r="M33" s="2022">
        <f t="shared" ref="M33" si="121">F33/100</f>
        <v>0</v>
      </c>
      <c r="N33" s="2022">
        <f t="shared" ref="N33" si="122">G33/100</f>
        <v>0</v>
      </c>
      <c r="O33" s="2022"/>
      <c r="P33" s="2022">
        <f t="shared" ref="P33:P39" si="123">M33</f>
        <v>0</v>
      </c>
      <c r="Q33" s="2899"/>
      <c r="R33" s="2021"/>
      <c r="S33" s="2021">
        <f>ROUND(IF(项目基本情况!$B$8="出让",SUMPRODUCT(PRODUCT(1+L33:L$52)),SUMPRODUCT(PRODUCT(1+L33:L$51))),4)</f>
        <v>1.0118</v>
      </c>
      <c r="T33" s="2021">
        <f>ROUND(IF(项目基本情况!$B$8="出让",SUMPRODUCT(PRODUCT(1+M33:M$52)),SUMPRODUCT(PRODUCT(1+M33:M$51))),4)</f>
        <v>0.99680000000000002</v>
      </c>
      <c r="U33" s="2021">
        <f>ROUND(IF(项目基本情况!$B$8="出让",SUMPRODUCT(PRODUCT(1+N33:N$52)),SUMPRODUCT(PRODUCT(1+N33:N$51))),4)</f>
        <v>1.0338000000000001</v>
      </c>
      <c r="V33" s="2021"/>
      <c r="W33" s="2021">
        <f t="shared" ref="W33:W39" si="124">T33</f>
        <v>0.99680000000000002</v>
      </c>
      <c r="X33" s="2899"/>
      <c r="Y33" s="2022"/>
      <c r="Z33" s="2895">
        <f t="shared" ref="Z33" si="125">IF(E33=0,0,ROUND(AVERAGE(E33:E46)/100,4))</f>
        <v>0</v>
      </c>
      <c r="AA33" s="2895">
        <f t="shared" ref="AA33" si="126">IF(F33=0,0,ROUND(AVERAGE(F33:F46)/100,4))</f>
        <v>0</v>
      </c>
      <c r="AB33" s="2895">
        <f t="shared" ref="AB33" si="127">IF(G33=0,0,ROUND(AVERAGE(G33:G46)/100,4))</f>
        <v>0</v>
      </c>
      <c r="AC33" s="2897"/>
      <c r="AD33" s="2022">
        <f t="shared" ref="AD33:AD39" si="128">IF(I33=0,0,ROUND(AVERAGE(I33:I46)/100,4))</f>
        <v>0</v>
      </c>
      <c r="AG33" s="3144">
        <f t="shared" ref="AG33:AG50" si="129">$AG$52*S33</f>
        <v>101.18</v>
      </c>
      <c r="AH33" s="3144">
        <f t="shared" ref="AH33:AH50" si="130">$AG$52*T33</f>
        <v>99.68</v>
      </c>
      <c r="AI33" s="3144">
        <f t="shared" ref="AI33:AI50" si="131">$AG$52*U33</f>
        <v>103.38000000000001</v>
      </c>
      <c r="AJ33" s="3146"/>
      <c r="AK33" s="3144">
        <f t="shared" ref="AK33:AK50" si="132">$AG$52*W33</f>
        <v>99.68</v>
      </c>
      <c r="AN33" s="3149">
        <v>100</v>
      </c>
      <c r="AO33" s="3149">
        <v>100</v>
      </c>
      <c r="AP33" s="3149">
        <v>100</v>
      </c>
      <c r="AQ33" s="3149"/>
      <c r="AR33" s="3149">
        <v>100</v>
      </c>
    </row>
    <row r="34" spans="1:44" s="2039" customFormat="1" ht="12.75">
      <c r="A34" s="2034" t="s">
        <v>3398</v>
      </c>
      <c r="B34" s="2025">
        <v>2025</v>
      </c>
      <c r="C34" s="2036">
        <v>3</v>
      </c>
      <c r="D34" s="2001"/>
      <c r="E34" s="2001">
        <v>0</v>
      </c>
      <c r="F34" s="2001">
        <v>0</v>
      </c>
      <c r="G34" s="2001">
        <v>0</v>
      </c>
      <c r="H34" s="2001"/>
      <c r="I34" s="2002">
        <f t="shared" ref="I34" si="133">F34</f>
        <v>0</v>
      </c>
      <c r="J34" s="2899"/>
      <c r="K34" s="2037"/>
      <c r="L34" s="2022">
        <f t="shared" ref="L34" si="134">E34/100</f>
        <v>0</v>
      </c>
      <c r="M34" s="2022">
        <f t="shared" ref="M34" si="135">F34/100</f>
        <v>0</v>
      </c>
      <c r="N34" s="2022">
        <f t="shared" ref="N34" si="136">G34/100</f>
        <v>0</v>
      </c>
      <c r="O34" s="2022"/>
      <c r="P34" s="2022">
        <f t="shared" si="123"/>
        <v>0</v>
      </c>
      <c r="Q34" s="2899"/>
      <c r="R34" s="2021"/>
      <c r="S34" s="2021">
        <f>ROUND(IF(项目基本情况!$B$8="出让",SUMPRODUCT(PRODUCT(1+L34:L$52)),SUMPRODUCT(PRODUCT(1+L34:L$51))),4)</f>
        <v>1.0118</v>
      </c>
      <c r="T34" s="2021">
        <f>ROUND(IF(项目基本情况!$B$8="出让",SUMPRODUCT(PRODUCT(1+M34:M$52)),SUMPRODUCT(PRODUCT(1+M34:M$51))),4)</f>
        <v>0.99680000000000002</v>
      </c>
      <c r="U34" s="2021">
        <f>ROUND(IF(项目基本情况!$B$8="出让",SUMPRODUCT(PRODUCT(1+N34:N$52)),SUMPRODUCT(PRODUCT(1+N34:N$51))),4)</f>
        <v>1.0338000000000001</v>
      </c>
      <c r="V34" s="2021"/>
      <c r="W34" s="2021">
        <f t="shared" si="124"/>
        <v>0.99680000000000002</v>
      </c>
      <c r="X34" s="2899"/>
      <c r="Y34" s="2022"/>
      <c r="Z34" s="2895">
        <f t="shared" ref="Z34" si="137">IF(E34=0,0,ROUND(AVERAGE(E34:E47)/100,4))</f>
        <v>0</v>
      </c>
      <c r="AA34" s="2895">
        <f t="shared" ref="AA34" si="138">IF(F34=0,0,ROUND(AVERAGE(F34:F47)/100,4))</f>
        <v>0</v>
      </c>
      <c r="AB34" s="2895">
        <f t="shared" ref="AB34" si="139">IF(G34=0,0,ROUND(AVERAGE(G34:G47)/100,4))</f>
        <v>0</v>
      </c>
      <c r="AC34" s="2897"/>
      <c r="AD34" s="2022">
        <f t="shared" si="128"/>
        <v>0</v>
      </c>
      <c r="AG34" s="3144">
        <f t="shared" si="129"/>
        <v>101.18</v>
      </c>
      <c r="AH34" s="3144">
        <f t="shared" si="130"/>
        <v>99.68</v>
      </c>
      <c r="AI34" s="3144">
        <f t="shared" si="131"/>
        <v>103.38000000000001</v>
      </c>
      <c r="AJ34" s="3146"/>
      <c r="AK34" s="3144">
        <f t="shared" si="132"/>
        <v>99.68</v>
      </c>
      <c r="AN34" s="3144">
        <f>AN33/(1+E33/100)</f>
        <v>100</v>
      </c>
      <c r="AO34" s="3144">
        <f t="shared" ref="AO34:AR34" si="140">AO33/(1+F33/100)</f>
        <v>100</v>
      </c>
      <c r="AP34" s="3144">
        <f t="shared" si="140"/>
        <v>100</v>
      </c>
      <c r="AQ34" s="3144"/>
      <c r="AR34" s="3144">
        <f t="shared" si="140"/>
        <v>100</v>
      </c>
    </row>
    <row r="35" spans="1:44" s="2909" customFormat="1" ht="12.75">
      <c r="A35" s="2900" t="s">
        <v>3406</v>
      </c>
      <c r="B35" s="2901">
        <v>2025</v>
      </c>
      <c r="C35" s="2902">
        <v>2</v>
      </c>
      <c r="D35" s="2903"/>
      <c r="E35" s="2903">
        <v>-0.31</v>
      </c>
      <c r="F35" s="2903">
        <v>-1.03</v>
      </c>
      <c r="G35" s="2903">
        <v>0.03</v>
      </c>
      <c r="H35" s="2904"/>
      <c r="I35" s="2905">
        <f t="shared" ref="I35" si="141">F35</f>
        <v>-1.03</v>
      </c>
      <c r="J35" s="2906"/>
      <c r="K35" s="2907"/>
      <c r="L35" s="2908">
        <f t="shared" ref="L35" si="142">E35/100</f>
        <v>-3.0999999999999999E-3</v>
      </c>
      <c r="M35" s="2908">
        <f t="shared" ref="M35" si="143">F35/100</f>
        <v>-1.03E-2</v>
      </c>
      <c r="N35" s="2908">
        <f t="shared" ref="N35" si="144">G35/100</f>
        <v>2.9999999999999997E-4</v>
      </c>
      <c r="O35" s="2908"/>
      <c r="P35" s="2908">
        <f t="shared" si="123"/>
        <v>-1.03E-2</v>
      </c>
      <c r="Q35" s="2906"/>
      <c r="R35" s="2906"/>
      <c r="S35" s="2906">
        <f>ROUND(IF(项目基本情况!$B$8="出让",SUMPRODUCT(PRODUCT(1+L35:L$52)),SUMPRODUCT(PRODUCT(1+L35:L$51))),4)</f>
        <v>1.0118</v>
      </c>
      <c r="T35" s="2906">
        <f>ROUND(IF(项目基本情况!$B$8="出让",SUMPRODUCT(PRODUCT(1+M35:M$52)),SUMPRODUCT(PRODUCT(1+M35:M$51))),4)</f>
        <v>0.99680000000000002</v>
      </c>
      <c r="U35" s="2906">
        <f>ROUND(IF(项目基本情况!$B$8="出让",SUMPRODUCT(PRODUCT(1+N35:N$52)),SUMPRODUCT(PRODUCT(1+N35:N$51))),4)</f>
        <v>1.0338000000000001</v>
      </c>
      <c r="V35" s="2906"/>
      <c r="W35" s="2906">
        <f t="shared" si="124"/>
        <v>0.99680000000000002</v>
      </c>
      <c r="X35" s="2906"/>
      <c r="Y35" s="2908"/>
      <c r="Z35" s="2924">
        <f t="shared" ref="Z35" si="145">IF(E35=0,0,ROUND(AVERAGE(E35:E48)/100,4))</f>
        <v>-2.9999999999999997E-4</v>
      </c>
      <c r="AA35" s="2925">
        <f t="shared" ref="AA35" si="146">IF(F35=0,0,ROUND(AVERAGE(F35:F48)/100,4))</f>
        <v>-8.0000000000000004E-4</v>
      </c>
      <c r="AB35" s="2908">
        <f t="shared" ref="AB35" si="147">IF(G35=0,0,ROUND(AVERAGE(G35:G48)/100,4))</f>
        <v>5.0000000000000001E-4</v>
      </c>
      <c r="AC35" s="2926"/>
      <c r="AD35" s="2908">
        <f t="shared" si="128"/>
        <v>-8.0000000000000004E-4</v>
      </c>
      <c r="AG35" s="3145">
        <f t="shared" si="129"/>
        <v>101.18</v>
      </c>
      <c r="AH35" s="3145">
        <f t="shared" si="130"/>
        <v>99.68</v>
      </c>
      <c r="AI35" s="3145">
        <f t="shared" si="131"/>
        <v>103.38000000000001</v>
      </c>
      <c r="AJ35" s="3147"/>
      <c r="AK35" s="3145">
        <f t="shared" si="132"/>
        <v>99.68</v>
      </c>
      <c r="AN35" s="3145">
        <f t="shared" ref="AN35:AN52" si="148">AN34/(1+E34/100)</f>
        <v>100</v>
      </c>
      <c r="AO35" s="3145">
        <f t="shared" ref="AO35" si="149">AO34/(1+F34/100)</f>
        <v>100</v>
      </c>
      <c r="AP35" s="3145">
        <f t="shared" ref="AP35" si="150">AP34/(1+G34/100)</f>
        <v>100</v>
      </c>
      <c r="AQ35" s="3145"/>
      <c r="AR35" s="3145">
        <f t="shared" ref="AR35" si="151">AR34/(1+I34/100)</f>
        <v>100</v>
      </c>
    </row>
    <row r="36" spans="1:44" s="2039" customFormat="1" ht="12.75">
      <c r="A36" s="2034" t="s">
        <v>3403</v>
      </c>
      <c r="B36" s="2025">
        <v>2025</v>
      </c>
      <c r="C36" s="2036">
        <v>1</v>
      </c>
      <c r="D36" s="2001"/>
      <c r="E36" s="2001">
        <v>-1.47</v>
      </c>
      <c r="F36" s="2001">
        <v>-0.98</v>
      </c>
      <c r="G36" s="2001">
        <v>-0.51</v>
      </c>
      <c r="H36" s="2001"/>
      <c r="I36" s="2002">
        <f t="shared" ref="I36" si="152">F36</f>
        <v>-0.98</v>
      </c>
      <c r="J36" s="2899"/>
      <c r="K36" s="2037"/>
      <c r="L36" s="2022">
        <f t="shared" ref="L36" si="153">E36/100</f>
        <v>-1.47E-2</v>
      </c>
      <c r="M36" s="2022">
        <f t="shared" ref="M36" si="154">F36/100</f>
        <v>-9.7999999999999997E-3</v>
      </c>
      <c r="N36" s="2022">
        <f t="shared" ref="N36" si="155">G36/100</f>
        <v>-5.1000000000000004E-3</v>
      </c>
      <c r="O36" s="2022"/>
      <c r="P36" s="2022">
        <f t="shared" si="123"/>
        <v>-9.7999999999999997E-3</v>
      </c>
      <c r="Q36" s="2899"/>
      <c r="R36" s="2021"/>
      <c r="S36" s="2021">
        <f>ROUND(IF(项目基本情况!$B$8="出让",SUMPRODUCT(PRODUCT(1+L36:L$52)),SUMPRODUCT(PRODUCT(1+L36:L$51))),4)</f>
        <v>1.0148999999999999</v>
      </c>
      <c r="T36" s="2021">
        <f>ROUND(IF(项目基本情况!$B$8="出让",SUMPRODUCT(PRODUCT(1+M36:M$52)),SUMPRODUCT(PRODUCT(1+M36:M$51))),4)</f>
        <v>1.0072000000000001</v>
      </c>
      <c r="U36" s="2021">
        <f>ROUND(IF(项目基本情况!$B$8="出让",SUMPRODUCT(PRODUCT(1+N36:N$52)),SUMPRODUCT(PRODUCT(1+N36:N$51))),4)</f>
        <v>1.0335000000000001</v>
      </c>
      <c r="V36" s="2021"/>
      <c r="W36" s="2021">
        <f t="shared" si="124"/>
        <v>1.0072000000000001</v>
      </c>
      <c r="X36" s="2899"/>
      <c r="Y36" s="2022"/>
      <c r="Z36" s="2895">
        <f t="shared" ref="Z36" si="156">IF(E36=0,0,ROUND(AVERAGE(E36:E49)/100,4))</f>
        <v>4.0000000000000002E-4</v>
      </c>
      <c r="AA36" s="2895">
        <f t="shared" ref="AA36" si="157">IF(F36=0,0,ROUND(AVERAGE(F36:F49)/100,4))</f>
        <v>0</v>
      </c>
      <c r="AB36" s="2895">
        <f t="shared" ref="AB36" si="158">IF(G36=0,0,ROUND(AVERAGE(G36:G49)/100,4))</f>
        <v>1E-3</v>
      </c>
      <c r="AC36" s="2897"/>
      <c r="AD36" s="2022">
        <f t="shared" si="128"/>
        <v>0</v>
      </c>
      <c r="AG36" s="3144">
        <f t="shared" si="129"/>
        <v>101.49</v>
      </c>
      <c r="AH36" s="3144">
        <f t="shared" si="130"/>
        <v>100.72000000000001</v>
      </c>
      <c r="AI36" s="3144">
        <f t="shared" si="131"/>
        <v>103.35000000000001</v>
      </c>
      <c r="AJ36" s="3146"/>
      <c r="AK36" s="3144">
        <f t="shared" si="132"/>
        <v>100.72000000000001</v>
      </c>
      <c r="AN36" s="3144">
        <f t="shared" si="148"/>
        <v>100.31096398836392</v>
      </c>
      <c r="AO36" s="3144">
        <f t="shared" ref="AO36:AO52" si="159">AO35/(1+F35/100)</f>
        <v>101.04071940992219</v>
      </c>
      <c r="AP36" s="3144">
        <f t="shared" ref="AP36:AP52" si="160">AP35/(1+G35/100)</f>
        <v>99.970008997300809</v>
      </c>
      <c r="AQ36" s="3144"/>
      <c r="AR36" s="3144">
        <f t="shared" ref="AR36:AR52" si="161">AR35/(1+I35/100)</f>
        <v>101.04071940992219</v>
      </c>
    </row>
    <row r="37" spans="1:44" s="2039" customFormat="1" ht="12.75">
      <c r="A37" s="2034" t="s">
        <v>3404</v>
      </c>
      <c r="B37" s="2025">
        <v>2024</v>
      </c>
      <c r="C37" s="2036">
        <v>4</v>
      </c>
      <c r="D37" s="2001"/>
      <c r="E37" s="2001">
        <v>-0.61</v>
      </c>
      <c r="F37" s="2001">
        <v>-0.71</v>
      </c>
      <c r="G37" s="2001">
        <v>-0.88</v>
      </c>
      <c r="H37" s="2001"/>
      <c r="I37" s="2002">
        <f t="shared" ref="I37" si="162">F37</f>
        <v>-0.71</v>
      </c>
      <c r="J37" s="2899"/>
      <c r="K37" s="2037"/>
      <c r="L37" s="2022">
        <f t="shared" ref="L37" si="163">E37/100</f>
        <v>-6.0999999999999995E-3</v>
      </c>
      <c r="M37" s="2022">
        <f t="shared" ref="M37" si="164">F37/100</f>
        <v>-7.0999999999999995E-3</v>
      </c>
      <c r="N37" s="2022">
        <f t="shared" ref="N37" si="165">G37/100</f>
        <v>-8.8000000000000005E-3</v>
      </c>
      <c r="O37" s="2022"/>
      <c r="P37" s="2022">
        <f t="shared" si="123"/>
        <v>-7.0999999999999995E-3</v>
      </c>
      <c r="Q37" s="2899"/>
      <c r="R37" s="2021"/>
      <c r="S37" s="2021">
        <f>ROUND(IF(项目基本情况!$B$8="出让",SUMPRODUCT(PRODUCT(1+L37:L$52)),SUMPRODUCT(PRODUCT(1+L37:L$51))),4)</f>
        <v>1.0301</v>
      </c>
      <c r="T37" s="2021">
        <f>ROUND(IF(项目基本情况!$B$8="出让",SUMPRODUCT(PRODUCT(1+M37:M$52)),SUMPRODUCT(PRODUCT(1+M37:M$51))),4)</f>
        <v>1.0170999999999999</v>
      </c>
      <c r="U37" s="2021">
        <f>ROUND(IF(项目基本情况!$B$8="出让",SUMPRODUCT(PRODUCT(1+N37:N$52)),SUMPRODUCT(PRODUCT(1+N37:N$51))),4)</f>
        <v>1.0387999999999999</v>
      </c>
      <c r="V37" s="2021"/>
      <c r="W37" s="2021">
        <f t="shared" si="124"/>
        <v>1.0170999999999999</v>
      </c>
      <c r="X37" s="2899"/>
      <c r="Y37" s="2022"/>
      <c r="Z37" s="2895">
        <f t="shared" ref="Z37" si="166">IF(E37=0,0,ROUND(AVERAGE(E37:E50)/100,4))</f>
        <v>1.6999999999999999E-3</v>
      </c>
      <c r="AA37" s="2895">
        <f t="shared" ref="AA37" si="167">IF(F37=0,0,ROUND(AVERAGE(F37:F50)/100,4))</f>
        <v>8.9999999999999998E-4</v>
      </c>
      <c r="AB37" s="2895">
        <f t="shared" ref="AB37" si="168">IF(G37=0,0,ROUND(AVERAGE(G37:G50)/100,4))</f>
        <v>2E-3</v>
      </c>
      <c r="AC37" s="2897"/>
      <c r="AD37" s="2022">
        <f t="shared" si="128"/>
        <v>8.9999999999999998E-4</v>
      </c>
      <c r="AG37" s="3144">
        <f t="shared" si="129"/>
        <v>103.01</v>
      </c>
      <c r="AH37" s="3144">
        <f t="shared" si="130"/>
        <v>101.71</v>
      </c>
      <c r="AI37" s="3144">
        <f t="shared" si="131"/>
        <v>103.88</v>
      </c>
      <c r="AJ37" s="3146"/>
      <c r="AK37" s="3144">
        <f t="shared" si="132"/>
        <v>101.71</v>
      </c>
      <c r="AN37" s="3144">
        <f t="shared" si="148"/>
        <v>101.80753474917682</v>
      </c>
      <c r="AO37" s="3144">
        <f t="shared" si="159"/>
        <v>102.04071845073943</v>
      </c>
      <c r="AP37" s="3144">
        <f t="shared" si="160"/>
        <v>100.48246959222114</v>
      </c>
      <c r="AQ37" s="3144"/>
      <c r="AR37" s="3144">
        <f t="shared" si="161"/>
        <v>102.04071845073943</v>
      </c>
    </row>
    <row r="38" spans="1:44" s="2039" customFormat="1" ht="12.75">
      <c r="A38" s="2034" t="s">
        <v>3368</v>
      </c>
      <c r="B38" s="2025">
        <v>2024</v>
      </c>
      <c r="C38" s="2036">
        <v>3</v>
      </c>
      <c r="D38" s="2001"/>
      <c r="E38" s="2001">
        <v>-0.66</v>
      </c>
      <c r="F38" s="2001">
        <v>-0.52</v>
      </c>
      <c r="G38" s="2001">
        <v>-2.87</v>
      </c>
      <c r="H38" s="2001"/>
      <c r="I38" s="2002">
        <f t="shared" ref="I38" si="169">F38</f>
        <v>-0.52</v>
      </c>
      <c r="J38" s="2899"/>
      <c r="K38" s="2037"/>
      <c r="L38" s="2022">
        <f t="shared" ref="L38" si="170">E38/100</f>
        <v>-6.6E-3</v>
      </c>
      <c r="M38" s="2022">
        <f t="shared" ref="M38" si="171">F38/100</f>
        <v>-5.1999999999999998E-3</v>
      </c>
      <c r="N38" s="2022">
        <f t="shared" ref="N38" si="172">G38/100</f>
        <v>-2.87E-2</v>
      </c>
      <c r="O38" s="2022"/>
      <c r="P38" s="2022">
        <f t="shared" si="123"/>
        <v>-5.1999999999999998E-3</v>
      </c>
      <c r="Q38" s="2899"/>
      <c r="R38" s="2021"/>
      <c r="S38" s="2021">
        <f>ROUND(IF(项目基本情况!$B$8="出让",SUMPRODUCT(PRODUCT(1+L38:L$52)),SUMPRODUCT(PRODUCT(1+L38:L$51))),4)</f>
        <v>1.0364</v>
      </c>
      <c r="T38" s="2021">
        <f>ROUND(IF(项目基本情况!$B$8="出让",SUMPRODUCT(PRODUCT(1+M38:M$52)),SUMPRODUCT(PRODUCT(1+M38:M$51))),4)</f>
        <v>1.0244</v>
      </c>
      <c r="U38" s="2021">
        <f>ROUND(IF(项目基本情况!$B$8="出让",SUMPRODUCT(PRODUCT(1+N38:N$52)),SUMPRODUCT(PRODUCT(1+N38:N$51))),4)</f>
        <v>1.048</v>
      </c>
      <c r="V38" s="2021"/>
      <c r="W38" s="2021">
        <f t="shared" si="124"/>
        <v>1.0244</v>
      </c>
      <c r="X38" s="2899"/>
      <c r="Y38" s="2022"/>
      <c r="Z38" s="2895">
        <f t="shared" ref="Z38:AB39" si="173">IF(E38=0,0,ROUND(AVERAGE(E38:E51)/100,4))</f>
        <v>2.5999999999999999E-3</v>
      </c>
      <c r="AA38" s="2895">
        <f t="shared" si="173"/>
        <v>1.6999999999999999E-3</v>
      </c>
      <c r="AB38" s="2895">
        <f t="shared" si="173"/>
        <v>3.3999999999999998E-3</v>
      </c>
      <c r="AC38" s="2897"/>
      <c r="AD38" s="2022">
        <f t="shared" si="128"/>
        <v>1.6999999999999999E-3</v>
      </c>
      <c r="AG38" s="3144">
        <f t="shared" si="129"/>
        <v>103.64</v>
      </c>
      <c r="AH38" s="3144">
        <f t="shared" si="130"/>
        <v>102.44</v>
      </c>
      <c r="AI38" s="3144">
        <f t="shared" si="131"/>
        <v>104.80000000000001</v>
      </c>
      <c r="AJ38" s="3146"/>
      <c r="AK38" s="3144">
        <f t="shared" si="132"/>
        <v>102.44</v>
      </c>
      <c r="AN38" s="3144">
        <f t="shared" si="148"/>
        <v>102.4323722197171</v>
      </c>
      <c r="AO38" s="3144">
        <f t="shared" si="159"/>
        <v>102.7703882070092</v>
      </c>
      <c r="AP38" s="3144">
        <f t="shared" si="160"/>
        <v>101.37456577100599</v>
      </c>
      <c r="AQ38" s="3144"/>
      <c r="AR38" s="3144">
        <f t="shared" si="161"/>
        <v>102.7703882070092</v>
      </c>
    </row>
    <row r="39" spans="1:44" s="2039" customFormat="1" ht="12.75">
      <c r="A39" s="2898" t="s">
        <v>3372</v>
      </c>
      <c r="B39" s="2025">
        <v>2024</v>
      </c>
      <c r="C39" s="2036">
        <v>2</v>
      </c>
      <c r="D39" s="2001"/>
      <c r="E39" s="2001">
        <v>-0.31</v>
      </c>
      <c r="F39" s="2001">
        <v>-0.39</v>
      </c>
      <c r="G39" s="2001">
        <v>1.23</v>
      </c>
      <c r="H39" s="2910"/>
      <c r="I39" s="2002">
        <f t="shared" ref="I39:I52" si="174">F39</f>
        <v>-0.39</v>
      </c>
      <c r="J39" s="2899"/>
      <c r="K39" s="2037"/>
      <c r="L39" s="2022">
        <f t="shared" ref="L39:N52" si="175">E39/100</f>
        <v>-3.0999999999999999E-3</v>
      </c>
      <c r="M39" s="2022">
        <f t="shared" si="175"/>
        <v>-3.9000000000000003E-3</v>
      </c>
      <c r="N39" s="2022">
        <f t="shared" si="175"/>
        <v>1.23E-2</v>
      </c>
      <c r="O39" s="2022"/>
      <c r="P39" s="2022">
        <f t="shared" si="123"/>
        <v>-3.9000000000000003E-3</v>
      </c>
      <c r="Q39" s="2899"/>
      <c r="R39" s="2021"/>
      <c r="S39" s="2021">
        <f>ROUND(IF(项目基本情况!$B$8="出让",SUMPRODUCT(PRODUCT(1+L39:L$52)),SUMPRODUCT(PRODUCT(1+L39:L$51))),4)</f>
        <v>1.0432999999999999</v>
      </c>
      <c r="T39" s="2021">
        <f>ROUND(IF(项目基本情况!$B$8="出让",SUMPRODUCT(PRODUCT(1+M39:M$52)),SUMPRODUCT(PRODUCT(1+M39:M$51))),4)</f>
        <v>1.0298</v>
      </c>
      <c r="U39" s="2021">
        <f>ROUND(IF(项目基本情况!$B$8="出让",SUMPRODUCT(PRODUCT(1+N39:N$52)),SUMPRODUCT(PRODUCT(1+N39:N$51))),4)</f>
        <v>1.079</v>
      </c>
      <c r="V39" s="2021"/>
      <c r="W39" s="2021">
        <f t="shared" si="124"/>
        <v>1.0298</v>
      </c>
      <c r="X39" s="2899"/>
      <c r="Y39" s="2022"/>
      <c r="Z39" s="2895">
        <f t="shared" si="173"/>
        <v>3.3E-3</v>
      </c>
      <c r="AA39" s="2896">
        <f t="shared" si="173"/>
        <v>2.3999999999999998E-3</v>
      </c>
      <c r="AB39" s="2022">
        <f t="shared" si="173"/>
        <v>6.1999999999999998E-3</v>
      </c>
      <c r="AC39" s="2897"/>
      <c r="AD39" s="2022">
        <f t="shared" si="128"/>
        <v>2.3999999999999998E-3</v>
      </c>
      <c r="AG39" s="3144">
        <f t="shared" si="129"/>
        <v>104.32999999999998</v>
      </c>
      <c r="AH39" s="3144">
        <f t="shared" si="130"/>
        <v>102.98</v>
      </c>
      <c r="AI39" s="3144">
        <f t="shared" si="131"/>
        <v>107.89999999999999</v>
      </c>
      <c r="AJ39" s="3146"/>
      <c r="AK39" s="3144">
        <f t="shared" si="132"/>
        <v>102.98</v>
      </c>
      <c r="AN39" s="3144">
        <f t="shared" si="148"/>
        <v>103.11291747505244</v>
      </c>
      <c r="AO39" s="3144">
        <f t="shared" si="159"/>
        <v>103.30758766285605</v>
      </c>
      <c r="AP39" s="3144">
        <f t="shared" si="160"/>
        <v>104.36998432101923</v>
      </c>
      <c r="AQ39" s="3144"/>
      <c r="AR39" s="3144">
        <f t="shared" si="161"/>
        <v>103.30758766285605</v>
      </c>
    </row>
    <row r="40" spans="1:44" s="2039" customFormat="1" ht="12.75">
      <c r="A40" s="2898" t="s">
        <v>3369</v>
      </c>
      <c r="B40" s="2025">
        <v>2024</v>
      </c>
      <c r="C40" s="2036">
        <v>1</v>
      </c>
      <c r="D40" s="2001"/>
      <c r="E40" s="2001">
        <v>0.25</v>
      </c>
      <c r="F40" s="2001">
        <v>0.4</v>
      </c>
      <c r="G40" s="2001">
        <v>-0.63</v>
      </c>
      <c r="H40" s="2910"/>
      <c r="I40" s="2002">
        <f t="shared" ref="I40:I41" si="176">F40</f>
        <v>0.4</v>
      </c>
      <c r="J40" s="2899"/>
      <c r="K40" s="2037"/>
      <c r="L40" s="2022">
        <f t="shared" ref="L40" si="177">E40/100</f>
        <v>2.5000000000000001E-3</v>
      </c>
      <c r="M40" s="2022">
        <f t="shared" ref="M40" si="178">F40/100</f>
        <v>4.0000000000000001E-3</v>
      </c>
      <c r="N40" s="2022">
        <f t="shared" ref="N40" si="179">G40/100</f>
        <v>-6.3E-3</v>
      </c>
      <c r="O40" s="2022"/>
      <c r="P40" s="2022">
        <f t="shared" ref="P40" si="180">M40</f>
        <v>4.0000000000000001E-3</v>
      </c>
      <c r="Q40" s="2899"/>
      <c r="R40" s="2021"/>
      <c r="S40" s="2021">
        <f>ROUND(IF(项目基本情况!$B$8="出让",SUMPRODUCT(PRODUCT(1+L40:L$52)),SUMPRODUCT(PRODUCT(1+L40:L$51))),4)</f>
        <v>1.0465</v>
      </c>
      <c r="T40" s="2021">
        <f>ROUND(IF(项目基本情况!$B$8="出让",SUMPRODUCT(PRODUCT(1+M40:M$52)),SUMPRODUCT(PRODUCT(1+M40:M$51))),4)</f>
        <v>1.0338000000000001</v>
      </c>
      <c r="U40" s="2021">
        <f>ROUND(IF(项目基本情况!$B$8="出让",SUMPRODUCT(PRODUCT(1+N40:N$52)),SUMPRODUCT(PRODUCT(1+N40:N$51))),4)</f>
        <v>1.0659000000000001</v>
      </c>
      <c r="V40" s="2021"/>
      <c r="W40" s="2021">
        <f t="shared" ref="W40" si="181">T40</f>
        <v>1.0338000000000001</v>
      </c>
      <c r="X40" s="2899"/>
      <c r="Y40" s="2022"/>
      <c r="Z40" s="2895"/>
      <c r="AA40" s="2896"/>
      <c r="AB40" s="2022"/>
      <c r="AC40" s="2897"/>
      <c r="AD40" s="2022"/>
      <c r="AG40" s="3144">
        <f t="shared" si="129"/>
        <v>104.65</v>
      </c>
      <c r="AH40" s="3144">
        <f t="shared" si="130"/>
        <v>103.38000000000001</v>
      </c>
      <c r="AI40" s="3144">
        <f t="shared" si="131"/>
        <v>106.59</v>
      </c>
      <c r="AJ40" s="3146"/>
      <c r="AK40" s="3144">
        <f t="shared" si="132"/>
        <v>103.38000000000001</v>
      </c>
      <c r="AN40" s="3144">
        <f t="shared" si="148"/>
        <v>103.43356151575126</v>
      </c>
      <c r="AO40" s="3144">
        <f t="shared" si="159"/>
        <v>103.7120647152455</v>
      </c>
      <c r="AP40" s="3144">
        <f t="shared" si="160"/>
        <v>103.10183179000221</v>
      </c>
      <c r="AQ40" s="3144"/>
      <c r="AR40" s="3144">
        <f t="shared" si="161"/>
        <v>103.7120647152455</v>
      </c>
    </row>
    <row r="41" spans="1:44" s="2039" customFormat="1" ht="12.75">
      <c r="A41" s="2898" t="s">
        <v>3367</v>
      </c>
      <c r="B41" s="2025">
        <v>2023</v>
      </c>
      <c r="C41" s="2036">
        <v>4</v>
      </c>
      <c r="D41" s="2001"/>
      <c r="E41" s="2001">
        <v>7.0000000000000007E-2</v>
      </c>
      <c r="F41" s="2001">
        <v>0.09</v>
      </c>
      <c r="G41" s="2001">
        <v>0.03</v>
      </c>
      <c r="H41" s="2910"/>
      <c r="I41" s="2002">
        <f t="shared" si="176"/>
        <v>0.09</v>
      </c>
      <c r="J41" s="2899"/>
      <c r="K41" s="2037"/>
      <c r="L41" s="2022">
        <f t="shared" si="175"/>
        <v>7.000000000000001E-4</v>
      </c>
      <c r="M41" s="2022">
        <f t="shared" si="175"/>
        <v>8.9999999999999998E-4</v>
      </c>
      <c r="N41" s="2022">
        <f t="shared" si="175"/>
        <v>2.9999999999999997E-4</v>
      </c>
      <c r="O41" s="2022"/>
      <c r="P41" s="2022">
        <f t="shared" ref="P41" si="182">M41</f>
        <v>8.9999999999999998E-4</v>
      </c>
      <c r="Q41" s="2899"/>
      <c r="R41" s="2021"/>
      <c r="S41" s="2021">
        <f>ROUND(IF(项目基本情况!$B$8="出让",SUMPRODUCT(PRODUCT(1+L41:L$52)),SUMPRODUCT(PRODUCT(1+L41:L$51))),4)</f>
        <v>1.0439000000000001</v>
      </c>
      <c r="T41" s="2021">
        <f>ROUND(IF(项目基本情况!$B$8="出让",SUMPRODUCT(PRODUCT(1+M41:M$52)),SUMPRODUCT(PRODUCT(1+M41:M$51))),4)</f>
        <v>1.0297000000000001</v>
      </c>
      <c r="U41" s="2021">
        <f>ROUND(IF(项目基本情况!$B$8="出让",SUMPRODUCT(PRODUCT(1+N41:N$52)),SUMPRODUCT(PRODUCT(1+N41:N$51))),4)</f>
        <v>1.0727</v>
      </c>
      <c r="V41" s="2021"/>
      <c r="W41" s="2021">
        <f t="shared" ref="W41" si="183">T41</f>
        <v>1.0297000000000001</v>
      </c>
      <c r="X41" s="2899"/>
      <c r="Y41" s="2022"/>
      <c r="Z41" s="2895"/>
      <c r="AA41" s="2896"/>
      <c r="AB41" s="2022"/>
      <c r="AC41" s="2897"/>
      <c r="AD41" s="2022"/>
      <c r="AG41" s="3144">
        <f t="shared" si="129"/>
        <v>104.39</v>
      </c>
      <c r="AH41" s="3144">
        <f t="shared" si="130"/>
        <v>102.97</v>
      </c>
      <c r="AI41" s="3144">
        <f t="shared" si="131"/>
        <v>107.27</v>
      </c>
      <c r="AJ41" s="3146"/>
      <c r="AK41" s="3144">
        <f t="shared" si="132"/>
        <v>102.97</v>
      </c>
      <c r="AN41" s="3144">
        <f t="shared" si="148"/>
        <v>103.17562245960227</v>
      </c>
      <c r="AO41" s="3144">
        <f t="shared" si="159"/>
        <v>103.29886923829234</v>
      </c>
      <c r="AP41" s="3144">
        <f t="shared" si="160"/>
        <v>103.75549138573231</v>
      </c>
      <c r="AQ41" s="3144"/>
      <c r="AR41" s="3144">
        <f t="shared" si="161"/>
        <v>103.29886923829234</v>
      </c>
    </row>
    <row r="42" spans="1:44" s="2039" customFormat="1" ht="12.75">
      <c r="A42" s="2898" t="s">
        <v>3365</v>
      </c>
      <c r="B42" s="2025">
        <v>2023</v>
      </c>
      <c r="C42" s="2036">
        <v>3</v>
      </c>
      <c r="D42" s="2001"/>
      <c r="E42" s="2001">
        <v>0.35</v>
      </c>
      <c r="F42" s="2001">
        <v>0.17</v>
      </c>
      <c r="G42" s="2001">
        <v>0.52</v>
      </c>
      <c r="H42" s="2910"/>
      <c r="I42" s="2002">
        <f t="shared" si="174"/>
        <v>0.17</v>
      </c>
      <c r="J42" s="2899"/>
      <c r="K42" s="2037"/>
      <c r="L42" s="2022">
        <f t="shared" ref="L42:L44" si="184">E42/100</f>
        <v>3.4999999999999996E-3</v>
      </c>
      <c r="M42" s="2022">
        <f t="shared" ref="M42:M44" si="185">F42/100</f>
        <v>1.7000000000000001E-3</v>
      </c>
      <c r="N42" s="2022">
        <f t="shared" ref="N42:N44" si="186">G42/100</f>
        <v>5.1999999999999998E-3</v>
      </c>
      <c r="O42" s="2022"/>
      <c r="P42" s="2022">
        <f t="shared" ref="P42:P44" si="187">M42</f>
        <v>1.7000000000000001E-3</v>
      </c>
      <c r="Q42" s="2899"/>
      <c r="R42" s="2021"/>
      <c r="S42" s="2021">
        <f>ROUND(IF(项目基本情况!$B$8="出让",SUMPRODUCT(PRODUCT(1+L42:L$52)),SUMPRODUCT(PRODUCT(1+L42:L$51))),4)</f>
        <v>1.0431999999999999</v>
      </c>
      <c r="T42" s="2021">
        <f>ROUND(IF(项目基本情况!$B$8="出让",SUMPRODUCT(PRODUCT(1+M42:M$52)),SUMPRODUCT(PRODUCT(1+M42:M$51))),4)</f>
        <v>1.0286999999999999</v>
      </c>
      <c r="U42" s="2021">
        <f>ROUND(IF(项目基本情况!$B$8="出让",SUMPRODUCT(PRODUCT(1+N42:N$52)),SUMPRODUCT(PRODUCT(1+N42:N$51))),4)</f>
        <v>1.0723</v>
      </c>
      <c r="V42" s="2021"/>
      <c r="W42" s="2021">
        <f t="shared" ref="W42:W44" si="188">T42</f>
        <v>1.0286999999999999</v>
      </c>
      <c r="X42" s="2899"/>
      <c r="Y42" s="2022"/>
      <c r="Z42" s="2895"/>
      <c r="AA42" s="2896"/>
      <c r="AB42" s="2022"/>
      <c r="AC42" s="2897"/>
      <c r="AD42" s="2022"/>
      <c r="AG42" s="3144">
        <f t="shared" si="129"/>
        <v>104.32</v>
      </c>
      <c r="AH42" s="3144">
        <f t="shared" si="130"/>
        <v>102.86999999999999</v>
      </c>
      <c r="AI42" s="3144">
        <f t="shared" si="131"/>
        <v>107.23</v>
      </c>
      <c r="AJ42" s="3146"/>
      <c r="AK42" s="3144">
        <f t="shared" si="132"/>
        <v>102.86999999999999</v>
      </c>
      <c r="AN42" s="3144">
        <f t="shared" si="148"/>
        <v>103.10345004457108</v>
      </c>
      <c r="AO42" s="3144">
        <f t="shared" si="159"/>
        <v>103.20598385282482</v>
      </c>
      <c r="AP42" s="3144">
        <f t="shared" si="160"/>
        <v>103.72437407351026</v>
      </c>
      <c r="AQ42" s="3144"/>
      <c r="AR42" s="3144">
        <f t="shared" si="161"/>
        <v>103.20598385282482</v>
      </c>
    </row>
    <row r="43" spans="1:44" s="2039" customFormat="1" ht="12.75">
      <c r="A43" s="2898" t="s">
        <v>3364</v>
      </c>
      <c r="B43" s="2025">
        <v>2023</v>
      </c>
      <c r="C43" s="2036">
        <v>2</v>
      </c>
      <c r="D43" s="2001"/>
      <c r="E43" s="2001">
        <v>0.5</v>
      </c>
      <c r="F43" s="2001">
        <v>0.45</v>
      </c>
      <c r="G43" s="2001">
        <v>0.89</v>
      </c>
      <c r="H43" s="2910"/>
      <c r="I43" s="2002">
        <f t="shared" si="174"/>
        <v>0.45</v>
      </c>
      <c r="J43" s="2899"/>
      <c r="K43" s="2037"/>
      <c r="L43" s="2022">
        <f t="shared" si="184"/>
        <v>5.0000000000000001E-3</v>
      </c>
      <c r="M43" s="2022">
        <f t="shared" si="185"/>
        <v>4.5000000000000005E-3</v>
      </c>
      <c r="N43" s="2022">
        <f t="shared" si="186"/>
        <v>8.8999999999999999E-3</v>
      </c>
      <c r="O43" s="2022"/>
      <c r="P43" s="2022">
        <f t="shared" si="187"/>
        <v>4.5000000000000005E-3</v>
      </c>
      <c r="Q43" s="2899"/>
      <c r="R43" s="2021"/>
      <c r="S43" s="2021">
        <f>ROUND(IF(项目基本情况!$B$8="出让",SUMPRODUCT(PRODUCT(1+L43:L$52)),SUMPRODUCT(PRODUCT(1+L43:L$51))),4)</f>
        <v>1.0396000000000001</v>
      </c>
      <c r="T43" s="2021">
        <f>ROUND(IF(项目基本情况!$B$8="出让",SUMPRODUCT(PRODUCT(1+M43:M$52)),SUMPRODUCT(PRODUCT(1+M43:M$51))),4)</f>
        <v>1.0269999999999999</v>
      </c>
      <c r="U43" s="2021">
        <f>ROUND(IF(项目基本情况!$B$8="出让",SUMPRODUCT(PRODUCT(1+N43:N$52)),SUMPRODUCT(PRODUCT(1+N43:N$51))),4)</f>
        <v>1.0668</v>
      </c>
      <c r="V43" s="2021"/>
      <c r="W43" s="2021">
        <f t="shared" si="188"/>
        <v>1.0269999999999999</v>
      </c>
      <c r="X43" s="2899"/>
      <c r="Y43" s="2022"/>
      <c r="Z43" s="2895"/>
      <c r="AA43" s="2896"/>
      <c r="AB43" s="2022"/>
      <c r="AC43" s="2897"/>
      <c r="AD43" s="2022"/>
      <c r="AG43" s="3144">
        <f t="shared" si="129"/>
        <v>103.96000000000001</v>
      </c>
      <c r="AH43" s="3144">
        <f t="shared" si="130"/>
        <v>102.69999999999999</v>
      </c>
      <c r="AI43" s="3144">
        <f t="shared" si="131"/>
        <v>106.67999999999999</v>
      </c>
      <c r="AJ43" s="3146"/>
      <c r="AK43" s="3144">
        <f t="shared" si="132"/>
        <v>102.69999999999999</v>
      </c>
      <c r="AN43" s="3144">
        <f t="shared" si="148"/>
        <v>102.74384658153569</v>
      </c>
      <c r="AO43" s="3144">
        <f t="shared" si="159"/>
        <v>103.03083143937786</v>
      </c>
      <c r="AP43" s="3144">
        <f t="shared" si="160"/>
        <v>103.18779752637312</v>
      </c>
      <c r="AQ43" s="3144"/>
      <c r="AR43" s="3144">
        <f t="shared" si="161"/>
        <v>103.03083143937786</v>
      </c>
    </row>
    <row r="44" spans="1:44" s="2039" customFormat="1" ht="12.75">
      <c r="A44" s="2898" t="s">
        <v>3362</v>
      </c>
      <c r="B44" s="2025">
        <v>2023</v>
      </c>
      <c r="C44" s="2036">
        <v>1</v>
      </c>
      <c r="D44" s="2001"/>
      <c r="E44" s="2001">
        <v>0.55000000000000004</v>
      </c>
      <c r="F44" s="2001">
        <v>0.59</v>
      </c>
      <c r="G44" s="2001">
        <v>0.64</v>
      </c>
      <c r="H44" s="2910"/>
      <c r="I44" s="2002">
        <f t="shared" si="174"/>
        <v>0.59</v>
      </c>
      <c r="J44" s="2899"/>
      <c r="K44" s="2037"/>
      <c r="L44" s="2022">
        <f t="shared" si="184"/>
        <v>5.5000000000000005E-3</v>
      </c>
      <c r="M44" s="2022">
        <f t="shared" si="185"/>
        <v>5.8999999999999999E-3</v>
      </c>
      <c r="N44" s="2022">
        <f t="shared" si="186"/>
        <v>6.4000000000000003E-3</v>
      </c>
      <c r="O44" s="2022"/>
      <c r="P44" s="2022">
        <f t="shared" si="187"/>
        <v>5.8999999999999999E-3</v>
      </c>
      <c r="Q44" s="2899"/>
      <c r="R44" s="2021"/>
      <c r="S44" s="2021">
        <f>ROUND(IF(项目基本情况!$B$8="出让",SUMPRODUCT(PRODUCT(1+L44:L$52)),SUMPRODUCT(PRODUCT(1+L44:L$51))),4)</f>
        <v>1.0344</v>
      </c>
      <c r="T44" s="2021">
        <f>ROUND(IF(项目基本情况!$B$8="出让",SUMPRODUCT(PRODUCT(1+M44:M$52)),SUMPRODUCT(PRODUCT(1+M44:M$51))),4)</f>
        <v>1.0224</v>
      </c>
      <c r="U44" s="2021">
        <f>ROUND(IF(项目基本情况!$B$8="出让",SUMPRODUCT(PRODUCT(1+N44:N$52)),SUMPRODUCT(PRODUCT(1+N44:N$51))),4)</f>
        <v>1.0573999999999999</v>
      </c>
      <c r="V44" s="2021"/>
      <c r="W44" s="2021">
        <f t="shared" si="188"/>
        <v>1.0224</v>
      </c>
      <c r="X44" s="2899"/>
      <c r="Y44" s="2022"/>
      <c r="Z44" s="2895"/>
      <c r="AA44" s="2896"/>
      <c r="AB44" s="2022"/>
      <c r="AC44" s="2897"/>
      <c r="AD44" s="2022"/>
      <c r="AG44" s="3144">
        <f t="shared" si="129"/>
        <v>103.44</v>
      </c>
      <c r="AH44" s="3144">
        <f t="shared" si="130"/>
        <v>102.24</v>
      </c>
      <c r="AI44" s="3144">
        <f t="shared" si="131"/>
        <v>105.74</v>
      </c>
      <c r="AJ44" s="3146"/>
      <c r="AK44" s="3144">
        <f t="shared" si="132"/>
        <v>102.24</v>
      </c>
      <c r="AN44" s="3144">
        <f t="shared" si="148"/>
        <v>102.23268316570717</v>
      </c>
      <c r="AO44" s="3144">
        <f t="shared" si="159"/>
        <v>102.56926972561261</v>
      </c>
      <c r="AP44" s="3144">
        <f t="shared" si="160"/>
        <v>102.27752753134416</v>
      </c>
      <c r="AQ44" s="3144"/>
      <c r="AR44" s="3144">
        <f t="shared" si="161"/>
        <v>102.56926972561261</v>
      </c>
    </row>
    <row r="45" spans="1:44" s="2039" customFormat="1" ht="12.75">
      <c r="A45" s="2898" t="s">
        <v>3361</v>
      </c>
      <c r="B45" s="2025">
        <v>2022</v>
      </c>
      <c r="C45" s="2036">
        <v>4</v>
      </c>
      <c r="D45" s="2001"/>
      <c r="E45" s="2001">
        <v>0.45</v>
      </c>
      <c r="F45" s="2001">
        <v>0.2</v>
      </c>
      <c r="G45" s="2001">
        <v>0.38</v>
      </c>
      <c r="H45" s="2910"/>
      <c r="I45" s="2002">
        <f t="shared" si="174"/>
        <v>0.2</v>
      </c>
      <c r="J45" s="2899"/>
      <c r="K45" s="2037"/>
      <c r="L45" s="2022">
        <f t="shared" si="175"/>
        <v>4.5000000000000005E-3</v>
      </c>
      <c r="M45" s="2022">
        <f t="shared" si="175"/>
        <v>2E-3</v>
      </c>
      <c r="N45" s="2022">
        <f t="shared" si="175"/>
        <v>3.8E-3</v>
      </c>
      <c r="O45" s="2022"/>
      <c r="P45" s="2022">
        <f t="shared" ref="P45:P52" si="189">M45</f>
        <v>2E-3</v>
      </c>
      <c r="Q45" s="2899"/>
      <c r="R45" s="2021"/>
      <c r="S45" s="2021">
        <f>ROUND(IF(项目基本情况!$B$8="出让",SUMPRODUCT(PRODUCT(1+L45:L$52)),SUMPRODUCT(PRODUCT(1+L45:L$51))),4)</f>
        <v>1.0286999999999999</v>
      </c>
      <c r="T45" s="2021">
        <f>ROUND(IF(项目基本情况!$B$8="出让",SUMPRODUCT(PRODUCT(1+M45:M$52)),SUMPRODUCT(PRODUCT(1+M45:M$51))),4)</f>
        <v>1.0164</v>
      </c>
      <c r="U45" s="2021">
        <f>ROUND(IF(项目基本情况!$B$8="出让",SUMPRODUCT(PRODUCT(1+N45:N$52)),SUMPRODUCT(PRODUCT(1+N45:N$51))),4)</f>
        <v>1.0506</v>
      </c>
      <c r="V45" s="2021"/>
      <c r="W45" s="2021">
        <f t="shared" ref="W45:W52" si="190">T45</f>
        <v>1.0164</v>
      </c>
      <c r="X45" s="2899"/>
      <c r="Y45" s="2022"/>
      <c r="Z45" s="2895">
        <f t="shared" ref="Z45:AD52" si="191">IF(E45=0,0,ROUND(AVERAGE(E45:E53)/100,4))</f>
        <v>4.0000000000000001E-3</v>
      </c>
      <c r="AA45" s="2896">
        <f t="shared" si="191"/>
        <v>2.5999999999999999E-3</v>
      </c>
      <c r="AB45" s="2022">
        <f t="shared" si="191"/>
        <v>7.4000000000000003E-3</v>
      </c>
      <c r="AC45" s="2897"/>
      <c r="AD45" s="2022">
        <f t="shared" si="191"/>
        <v>2.5999999999999999E-3</v>
      </c>
      <c r="AG45" s="3144">
        <f t="shared" si="129"/>
        <v>102.86999999999999</v>
      </c>
      <c r="AH45" s="3144">
        <f t="shared" si="130"/>
        <v>101.64</v>
      </c>
      <c r="AI45" s="3144">
        <f t="shared" si="131"/>
        <v>105.06</v>
      </c>
      <c r="AJ45" s="3146"/>
      <c r="AK45" s="3144">
        <f t="shared" si="132"/>
        <v>101.64</v>
      </c>
      <c r="AN45" s="3144">
        <f t="shared" si="148"/>
        <v>101.67347903103646</v>
      </c>
      <c r="AO45" s="3144">
        <f t="shared" si="159"/>
        <v>101.96766052849449</v>
      </c>
      <c r="AP45" s="3144">
        <f t="shared" si="160"/>
        <v>101.62711400173308</v>
      </c>
      <c r="AQ45" s="3144"/>
      <c r="AR45" s="3144">
        <f t="shared" si="161"/>
        <v>101.96766052849449</v>
      </c>
    </row>
    <row r="46" spans="1:44" s="2039" customFormat="1" ht="12.75">
      <c r="A46" s="2898" t="s">
        <v>3360</v>
      </c>
      <c r="B46" s="2025">
        <v>2022</v>
      </c>
      <c r="C46" s="2036">
        <v>3</v>
      </c>
      <c r="D46" s="2001"/>
      <c r="E46" s="2001">
        <v>0.3</v>
      </c>
      <c r="F46" s="2001">
        <v>0.28999999999999998</v>
      </c>
      <c r="G46" s="2001">
        <v>0.83</v>
      </c>
      <c r="H46" s="2910"/>
      <c r="I46" s="2002">
        <f t="shared" si="174"/>
        <v>0.28999999999999998</v>
      </c>
      <c r="J46" s="2899"/>
      <c r="K46" s="2037"/>
      <c r="L46" s="2022">
        <f t="shared" si="175"/>
        <v>3.0000000000000001E-3</v>
      </c>
      <c r="M46" s="2022">
        <f t="shared" si="175"/>
        <v>2.8999999999999998E-3</v>
      </c>
      <c r="N46" s="2022">
        <f t="shared" si="175"/>
        <v>8.3000000000000001E-3</v>
      </c>
      <c r="O46" s="2022"/>
      <c r="P46" s="2022">
        <f t="shared" si="189"/>
        <v>2.8999999999999998E-3</v>
      </c>
      <c r="Q46" s="2899"/>
      <c r="R46" s="2021"/>
      <c r="S46" s="2021">
        <f>ROUND(IF(项目基本情况!$B$8="出让",SUMPRODUCT(PRODUCT(1+L46:L$52)),SUMPRODUCT(PRODUCT(1+L46:L$51))),4)</f>
        <v>1.0241</v>
      </c>
      <c r="T46" s="2021">
        <f>ROUND(IF(项目基本情况!$B$8="出让",SUMPRODUCT(PRODUCT(1+M46:M$52)),SUMPRODUCT(PRODUCT(1+M46:M$51))),4)</f>
        <v>1.0144</v>
      </c>
      <c r="U46" s="2021">
        <f>ROUND(IF(项目基本情况!$B$8="出让",SUMPRODUCT(PRODUCT(1+N46:N$52)),SUMPRODUCT(PRODUCT(1+N46:N$51))),4)</f>
        <v>1.0467</v>
      </c>
      <c r="V46" s="2021"/>
      <c r="W46" s="2021">
        <f t="shared" si="190"/>
        <v>1.0144</v>
      </c>
      <c r="X46" s="2899"/>
      <c r="Y46" s="2022"/>
      <c r="Z46" s="2895">
        <f t="shared" si="191"/>
        <v>3.8999999999999998E-3</v>
      </c>
      <c r="AA46" s="2896">
        <f t="shared" si="191"/>
        <v>2.7000000000000001E-3</v>
      </c>
      <c r="AB46" s="2022">
        <f t="shared" si="191"/>
        <v>7.9000000000000008E-3</v>
      </c>
      <c r="AC46" s="2897"/>
      <c r="AD46" s="2022">
        <f t="shared" si="191"/>
        <v>2.7000000000000001E-3</v>
      </c>
      <c r="AG46" s="3144">
        <f t="shared" si="129"/>
        <v>102.41</v>
      </c>
      <c r="AH46" s="3144">
        <f t="shared" si="130"/>
        <v>101.44</v>
      </c>
      <c r="AI46" s="3144">
        <f t="shared" si="131"/>
        <v>104.67</v>
      </c>
      <c r="AJ46" s="3146"/>
      <c r="AK46" s="3144">
        <f t="shared" si="132"/>
        <v>101.44</v>
      </c>
      <c r="AN46" s="3144">
        <f t="shared" si="148"/>
        <v>101.21799803985711</v>
      </c>
      <c r="AO46" s="3144">
        <f t="shared" si="159"/>
        <v>101.76413226396656</v>
      </c>
      <c r="AP46" s="3144">
        <f t="shared" si="160"/>
        <v>101.24239290868009</v>
      </c>
      <c r="AQ46" s="3144"/>
      <c r="AR46" s="3144">
        <f t="shared" si="161"/>
        <v>101.76413226396656</v>
      </c>
    </row>
    <row r="47" spans="1:44" s="2039" customFormat="1" ht="12.75">
      <c r="A47" s="2898" t="s">
        <v>3350</v>
      </c>
      <c r="B47" s="2025">
        <v>2022</v>
      </c>
      <c r="C47" s="2036">
        <v>2</v>
      </c>
      <c r="D47" s="2001"/>
      <c r="E47" s="2001">
        <v>-0.11</v>
      </c>
      <c r="F47" s="2001">
        <v>-0.13</v>
      </c>
      <c r="G47" s="2001">
        <v>0.53</v>
      </c>
      <c r="H47" s="2910"/>
      <c r="I47" s="2002">
        <f t="shared" si="174"/>
        <v>-0.13</v>
      </c>
      <c r="J47" s="2899"/>
      <c r="K47" s="2037"/>
      <c r="L47" s="2022">
        <f t="shared" si="175"/>
        <v>-1.1000000000000001E-3</v>
      </c>
      <c r="M47" s="2022">
        <f t="shared" si="175"/>
        <v>-1.2999999999999999E-3</v>
      </c>
      <c r="N47" s="2022">
        <f t="shared" si="175"/>
        <v>5.3E-3</v>
      </c>
      <c r="O47" s="2022"/>
      <c r="P47" s="2022">
        <f t="shared" si="189"/>
        <v>-1.2999999999999999E-3</v>
      </c>
      <c r="Q47" s="2899"/>
      <c r="R47" s="2021"/>
      <c r="S47" s="2021">
        <f>ROUND(IF(项目基本情况!$B$8="出让",SUMPRODUCT(PRODUCT(1+L47:L$52)),SUMPRODUCT(PRODUCT(1+L47:L$51))),4)</f>
        <v>1.0210999999999999</v>
      </c>
      <c r="T47" s="2021">
        <f>ROUND(IF(项目基本情况!$B$8="出让",SUMPRODUCT(PRODUCT(1+M47:M$52)),SUMPRODUCT(PRODUCT(1+M47:M$51))),4)</f>
        <v>1.0114000000000001</v>
      </c>
      <c r="U47" s="2021">
        <f>ROUND(IF(项目基本情况!$B$8="出让",SUMPRODUCT(PRODUCT(1+N47:N$52)),SUMPRODUCT(PRODUCT(1+N47:N$51))),4)</f>
        <v>1.0381</v>
      </c>
      <c r="V47" s="2021"/>
      <c r="W47" s="2021">
        <f t="shared" si="190"/>
        <v>1.0114000000000001</v>
      </c>
      <c r="X47" s="2899"/>
      <c r="Y47" s="2022"/>
      <c r="Z47" s="2895">
        <f t="shared" si="191"/>
        <v>4.1000000000000003E-3</v>
      </c>
      <c r="AA47" s="2896">
        <f t="shared" si="191"/>
        <v>2.7000000000000001E-3</v>
      </c>
      <c r="AB47" s="2022">
        <f t="shared" si="191"/>
        <v>7.9000000000000008E-3</v>
      </c>
      <c r="AC47" s="2897"/>
      <c r="AD47" s="2022">
        <f t="shared" si="191"/>
        <v>2.7000000000000001E-3</v>
      </c>
      <c r="AG47" s="3144">
        <f t="shared" si="129"/>
        <v>102.10999999999999</v>
      </c>
      <c r="AH47" s="3144">
        <f t="shared" si="130"/>
        <v>101.14000000000001</v>
      </c>
      <c r="AI47" s="3144">
        <f t="shared" si="131"/>
        <v>103.81</v>
      </c>
      <c r="AJ47" s="3146"/>
      <c r="AK47" s="3144">
        <f t="shared" si="132"/>
        <v>101.14000000000001</v>
      </c>
      <c r="AN47" s="3144">
        <f t="shared" si="148"/>
        <v>100.9152522830081</v>
      </c>
      <c r="AO47" s="3144">
        <f t="shared" si="159"/>
        <v>101.46986964200475</v>
      </c>
      <c r="AP47" s="3144">
        <f t="shared" si="160"/>
        <v>100.40899822342566</v>
      </c>
      <c r="AQ47" s="3144"/>
      <c r="AR47" s="3144">
        <f t="shared" si="161"/>
        <v>101.46986964200475</v>
      </c>
    </row>
    <row r="48" spans="1:44" s="2039" customFormat="1" ht="12.75">
      <c r="A48" s="2898" t="s">
        <v>2831</v>
      </c>
      <c r="B48" s="2025">
        <v>2022</v>
      </c>
      <c r="C48" s="2036">
        <v>1</v>
      </c>
      <c r="D48" s="2001"/>
      <c r="E48" s="2001">
        <v>0.6</v>
      </c>
      <c r="F48" s="2001">
        <v>0.45</v>
      </c>
      <c r="G48" s="2001">
        <v>0.53</v>
      </c>
      <c r="H48" s="2910"/>
      <c r="I48" s="2002">
        <f t="shared" si="174"/>
        <v>0.45</v>
      </c>
      <c r="J48" s="2899"/>
      <c r="K48" s="2037"/>
      <c r="L48" s="2022">
        <f t="shared" si="175"/>
        <v>6.0000000000000001E-3</v>
      </c>
      <c r="M48" s="2022">
        <f t="shared" si="175"/>
        <v>4.5000000000000005E-3</v>
      </c>
      <c r="N48" s="2022">
        <f t="shared" si="175"/>
        <v>5.3E-3</v>
      </c>
      <c r="O48" s="2022"/>
      <c r="P48" s="2022">
        <f t="shared" si="189"/>
        <v>4.5000000000000005E-3</v>
      </c>
      <c r="Q48" s="2899"/>
      <c r="R48" s="2021"/>
      <c r="S48" s="2021">
        <f>ROUND(IF(项目基本情况!$B$8="出让",SUMPRODUCT(PRODUCT(1+L48:L$52)),SUMPRODUCT(PRODUCT(1+L48:L$51))),4)</f>
        <v>1.0222</v>
      </c>
      <c r="T48" s="2021">
        <f>ROUND(IF(项目基本情况!$B$8="出让",SUMPRODUCT(PRODUCT(1+M48:M$52)),SUMPRODUCT(PRODUCT(1+M48:M$51))),4)</f>
        <v>1.0127999999999999</v>
      </c>
      <c r="U48" s="2021">
        <f>ROUND(IF(项目基本情况!$B$8="出让",SUMPRODUCT(PRODUCT(1+N48:N$52)),SUMPRODUCT(PRODUCT(1+N48:N$51))),4)</f>
        <v>1.0326</v>
      </c>
      <c r="V48" s="2021"/>
      <c r="W48" s="2021">
        <f t="shared" si="190"/>
        <v>1.0127999999999999</v>
      </c>
      <c r="X48" s="2899"/>
      <c r="Y48" s="2022"/>
      <c r="Z48" s="2895">
        <f t="shared" si="191"/>
        <v>5.1000000000000004E-3</v>
      </c>
      <c r="AA48" s="2896">
        <f t="shared" si="191"/>
        <v>4.5999999999999999E-3</v>
      </c>
      <c r="AB48" s="2022">
        <f t="shared" si="191"/>
        <v>8.3999999999999995E-3</v>
      </c>
      <c r="AC48" s="2897"/>
      <c r="AD48" s="2022">
        <f t="shared" si="191"/>
        <v>3.5000000000000001E-3</v>
      </c>
      <c r="AG48" s="3144">
        <f t="shared" si="129"/>
        <v>102.22</v>
      </c>
      <c r="AH48" s="3144">
        <f t="shared" si="130"/>
        <v>101.27999999999999</v>
      </c>
      <c r="AI48" s="3144">
        <f t="shared" si="131"/>
        <v>103.25999999999999</v>
      </c>
      <c r="AJ48" s="3146"/>
      <c r="AK48" s="3144">
        <f t="shared" si="132"/>
        <v>101.27999999999999</v>
      </c>
      <c r="AN48" s="3144">
        <f t="shared" si="148"/>
        <v>101.02638130244078</v>
      </c>
      <c r="AO48" s="3144">
        <f t="shared" si="159"/>
        <v>101.60195217983853</v>
      </c>
      <c r="AP48" s="3144">
        <f t="shared" si="160"/>
        <v>99.879636151820989</v>
      </c>
      <c r="AQ48" s="3144"/>
      <c r="AR48" s="3144">
        <f t="shared" si="161"/>
        <v>101.60195217983853</v>
      </c>
    </row>
    <row r="49" spans="1:44" s="2039" customFormat="1" ht="12.75">
      <c r="A49" s="2898" t="s">
        <v>2832</v>
      </c>
      <c r="B49" s="2025">
        <v>2021</v>
      </c>
      <c r="C49" s="2036">
        <v>4</v>
      </c>
      <c r="D49" s="2001"/>
      <c r="E49" s="2001">
        <v>0.57999999999999996</v>
      </c>
      <c r="F49" s="2001">
        <v>0.08</v>
      </c>
      <c r="G49" s="2001">
        <v>0.68</v>
      </c>
      <c r="H49" s="2910"/>
      <c r="I49" s="2002">
        <f t="shared" si="174"/>
        <v>0.08</v>
      </c>
      <c r="J49" s="2899"/>
      <c r="K49" s="2037"/>
      <c r="L49" s="2022">
        <f t="shared" si="175"/>
        <v>5.7999999999999996E-3</v>
      </c>
      <c r="M49" s="2022">
        <f t="shared" si="175"/>
        <v>8.0000000000000004E-4</v>
      </c>
      <c r="N49" s="2022">
        <f t="shared" si="175"/>
        <v>6.8000000000000005E-3</v>
      </c>
      <c r="O49" s="2022"/>
      <c r="P49" s="2022">
        <f t="shared" si="189"/>
        <v>8.0000000000000004E-4</v>
      </c>
      <c r="Q49" s="2899"/>
      <c r="R49" s="2021"/>
      <c r="S49" s="2021">
        <f>ROUND(IF(项目基本情况!$B$8="出让",SUMPRODUCT(PRODUCT(1+L49:L$52)),SUMPRODUCT(PRODUCT(1+L49:L$51))),4)</f>
        <v>1.0161</v>
      </c>
      <c r="T49" s="2021">
        <f>ROUND(IF(项目基本情况!$B$8="出让",SUMPRODUCT(PRODUCT(1+M49:M$52)),SUMPRODUCT(PRODUCT(1+M49:M$51))),4)</f>
        <v>1.0082</v>
      </c>
      <c r="U49" s="2021">
        <f>ROUND(IF(项目基本情况!$B$8="出让",SUMPRODUCT(PRODUCT(1+N49:N$52)),SUMPRODUCT(PRODUCT(1+N49:N$51))),4)</f>
        <v>1.0270999999999999</v>
      </c>
      <c r="V49" s="2021"/>
      <c r="W49" s="2021">
        <f t="shared" si="190"/>
        <v>1.0082</v>
      </c>
      <c r="X49" s="2899"/>
      <c r="Y49" s="2022"/>
      <c r="Z49" s="2895">
        <f t="shared" si="191"/>
        <v>4.8999999999999998E-3</v>
      </c>
      <c r="AA49" s="2896">
        <f t="shared" si="191"/>
        <v>5.4999999999999997E-3</v>
      </c>
      <c r="AB49" s="2022">
        <f t="shared" si="191"/>
        <v>9.1999999999999998E-3</v>
      </c>
      <c r="AC49" s="2897"/>
      <c r="AD49" s="2022">
        <f t="shared" si="191"/>
        <v>3.3E-3</v>
      </c>
      <c r="AG49" s="3144">
        <f t="shared" si="129"/>
        <v>101.61</v>
      </c>
      <c r="AH49" s="3144">
        <f t="shared" si="130"/>
        <v>100.82</v>
      </c>
      <c r="AI49" s="3144">
        <f t="shared" si="131"/>
        <v>102.71</v>
      </c>
      <c r="AJ49" s="3146"/>
      <c r="AK49" s="3144">
        <f t="shared" si="132"/>
        <v>100.82</v>
      </c>
      <c r="AN49" s="3144">
        <f t="shared" si="148"/>
        <v>100.42383827280396</v>
      </c>
      <c r="AO49" s="3144">
        <f t="shared" si="159"/>
        <v>101.14679161755951</v>
      </c>
      <c r="AP49" s="3144">
        <f t="shared" si="160"/>
        <v>99.353064907809596</v>
      </c>
      <c r="AQ49" s="3144"/>
      <c r="AR49" s="3144">
        <f t="shared" si="161"/>
        <v>101.14679161755951</v>
      </c>
    </row>
    <row r="50" spans="1:44" s="2039" customFormat="1" ht="12.75">
      <c r="A50" s="2898" t="s">
        <v>2833</v>
      </c>
      <c r="B50" s="2025">
        <v>2021</v>
      </c>
      <c r="C50" s="2036">
        <v>3</v>
      </c>
      <c r="D50" s="2001"/>
      <c r="E50" s="2001">
        <v>0.47</v>
      </c>
      <c r="F50" s="2001">
        <v>0.28000000000000003</v>
      </c>
      <c r="G50" s="2001">
        <v>0.91</v>
      </c>
      <c r="H50" s="2910"/>
      <c r="I50" s="2002">
        <f t="shared" si="174"/>
        <v>0.28000000000000003</v>
      </c>
      <c r="J50" s="2899"/>
      <c r="K50" s="2037"/>
      <c r="L50" s="2022">
        <f t="shared" si="175"/>
        <v>4.6999999999999993E-3</v>
      </c>
      <c r="M50" s="2022">
        <f t="shared" si="175"/>
        <v>2.8000000000000004E-3</v>
      </c>
      <c r="N50" s="2022">
        <f t="shared" si="175"/>
        <v>9.1000000000000004E-3</v>
      </c>
      <c r="O50" s="2022"/>
      <c r="P50" s="2022">
        <f t="shared" si="189"/>
        <v>2.8000000000000004E-3</v>
      </c>
      <c r="Q50" s="2899"/>
      <c r="R50" s="2021"/>
      <c r="S50" s="2021">
        <f>ROUND(IF(项目基本情况!$B$8="出让",SUMPRODUCT(PRODUCT(1+L50:L$52)),SUMPRODUCT(PRODUCT(1+L50:L$51))),4)</f>
        <v>1.0102</v>
      </c>
      <c r="T50" s="2021">
        <f>ROUND(IF(项目基本情况!$B$8="出让",SUMPRODUCT(PRODUCT(1+M50:M$52)),SUMPRODUCT(PRODUCT(1+M50:M$51))),4)</f>
        <v>1.0074000000000001</v>
      </c>
      <c r="U50" s="2021">
        <f>ROUND(IF(项目基本情况!$B$8="出让",SUMPRODUCT(PRODUCT(1+N50:N$52)),SUMPRODUCT(PRODUCT(1+N50:N$51))),4)</f>
        <v>1.0202</v>
      </c>
      <c r="V50" s="2021"/>
      <c r="W50" s="2021">
        <f t="shared" si="190"/>
        <v>1.0074000000000001</v>
      </c>
      <c r="X50" s="2899"/>
      <c r="Y50" s="2022"/>
      <c r="Z50" s="2895">
        <f t="shared" si="191"/>
        <v>4.5999999999999999E-3</v>
      </c>
      <c r="AA50" s="2896">
        <f t="shared" si="191"/>
        <v>7.0000000000000001E-3</v>
      </c>
      <c r="AB50" s="2022">
        <f t="shared" si="191"/>
        <v>0.01</v>
      </c>
      <c r="AC50" s="2897"/>
      <c r="AD50" s="2022">
        <f t="shared" si="191"/>
        <v>4.1000000000000003E-3</v>
      </c>
      <c r="AG50" s="3144">
        <f t="shared" si="129"/>
        <v>101.02</v>
      </c>
      <c r="AH50" s="3144">
        <f t="shared" si="130"/>
        <v>100.74000000000001</v>
      </c>
      <c r="AI50" s="3144">
        <f t="shared" si="131"/>
        <v>102.02</v>
      </c>
      <c r="AJ50" s="3146"/>
      <c r="AK50" s="3144">
        <f t="shared" si="132"/>
        <v>100.74000000000001</v>
      </c>
      <c r="AN50" s="3144">
        <f t="shared" si="148"/>
        <v>99.844738787834515</v>
      </c>
      <c r="AO50" s="3144">
        <f t="shared" si="159"/>
        <v>101.06593886646635</v>
      </c>
      <c r="AP50" s="3144">
        <f t="shared" si="160"/>
        <v>98.682027123370688</v>
      </c>
      <c r="AQ50" s="3144"/>
      <c r="AR50" s="3144">
        <f t="shared" si="161"/>
        <v>101.06593886646635</v>
      </c>
    </row>
    <row r="51" spans="1:44" s="2039" customFormat="1" ht="12.75">
      <c r="A51" s="2898" t="s">
        <v>2834</v>
      </c>
      <c r="B51" s="2025">
        <v>2021</v>
      </c>
      <c r="C51" s="2036">
        <v>2</v>
      </c>
      <c r="D51" s="2001"/>
      <c r="E51" s="2001">
        <v>0.55000000000000004</v>
      </c>
      <c r="F51" s="2001">
        <v>0.46</v>
      </c>
      <c r="G51" s="2001">
        <v>1.1000000000000001</v>
      </c>
      <c r="H51" s="2910"/>
      <c r="I51" s="2002">
        <f t="shared" si="174"/>
        <v>0.46</v>
      </c>
      <c r="J51" s="2899"/>
      <c r="K51" s="2037"/>
      <c r="L51" s="2022">
        <f t="shared" si="175"/>
        <v>5.5000000000000005E-3</v>
      </c>
      <c r="M51" s="2022">
        <f t="shared" si="175"/>
        <v>4.5999999999999999E-3</v>
      </c>
      <c r="N51" s="2022">
        <f t="shared" si="175"/>
        <v>1.1000000000000001E-2</v>
      </c>
      <c r="O51" s="2022"/>
      <c r="P51" s="2022">
        <f t="shared" si="189"/>
        <v>4.5999999999999999E-3</v>
      </c>
      <c r="Q51" s="2899"/>
      <c r="R51" s="2021"/>
      <c r="S51" s="2021">
        <f>ROUND(IF(项目基本情况!$B$8="出让",SUMPRODUCT(PRODUCT(1+L51:L$52)),SUMPRODUCT(PRODUCT(1+L51:L$51))),4)</f>
        <v>1.0055000000000001</v>
      </c>
      <c r="T51" s="2021">
        <f>ROUND(IF(项目基本情况!$B$8="出让",SUMPRODUCT(PRODUCT(1+M51:M$52)),SUMPRODUCT(PRODUCT(1+M51:M$51))),4)</f>
        <v>1.0045999999999999</v>
      </c>
      <c r="U51" s="2021">
        <f>ROUND(IF(项目基本情况!$B$8="出让",SUMPRODUCT(PRODUCT(1+N51:N$52)),SUMPRODUCT(PRODUCT(1+N51:N$51))),4)</f>
        <v>1.0109999999999999</v>
      </c>
      <c r="V51" s="2021"/>
      <c r="W51" s="2021">
        <f t="shared" si="190"/>
        <v>1.0045999999999999</v>
      </c>
      <c r="X51" s="2899"/>
      <c r="Y51" s="2022"/>
      <c r="Z51" s="2895">
        <f t="shared" si="191"/>
        <v>4.4999999999999997E-3</v>
      </c>
      <c r="AA51" s="2896">
        <f t="shared" si="191"/>
        <v>8.2000000000000007E-3</v>
      </c>
      <c r="AB51" s="2022">
        <f t="shared" si="191"/>
        <v>1.04E-2</v>
      </c>
      <c r="AC51" s="2897"/>
      <c r="AD51" s="2022">
        <f t="shared" si="191"/>
        <v>4.7000000000000002E-3</v>
      </c>
      <c r="AG51" s="3144">
        <f>$AG$52*S51</f>
        <v>100.55000000000001</v>
      </c>
      <c r="AH51" s="3144">
        <f t="shared" ref="AH51:AK51" si="192">$AG$52*T51</f>
        <v>100.46</v>
      </c>
      <c r="AI51" s="3144">
        <f t="shared" si="192"/>
        <v>101.1</v>
      </c>
      <c r="AJ51" s="3146"/>
      <c r="AK51" s="3144">
        <f t="shared" si="192"/>
        <v>100.46</v>
      </c>
      <c r="AN51" s="3144">
        <f t="shared" si="148"/>
        <v>99.377663768124336</v>
      </c>
      <c r="AO51" s="3144">
        <f t="shared" si="159"/>
        <v>100.78374438219622</v>
      </c>
      <c r="AP51" s="3144">
        <f t="shared" si="160"/>
        <v>97.7921188419093</v>
      </c>
      <c r="AQ51" s="3144"/>
      <c r="AR51" s="3144">
        <f t="shared" si="161"/>
        <v>100.78374438219622</v>
      </c>
    </row>
    <row r="52" spans="1:44" s="2921" customFormat="1" ht="14.25" thickBot="1">
      <c r="A52" s="2911" t="s">
        <v>2820</v>
      </c>
      <c r="B52" s="2912">
        <v>2021</v>
      </c>
      <c r="C52" s="2913">
        <v>1</v>
      </c>
      <c r="D52" s="2914"/>
      <c r="E52" s="2914">
        <v>0.35</v>
      </c>
      <c r="F52" s="2914">
        <v>0.48</v>
      </c>
      <c r="G52" s="2914">
        <v>0.98</v>
      </c>
      <c r="H52" s="2915"/>
      <c r="I52" s="2916">
        <f t="shared" si="174"/>
        <v>0.48</v>
      </c>
      <c r="J52" s="2917"/>
      <c r="K52" s="2918"/>
      <c r="L52" s="2919">
        <f t="shared" si="175"/>
        <v>3.4999999999999996E-3</v>
      </c>
      <c r="M52" s="2919">
        <f>F52/100</f>
        <v>4.7999999999999996E-3</v>
      </c>
      <c r="N52" s="2919">
        <f t="shared" si="175"/>
        <v>9.7999999999999997E-3</v>
      </c>
      <c r="O52" s="2919"/>
      <c r="P52" s="2919">
        <f t="shared" si="189"/>
        <v>4.7999999999999996E-3</v>
      </c>
      <c r="Q52" s="2917"/>
      <c r="R52" s="2920"/>
      <c r="S52" s="2920">
        <v>1</v>
      </c>
      <c r="T52" s="2920">
        <v>1</v>
      </c>
      <c r="U52" s="2920">
        <v>1</v>
      </c>
      <c r="V52" s="2920"/>
      <c r="W52" s="2920">
        <f t="shared" si="190"/>
        <v>1</v>
      </c>
      <c r="X52" s="2917"/>
      <c r="Y52" s="2919"/>
      <c r="Z52" s="2927">
        <f t="shared" si="191"/>
        <v>3.5000000000000001E-3</v>
      </c>
      <c r="AA52" s="2928">
        <f t="shared" si="191"/>
        <v>9.1000000000000004E-3</v>
      </c>
      <c r="AB52" s="2919">
        <f t="shared" si="191"/>
        <v>9.7999999999999997E-3</v>
      </c>
      <c r="AC52" s="2929"/>
      <c r="AD52" s="2919">
        <f t="shared" si="191"/>
        <v>4.7999999999999996E-3</v>
      </c>
      <c r="AG52" s="3148">
        <v>100</v>
      </c>
      <c r="AH52" s="3148">
        <v>100</v>
      </c>
      <c r="AI52" s="3148">
        <v>100</v>
      </c>
      <c r="AJ52" s="3148"/>
      <c r="AK52" s="3148">
        <v>100</v>
      </c>
      <c r="AN52" s="3151">
        <f t="shared" si="148"/>
        <v>98.83407634820918</v>
      </c>
      <c r="AO52" s="3151">
        <f t="shared" si="159"/>
        <v>100.32226197710156</v>
      </c>
      <c r="AP52" s="3151">
        <f t="shared" si="160"/>
        <v>96.728109635914251</v>
      </c>
      <c r="AQ52" s="3151"/>
      <c r="AR52" s="3151">
        <f t="shared" si="161"/>
        <v>100.32226197710156</v>
      </c>
    </row>
    <row r="53" spans="1:44" ht="14.25" thickTop="1"/>
    <row r="54" spans="1:44">
      <c r="A54" s="3134" t="s">
        <v>3375</v>
      </c>
    </row>
    <row r="56" spans="1:44">
      <c r="F56">
        <f>(100+F7)/100</f>
        <v>0.98950000000000005</v>
      </c>
    </row>
    <row r="57" spans="1:44">
      <c r="F57">
        <f t="shared" ref="F57:F79" si="193">(100+F8)/100</f>
        <v>0.99099999999999999</v>
      </c>
    </row>
    <row r="58" spans="1:44">
      <c r="F58">
        <f t="shared" si="193"/>
        <v>0.99250000000000005</v>
      </c>
    </row>
    <row r="59" spans="1:44">
      <c r="F59">
        <f t="shared" si="193"/>
        <v>0.99709999999999999</v>
      </c>
    </row>
    <row r="60" spans="1:44">
      <c r="F60">
        <f t="shared" si="193"/>
        <v>0.98620000000000008</v>
      </c>
    </row>
    <row r="61" spans="1:44">
      <c r="F61">
        <f t="shared" si="193"/>
        <v>0.99840000000000007</v>
      </c>
    </row>
    <row r="62" spans="1:44">
      <c r="F62">
        <f t="shared" si="193"/>
        <v>0.99840000000000007</v>
      </c>
    </row>
    <row r="63" spans="1:44">
      <c r="F63">
        <f t="shared" si="193"/>
        <v>1.0031000000000001</v>
      </c>
    </row>
    <row r="64" spans="1:44">
      <c r="F64">
        <f t="shared" si="193"/>
        <v>1.0046999999999999</v>
      </c>
    </row>
    <row r="65" spans="6:7">
      <c r="F65">
        <f t="shared" si="193"/>
        <v>1.0057</v>
      </c>
    </row>
    <row r="66" spans="6:7">
      <c r="F66">
        <f t="shared" si="193"/>
        <v>1.0011000000000001</v>
      </c>
    </row>
    <row r="67" spans="6:7">
      <c r="F67">
        <f t="shared" si="193"/>
        <v>1.0023</v>
      </c>
    </row>
    <row r="68" spans="6:7">
      <c r="F68">
        <f>(100+F19)/100</f>
        <v>1.0001</v>
      </c>
    </row>
    <row r="69" spans="6:7">
      <c r="F69">
        <f t="shared" si="193"/>
        <v>1.0037</v>
      </c>
    </row>
    <row r="70" spans="6:7">
      <c r="F70">
        <f t="shared" si="193"/>
        <v>1.0006999999999999</v>
      </c>
    </row>
    <row r="71" spans="6:7">
      <c r="F71">
        <f t="shared" si="193"/>
        <v>1.0024</v>
      </c>
    </row>
    <row r="72" spans="6:7">
      <c r="F72">
        <f t="shared" si="193"/>
        <v>1.0041</v>
      </c>
      <c r="G72">
        <f>PRODUCT(F56:F72)</f>
        <v>0.98090371284582722</v>
      </c>
    </row>
    <row r="73" spans="6:7">
      <c r="F73">
        <f t="shared" si="193"/>
        <v>0.99750000000000005</v>
      </c>
    </row>
    <row r="74" spans="6:7">
      <c r="F74">
        <f t="shared" si="193"/>
        <v>1</v>
      </c>
    </row>
    <row r="75" spans="6:7">
      <c r="F75">
        <f t="shared" si="193"/>
        <v>1</v>
      </c>
    </row>
    <row r="76" spans="6:7">
      <c r="F76">
        <f t="shared" si="193"/>
        <v>1</v>
      </c>
    </row>
    <row r="77" spans="6:7">
      <c r="F77">
        <f t="shared" si="193"/>
        <v>1</v>
      </c>
    </row>
    <row r="78" spans="6:7">
      <c r="F78">
        <f t="shared" si="193"/>
        <v>1</v>
      </c>
    </row>
    <row r="79" spans="6:7">
      <c r="F79" t="e">
        <f t="shared" si="193"/>
        <v>#VALUE!</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2" t="s">
        <v>949</v>
      </c>
      <c r="B1" s="3192"/>
      <c r="C1" s="3192"/>
      <c r="D1" s="3192"/>
    </row>
    <row r="2" spans="1:4" ht="18">
      <c r="A2" s="3193" t="s">
        <v>933</v>
      </c>
      <c r="B2" s="3193"/>
      <c r="C2" s="3193"/>
      <c r="D2" s="3193"/>
    </row>
    <row r="3" spans="1:4" ht="18.75">
      <c r="A3" s="1403" t="s">
        <v>934</v>
      </c>
      <c r="B3" s="1403" t="s">
        <v>935</v>
      </c>
      <c r="C3" s="1403" t="s">
        <v>936</v>
      </c>
      <c r="D3" s="1403" t="s">
        <v>937</v>
      </c>
    </row>
    <row r="4" spans="1:4" ht="56.25" customHeight="1">
      <c r="A4" s="1404">
        <f>项目基本情况!B4</f>
        <v>0</v>
      </c>
      <c r="B4" s="1405">
        <f>项目基本情况!C4</f>
        <v>0</v>
      </c>
      <c r="C4" s="1406"/>
      <c r="D4" s="1407" t="s">
        <v>938</v>
      </c>
    </row>
    <row r="5" spans="1:4" ht="56.25" customHeight="1">
      <c r="A5" s="1404">
        <f>项目基本情况!D4</f>
        <v>0</v>
      </c>
      <c r="B5" s="1405">
        <f>项目基本情况!E4</f>
        <v>0</v>
      </c>
      <c r="C5" s="1408"/>
      <c r="D5" s="1407" t="s">
        <v>938</v>
      </c>
    </row>
    <row r="6" spans="1:4" ht="18">
      <c r="A6" s="3193" t="s">
        <v>939</v>
      </c>
      <c r="B6" s="3193"/>
      <c r="C6" s="3193"/>
      <c r="D6" s="3193"/>
    </row>
    <row r="7" spans="1:4" ht="18.75">
      <c r="A7" s="1403" t="s">
        <v>934</v>
      </c>
      <c r="B7" s="1405" t="s">
        <v>940</v>
      </c>
      <c r="C7" s="1403" t="s">
        <v>936</v>
      </c>
      <c r="D7" s="1403" t="s">
        <v>937</v>
      </c>
    </row>
    <row r="8" spans="1:4" ht="56.25" customHeight="1">
      <c r="A8" s="1409" t="s">
        <v>390</v>
      </c>
      <c r="B8" s="1409" t="s">
        <v>0</v>
      </c>
      <c r="C8" s="1406"/>
      <c r="D8" s="1407" t="s">
        <v>938</v>
      </c>
    </row>
    <row r="10" spans="1:4" ht="18.75">
      <c r="A10" s="1410" t="s">
        <v>941</v>
      </c>
    </row>
    <row r="11" spans="1:4" ht="30" customHeight="1">
      <c r="A11" s="3194"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6" t="str">
        <f>IF(项目基本情况!B8="抵押","4.本次评估估价师所知悉的法定优先受偿款情况说明如下：","——")</f>
        <v>4.本次评估估价师所知悉的法定优先受偿款情况说明如下：</v>
      </c>
      <c r="B14" s="3191"/>
      <c r="C14" s="3191"/>
      <c r="D14" s="3191"/>
    </row>
    <row r="15" spans="1:4" ht="42" customHeight="1">
      <c r="A15" s="31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8" t="s">
        <v>943</v>
      </c>
      <c r="B16" s="3188"/>
      <c r="C16" s="3188"/>
      <c r="D16" s="3188"/>
    </row>
    <row r="17" spans="1:4" ht="144" customHeight="1">
      <c r="A17" s="3188" t="s">
        <v>944</v>
      </c>
      <c r="B17" s="3188"/>
      <c r="C17" s="3188"/>
      <c r="D17" s="3188"/>
    </row>
    <row r="18" spans="1:4" ht="15.75" customHeight="1">
      <c r="A18" s="3186" t="str">
        <f>IF(项目基本情况!B8="抵押",结果表!K120,"——")</f>
        <v>故，本次评估不存在</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9"/>
      <c r="C21" s="3189"/>
      <c r="D21" s="3189"/>
    </row>
    <row r="22" spans="1:4" ht="18.75" customHeight="1">
      <c r="A22" s="3190" t="s">
        <v>945</v>
      </c>
      <c r="B22" s="3190"/>
      <c r="C22" s="3190"/>
      <c r="D22" s="3190"/>
    </row>
    <row r="23" spans="1:4">
      <c r="A23" s="1411"/>
      <c r="B23" s="459"/>
      <c r="C23" s="459"/>
      <c r="D23" s="459"/>
    </row>
    <row r="24" spans="1:4">
      <c r="A24" s="1411"/>
      <c r="B24" s="459"/>
      <c r="C24" s="459"/>
      <c r="D24" s="459"/>
    </row>
    <row r="25" spans="1:4" ht="18.75">
      <c r="A25" s="1412" t="s">
        <v>946</v>
      </c>
    </row>
    <row r="26" spans="1:4" ht="18">
      <c r="A26" s="1383"/>
    </row>
    <row r="27" spans="1:4" ht="18.75">
      <c r="A27" s="1383" t="s">
        <v>947</v>
      </c>
    </row>
    <row r="30" spans="1:4" ht="18.75">
      <c r="D30" s="1412" t="s">
        <v>948</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493" t="s">
        <v>452</v>
      </c>
      <c r="C1" s="3493"/>
      <c r="D1" s="3493"/>
      <c r="E1" s="3493"/>
      <c r="F1" s="3493"/>
      <c r="G1" s="3489" t="s">
        <v>453</v>
      </c>
      <c r="H1" s="3489"/>
      <c r="I1" s="3489"/>
      <c r="J1" s="3489"/>
      <c r="K1" s="3489"/>
      <c r="L1" s="3489"/>
      <c r="N1" s="3489" t="s">
        <v>454</v>
      </c>
      <c r="O1" s="3489"/>
      <c r="P1" s="3489"/>
      <c r="Q1" s="3489"/>
      <c r="S1" s="3489" t="s">
        <v>455</v>
      </c>
      <c r="T1" s="3489"/>
      <c r="U1" s="3489"/>
      <c r="V1" s="3489"/>
      <c r="X1" s="3488" t="s">
        <v>456</v>
      </c>
      <c r="Y1" s="3489"/>
      <c r="Z1" s="3489"/>
      <c r="AA1" s="3489"/>
      <c r="AB1" s="3489"/>
      <c r="AD1" s="3488" t="s">
        <v>457</v>
      </c>
      <c r="AE1" s="3489"/>
      <c r="AF1" s="3489"/>
      <c r="AG1" s="3489"/>
      <c r="AH1" s="3489"/>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2114</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3358</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3355</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2115</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3356</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3357</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2432</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2309</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2308</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2307</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2304</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2303</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2130</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2128</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2127</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2126</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2124</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2123</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2125</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491">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2121</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491"/>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2120</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491"/>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2113</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498"/>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2111</v>
      </c>
      <c r="B25" s="2043">
        <v>439</v>
      </c>
      <c r="C25" s="2043">
        <v>327</v>
      </c>
      <c r="D25" s="2043">
        <f>C25</f>
        <v>327</v>
      </c>
      <c r="E25" s="2043">
        <v>627</v>
      </c>
      <c r="F25" s="2044">
        <v>283</v>
      </c>
      <c r="G25" s="3494">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2112</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491"/>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491"/>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498"/>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494">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491"/>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491"/>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492"/>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490">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491"/>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491"/>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492"/>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490">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491"/>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491"/>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492"/>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495">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496"/>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496"/>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497"/>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490">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491"/>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491"/>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492"/>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490">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491">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491">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492">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490">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491">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491">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492">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490">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491">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491">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492">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490">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491">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491">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492">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490">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491">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491">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492">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490">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491">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491">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492">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490">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491">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491">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492">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490">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491">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491">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492">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490">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491">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491">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492">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490">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491">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491">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492">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501" t="s">
        <v>2835</v>
      </c>
      <c r="B1" s="3501"/>
      <c r="C1" s="3501"/>
      <c r="D1" s="3501"/>
      <c r="E1" s="3501"/>
      <c r="F1" s="3501"/>
      <c r="G1" s="3502"/>
      <c r="I1" s="2931" t="s">
        <v>2836</v>
      </c>
      <c r="J1" s="2932" t="s">
        <v>2837</v>
      </c>
      <c r="K1" s="2932" t="s">
        <v>2838</v>
      </c>
      <c r="L1" s="2932" t="s">
        <v>2839</v>
      </c>
      <c r="M1" s="2932" t="s">
        <v>2840</v>
      </c>
      <c r="N1" s="2932" t="s">
        <v>2841</v>
      </c>
      <c r="O1" s="2932" t="s">
        <v>2842</v>
      </c>
      <c r="P1" s="2932" t="s">
        <v>2843</v>
      </c>
      <c r="Q1" s="2932" t="s">
        <v>2844</v>
      </c>
      <c r="R1" s="2932" t="s">
        <v>2845</v>
      </c>
      <c r="S1" s="2932" t="s">
        <v>2846</v>
      </c>
      <c r="T1" s="2933" t="s">
        <v>2847</v>
      </c>
    </row>
    <row r="2" spans="1:20" ht="12" thickBot="1">
      <c r="A2" s="2934" t="s">
        <v>2848</v>
      </c>
      <c r="B2" s="2934"/>
      <c r="C2" s="2934"/>
      <c r="D2" s="2934"/>
      <c r="E2" s="2934"/>
      <c r="F2" s="2934"/>
      <c r="G2" s="2935" t="s">
        <v>2849</v>
      </c>
      <c r="I2" s="2936" t="s">
        <v>2850</v>
      </c>
      <c r="J2" s="2936" t="s">
        <v>2851</v>
      </c>
      <c r="K2" s="2936" t="s">
        <v>2852</v>
      </c>
      <c r="L2" s="2936" t="s">
        <v>2853</v>
      </c>
      <c r="M2" s="2936" t="s">
        <v>2854</v>
      </c>
      <c r="N2" s="2936" t="s">
        <v>2855</v>
      </c>
      <c r="O2" s="2936" t="s">
        <v>2856</v>
      </c>
      <c r="P2" s="2936" t="s">
        <v>2857</v>
      </c>
      <c r="Q2" s="2936" t="s">
        <v>2858</v>
      </c>
      <c r="R2" s="2936" t="s">
        <v>2859</v>
      </c>
      <c r="S2" s="2936" t="s">
        <v>2860</v>
      </c>
      <c r="T2" s="2936" t="s">
        <v>2861</v>
      </c>
    </row>
    <row r="3" spans="1:20" s="2942" customFormat="1">
      <c r="A3" s="3499" t="s">
        <v>2862</v>
      </c>
      <c r="B3" s="2937"/>
      <c r="C3" s="2938" t="s">
        <v>2807</v>
      </c>
      <c r="D3" s="2938" t="s">
        <v>2863</v>
      </c>
      <c r="E3" s="2938" t="s">
        <v>2809</v>
      </c>
      <c r="F3" s="2938" t="s">
        <v>2864</v>
      </c>
      <c r="G3" s="2938" t="s">
        <v>2627</v>
      </c>
      <c r="H3" s="2939"/>
      <c r="I3" s="2940" t="s">
        <v>2865</v>
      </c>
      <c r="J3" s="2941" t="s">
        <v>128</v>
      </c>
      <c r="K3" s="2941" t="s">
        <v>129</v>
      </c>
      <c r="L3" s="2940" t="s">
        <v>130</v>
      </c>
      <c r="M3" s="2940" t="s">
        <v>131</v>
      </c>
      <c r="N3" s="2940" t="s">
        <v>132</v>
      </c>
      <c r="O3" s="2940" t="s">
        <v>133</v>
      </c>
      <c r="P3" s="2940" t="s">
        <v>134</v>
      </c>
      <c r="Q3" s="2940" t="s">
        <v>135</v>
      </c>
      <c r="R3" s="2940" t="s">
        <v>136</v>
      </c>
      <c r="S3" s="2940" t="s">
        <v>2866</v>
      </c>
      <c r="T3" s="2940" t="s">
        <v>2867</v>
      </c>
    </row>
    <row r="4" spans="1:20" s="2942" customFormat="1" ht="12" thickBot="1">
      <c r="A4" s="3500"/>
      <c r="B4" s="2943" t="s">
        <v>2868</v>
      </c>
      <c r="C4" s="2943" t="s">
        <v>2869</v>
      </c>
      <c r="D4" s="2943" t="s">
        <v>2869</v>
      </c>
      <c r="E4" s="2943" t="s">
        <v>2869</v>
      </c>
      <c r="F4" s="2944" t="s">
        <v>2869</v>
      </c>
      <c r="G4" s="2944" t="s">
        <v>2869</v>
      </c>
      <c r="H4" s="2939"/>
      <c r="I4" s="2941" t="s">
        <v>137</v>
      </c>
      <c r="J4" s="2941" t="s">
        <v>111</v>
      </c>
      <c r="K4" s="2941" t="s">
        <v>138</v>
      </c>
      <c r="L4" s="2940" t="s">
        <v>139</v>
      </c>
      <c r="M4" s="2940" t="s">
        <v>140</v>
      </c>
      <c r="N4" s="2940" t="s">
        <v>141</v>
      </c>
      <c r="O4" s="2940" t="s">
        <v>142</v>
      </c>
      <c r="P4" s="2940" t="s">
        <v>143</v>
      </c>
      <c r="Q4" s="2940" t="s">
        <v>2870</v>
      </c>
      <c r="R4" s="2940" t="s">
        <v>2871</v>
      </c>
      <c r="S4" s="2940" t="s">
        <v>2872</v>
      </c>
      <c r="T4" s="2940" t="s">
        <v>2873</v>
      </c>
    </row>
    <row r="5" spans="1:20">
      <c r="A5" s="2945" t="s">
        <v>2836</v>
      </c>
      <c r="B5" s="2936" t="s">
        <v>2850</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2874</v>
      </c>
      <c r="R5" s="2940" t="s">
        <v>2875</v>
      </c>
      <c r="S5" s="2940" t="s">
        <v>153</v>
      </c>
      <c r="T5" s="2940" t="s">
        <v>2876</v>
      </c>
    </row>
    <row r="6" spans="1:20" ht="12" thickBot="1">
      <c r="A6" s="2940" t="s">
        <v>144</v>
      </c>
      <c r="B6" s="2940" t="s">
        <v>2865</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2877</v>
      </c>
      <c r="Q6" s="2940" t="s">
        <v>2878</v>
      </c>
      <c r="R6" s="2940" t="s">
        <v>161</v>
      </c>
      <c r="S6" s="2940" t="s">
        <v>2879</v>
      </c>
      <c r="T6" s="2940" t="s">
        <v>2880</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2881</v>
      </c>
      <c r="Q7" s="2940" t="s">
        <v>2882</v>
      </c>
      <c r="R7" s="2940" t="s">
        <v>2883</v>
      </c>
      <c r="S7" s="2940" t="s">
        <v>2884</v>
      </c>
      <c r="T7" s="2940" t="s">
        <v>2885</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2886</v>
      </c>
      <c r="Q8" s="2940" t="s">
        <v>174</v>
      </c>
      <c r="R8" s="2940" t="s">
        <v>2887</v>
      </c>
      <c r="S8" s="2940" t="s">
        <v>2888</v>
      </c>
      <c r="T8" s="2947" t="s">
        <v>2889</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2890</v>
      </c>
      <c r="Q9" s="2940" t="s">
        <v>182</v>
      </c>
      <c r="R9" s="2940" t="s">
        <v>183</v>
      </c>
      <c r="S9" s="2940" t="s">
        <v>200</v>
      </c>
    </row>
    <row r="10" spans="1:20">
      <c r="A10" s="2945" t="s">
        <v>184</v>
      </c>
      <c r="B10" s="2936" t="s">
        <v>2851</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2891</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2892</v>
      </c>
      <c r="P11" s="2940" t="s">
        <v>191</v>
      </c>
      <c r="Q11" s="2940" t="s">
        <v>199</v>
      </c>
      <c r="R11" s="2940" t="s">
        <v>2893</v>
      </c>
      <c r="S11" s="2940" t="s">
        <v>2894</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2895</v>
      </c>
      <c r="P12" s="2940" t="s">
        <v>2896</v>
      </c>
      <c r="Q12" s="2940" t="s">
        <v>2897</v>
      </c>
      <c r="R12" s="2940" t="s">
        <v>2898</v>
      </c>
      <c r="S12" s="2940" t="s">
        <v>2899</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2900</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2901</v>
      </c>
      <c r="K14" s="2941" t="s">
        <v>215</v>
      </c>
      <c r="L14" s="2940" t="s">
        <v>216</v>
      </c>
      <c r="M14" s="2940" t="s">
        <v>217</v>
      </c>
      <c r="N14" s="2940" t="s">
        <v>218</v>
      </c>
      <c r="O14" s="2940" t="s">
        <v>240</v>
      </c>
      <c r="P14" s="2940" t="s">
        <v>213</v>
      </c>
      <c r="Q14" s="2940" t="s">
        <v>2902</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2903</v>
      </c>
      <c r="P15" s="2940" t="s">
        <v>2904</v>
      </c>
      <c r="Q15" s="2940" t="s">
        <v>242</v>
      </c>
      <c r="R15" s="2940" t="s">
        <v>2905</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2906</v>
      </c>
      <c r="P16" s="2940" t="s">
        <v>227</v>
      </c>
      <c r="Q16" s="2940" t="s">
        <v>250</v>
      </c>
      <c r="R16" s="2940" t="s">
        <v>207</v>
      </c>
      <c r="S16" s="2940" t="s">
        <v>2907</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2908</v>
      </c>
      <c r="P17" s="2940" t="s">
        <v>2909</v>
      </c>
      <c r="Q17" s="2940" t="s">
        <v>256</v>
      </c>
      <c r="R17" s="2940" t="s">
        <v>2910</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2911</v>
      </c>
      <c r="P18" s="2940" t="s">
        <v>241</v>
      </c>
      <c r="Q18" s="2940" t="s">
        <v>2912</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2913</v>
      </c>
      <c r="P19" s="2940" t="s">
        <v>249</v>
      </c>
      <c r="Q19" s="2940" t="s">
        <v>2914</v>
      </c>
      <c r="R19" s="2940" t="s">
        <v>265</v>
      </c>
      <c r="S19" s="2940" t="s">
        <v>2915</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2916</v>
      </c>
      <c r="P20" s="2940" t="s">
        <v>2917</v>
      </c>
      <c r="Q20" s="2940" t="s">
        <v>290</v>
      </c>
      <c r="R20" s="2940" t="s">
        <v>2918</v>
      </c>
      <c r="S20" s="2940" t="s">
        <v>277</v>
      </c>
    </row>
    <row r="21" spans="1:19" ht="14.25" customHeight="1" thickBot="1">
      <c r="A21" s="2940" t="s">
        <v>184</v>
      </c>
      <c r="B21" s="2941" t="s">
        <v>208</v>
      </c>
      <c r="C21" s="2940">
        <v>32370</v>
      </c>
      <c r="D21" s="2940">
        <v>26730</v>
      </c>
      <c r="E21" s="2940">
        <v>26640</v>
      </c>
      <c r="F21" s="2940"/>
      <c r="G21" s="2940">
        <v>19440</v>
      </c>
      <c r="J21" s="2947" t="s">
        <v>2919</v>
      </c>
      <c r="K21" s="2941" t="s">
        <v>267</v>
      </c>
      <c r="L21" s="2940" t="s">
        <v>268</v>
      </c>
      <c r="M21" s="2940" t="s">
        <v>269</v>
      </c>
      <c r="N21" s="2940" t="s">
        <v>270</v>
      </c>
      <c r="O21" s="2940" t="s">
        <v>264</v>
      </c>
      <c r="P21" s="2940" t="s">
        <v>283</v>
      </c>
      <c r="Q21" s="2940" t="s">
        <v>293</v>
      </c>
      <c r="R21" s="2940" t="s">
        <v>2920</v>
      </c>
      <c r="S21" s="2947" t="s">
        <v>2921</v>
      </c>
    </row>
    <row r="22" spans="1:19" ht="14.25" customHeight="1">
      <c r="A22" s="2940" t="s">
        <v>184</v>
      </c>
      <c r="B22" s="2941" t="s">
        <v>2901</v>
      </c>
      <c r="C22" s="2940">
        <v>29830</v>
      </c>
      <c r="D22" s="2940">
        <v>27600</v>
      </c>
      <c r="E22" s="2940">
        <v>28150</v>
      </c>
      <c r="F22" s="2940"/>
      <c r="G22" s="2940">
        <v>20080</v>
      </c>
      <c r="K22" s="2941" t="s">
        <v>2922</v>
      </c>
      <c r="L22" s="2940" t="s">
        <v>272</v>
      </c>
      <c r="M22" s="2940" t="s">
        <v>273</v>
      </c>
      <c r="N22" s="2940" t="s">
        <v>274</v>
      </c>
      <c r="O22" s="2940" t="s">
        <v>2923</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2924</v>
      </c>
      <c r="L23" s="2940" t="s">
        <v>278</v>
      </c>
      <c r="M23" s="2940" t="s">
        <v>279</v>
      </c>
      <c r="N23" s="2940" t="s">
        <v>2925</v>
      </c>
      <c r="O23" s="2940" t="s">
        <v>2926</v>
      </c>
      <c r="P23" s="2940" t="s">
        <v>289</v>
      </c>
      <c r="Q23" s="2940" t="s">
        <v>298</v>
      </c>
      <c r="R23" s="2940" t="s">
        <v>2927</v>
      </c>
    </row>
    <row r="24" spans="1:19" ht="14.25" customHeight="1">
      <c r="A24" s="2940" t="s">
        <v>184</v>
      </c>
      <c r="B24" s="2941" t="s">
        <v>230</v>
      </c>
      <c r="C24" s="2940">
        <v>27930</v>
      </c>
      <c r="D24" s="2940">
        <v>32260</v>
      </c>
      <c r="E24" s="2940">
        <v>32120</v>
      </c>
      <c r="F24" s="2940"/>
      <c r="G24" s="2940">
        <v>23470</v>
      </c>
      <c r="K24" s="2941" t="s">
        <v>2928</v>
      </c>
      <c r="L24" s="2940" t="s">
        <v>281</v>
      </c>
      <c r="M24" s="2940" t="s">
        <v>282</v>
      </c>
      <c r="N24" s="2940" t="s">
        <v>2929</v>
      </c>
      <c r="O24" s="2940" t="s">
        <v>285</v>
      </c>
      <c r="P24" s="2940" t="s">
        <v>2930</v>
      </c>
      <c r="Q24" s="2949" t="s">
        <v>2931</v>
      </c>
      <c r="R24" s="2940" t="s">
        <v>2932</v>
      </c>
    </row>
    <row r="25" spans="1:19" ht="14.25" customHeight="1">
      <c r="A25" s="2940" t="s">
        <v>184</v>
      </c>
      <c r="B25" s="2941" t="s">
        <v>235</v>
      </c>
      <c r="C25" s="2940">
        <v>32230</v>
      </c>
      <c r="D25" s="2940">
        <v>29640</v>
      </c>
      <c r="E25" s="2940">
        <v>29510</v>
      </c>
      <c r="F25" s="2940"/>
      <c r="G25" s="2940">
        <v>21560</v>
      </c>
      <c r="K25" s="2941" t="s">
        <v>2933</v>
      </c>
      <c r="L25" s="2940" t="s">
        <v>2934</v>
      </c>
      <c r="M25" s="2940" t="s">
        <v>284</v>
      </c>
      <c r="N25" s="2940" t="s">
        <v>292</v>
      </c>
      <c r="O25" s="2940" t="s">
        <v>288</v>
      </c>
      <c r="P25" s="2940" t="s">
        <v>275</v>
      </c>
      <c r="Q25" s="2949" t="s">
        <v>271</v>
      </c>
      <c r="R25" s="2940" t="s">
        <v>2935</v>
      </c>
    </row>
    <row r="26" spans="1:19" ht="14.25" customHeight="1" thickBot="1">
      <c r="A26" s="2940" t="s">
        <v>184</v>
      </c>
      <c r="B26" s="2941" t="s">
        <v>244</v>
      </c>
      <c r="C26" s="2940">
        <v>31690</v>
      </c>
      <c r="D26" s="2940">
        <v>27650</v>
      </c>
      <c r="E26" s="2940">
        <v>28200</v>
      </c>
      <c r="F26" s="2940"/>
      <c r="G26" s="2940">
        <v>20110</v>
      </c>
      <c r="K26" s="2946" t="s">
        <v>2936</v>
      </c>
      <c r="L26" s="2940" t="s">
        <v>2937</v>
      </c>
      <c r="M26" s="2940" t="s">
        <v>287</v>
      </c>
      <c r="N26" s="2940" t="s">
        <v>294</v>
      </c>
      <c r="O26" s="2940" t="s">
        <v>2938</v>
      </c>
      <c r="P26" s="2940" t="s">
        <v>2939</v>
      </c>
      <c r="Q26" s="2949" t="s">
        <v>276</v>
      </c>
      <c r="R26" s="2940" t="s">
        <v>2940</v>
      </c>
    </row>
    <row r="27" spans="1:19" ht="14.25" customHeight="1">
      <c r="A27" s="2940" t="s">
        <v>184</v>
      </c>
      <c r="B27" s="2941" t="s">
        <v>251</v>
      </c>
      <c r="C27" s="2940">
        <v>29610</v>
      </c>
      <c r="D27" s="2940">
        <v>27770</v>
      </c>
      <c r="E27" s="2940">
        <v>28300</v>
      </c>
      <c r="F27" s="2940"/>
      <c r="G27" s="2940">
        <v>20210</v>
      </c>
      <c r="L27" s="2940" t="s">
        <v>2941</v>
      </c>
      <c r="M27" s="2940" t="s">
        <v>291</v>
      </c>
      <c r="N27" s="2940" t="s">
        <v>297</v>
      </c>
      <c r="O27" s="2940" t="s">
        <v>2942</v>
      </c>
      <c r="P27" s="2940" t="s">
        <v>2943</v>
      </c>
      <c r="Q27" s="2940" t="s">
        <v>2944</v>
      </c>
      <c r="R27" s="2940" t="s">
        <v>2945</v>
      </c>
    </row>
    <row r="28" spans="1:19" ht="14.25" customHeight="1">
      <c r="A28" s="2940" t="s">
        <v>184</v>
      </c>
      <c r="B28" s="2941" t="s">
        <v>259</v>
      </c>
      <c r="C28" s="2940"/>
      <c r="D28" s="2940">
        <v>31520</v>
      </c>
      <c r="E28" s="2940">
        <v>31410</v>
      </c>
      <c r="F28" s="2940"/>
      <c r="G28" s="2940">
        <v>22940</v>
      </c>
      <c r="L28" s="2940" t="s">
        <v>2946</v>
      </c>
      <c r="M28" s="2940" t="s">
        <v>2947</v>
      </c>
      <c r="N28" s="2940" t="s">
        <v>2948</v>
      </c>
      <c r="O28" s="2940" t="s">
        <v>2949</v>
      </c>
      <c r="P28" s="2940" t="s">
        <v>2950</v>
      </c>
      <c r="Q28" s="2940" t="s">
        <v>2951</v>
      </c>
      <c r="R28" s="2940" t="s">
        <v>2952</v>
      </c>
    </row>
    <row r="29" spans="1:19" ht="14.25" customHeight="1" thickBot="1">
      <c r="A29" s="2948" t="s">
        <v>184</v>
      </c>
      <c r="B29" s="2950" t="s">
        <v>2919</v>
      </c>
      <c r="C29" s="2951"/>
      <c r="D29" s="2951">
        <v>29460</v>
      </c>
      <c r="E29" s="2951">
        <v>28640</v>
      </c>
      <c r="F29" s="2951"/>
      <c r="G29" s="2951">
        <v>21430</v>
      </c>
      <c r="L29" s="2940" t="s">
        <v>2953</v>
      </c>
      <c r="M29" s="2940" t="s">
        <v>2954</v>
      </c>
      <c r="N29" s="2940" t="s">
        <v>2955</v>
      </c>
      <c r="O29" s="2940" t="s">
        <v>2956</v>
      </c>
      <c r="P29" s="2940" t="s">
        <v>2957</v>
      </c>
      <c r="Q29" s="2940" t="s">
        <v>2958</v>
      </c>
      <c r="R29" s="2940" t="s">
        <v>280</v>
      </c>
    </row>
    <row r="30" spans="1:19" ht="14.25" customHeight="1">
      <c r="A30" s="2945" t="s">
        <v>296</v>
      </c>
      <c r="B30" s="2936" t="s">
        <v>2852</v>
      </c>
      <c r="C30" s="2936">
        <v>26890</v>
      </c>
      <c r="D30" s="2936">
        <v>26770</v>
      </c>
      <c r="E30" s="2936">
        <v>25700</v>
      </c>
      <c r="F30" s="2936">
        <v>8180</v>
      </c>
      <c r="G30" s="2952">
        <v>18740</v>
      </c>
      <c r="L30" s="2940" t="s">
        <v>2959</v>
      </c>
      <c r="M30" s="2940" t="s">
        <v>2960</v>
      </c>
      <c r="N30" s="2940" t="s">
        <v>2961</v>
      </c>
      <c r="O30" s="2940" t="s">
        <v>2962</v>
      </c>
      <c r="P30" s="2940" t="s">
        <v>2963</v>
      </c>
      <c r="Q30" s="2940" t="s">
        <v>2964</v>
      </c>
      <c r="R30" s="2940" t="s">
        <v>2965</v>
      </c>
    </row>
    <row r="31" spans="1:19" ht="14.25" customHeight="1">
      <c r="A31" s="2940" t="s">
        <v>296</v>
      </c>
      <c r="B31" s="2941" t="s">
        <v>129</v>
      </c>
      <c r="C31" s="2940">
        <v>24550</v>
      </c>
      <c r="D31" s="2940">
        <v>23990</v>
      </c>
      <c r="E31" s="2940">
        <v>22930</v>
      </c>
      <c r="F31" s="2940">
        <v>7470</v>
      </c>
      <c r="G31" s="2953">
        <v>16790</v>
      </c>
      <c r="L31" s="2940" t="s">
        <v>2966</v>
      </c>
      <c r="M31" s="2940" t="s">
        <v>2967</v>
      </c>
      <c r="N31" s="2940" t="s">
        <v>2968</v>
      </c>
      <c r="O31" s="2940" t="s">
        <v>2969</v>
      </c>
      <c r="P31" s="2940" t="s">
        <v>2970</v>
      </c>
      <c r="Q31" s="2940" t="s">
        <v>2971</v>
      </c>
      <c r="R31" s="2940" t="s">
        <v>2972</v>
      </c>
    </row>
    <row r="32" spans="1:19" ht="14.25" customHeight="1" thickBot="1">
      <c r="A32" s="2940" t="s">
        <v>296</v>
      </c>
      <c r="B32" s="2941" t="s">
        <v>138</v>
      </c>
      <c r="C32" s="2940">
        <v>27210</v>
      </c>
      <c r="D32" s="2940">
        <v>23240</v>
      </c>
      <c r="E32" s="2940">
        <v>23260</v>
      </c>
      <c r="F32" s="2940">
        <v>7130</v>
      </c>
      <c r="G32" s="2953">
        <v>16270</v>
      </c>
      <c r="L32" s="2940" t="s">
        <v>2973</v>
      </c>
      <c r="M32" s="2940" t="s">
        <v>2974</v>
      </c>
      <c r="N32" s="2940" t="s">
        <v>300</v>
      </c>
      <c r="O32" s="2940" t="s">
        <v>2975</v>
      </c>
      <c r="P32" s="2940" t="s">
        <v>299</v>
      </c>
      <c r="Q32" s="2940" t="s">
        <v>2976</v>
      </c>
      <c r="R32" s="2947" t="s">
        <v>2977</v>
      </c>
    </row>
    <row r="33" spans="1:17" ht="14.25" customHeight="1" thickBot="1">
      <c r="A33" s="2940" t="s">
        <v>296</v>
      </c>
      <c r="B33" s="2941" t="s">
        <v>147</v>
      </c>
      <c r="C33" s="2940">
        <v>27300</v>
      </c>
      <c r="D33" s="2940">
        <v>22980</v>
      </c>
      <c r="E33" s="2940">
        <v>24260</v>
      </c>
      <c r="F33" s="2940">
        <v>5860</v>
      </c>
      <c r="G33" s="2953">
        <v>16090</v>
      </c>
      <c r="L33" s="2947" t="s">
        <v>2978</v>
      </c>
      <c r="M33" s="2940" t="s">
        <v>2979</v>
      </c>
      <c r="N33" s="2940" t="s">
        <v>301</v>
      </c>
      <c r="O33" s="2940" t="s">
        <v>2980</v>
      </c>
      <c r="P33" s="2940" t="s">
        <v>2981</v>
      </c>
      <c r="Q33" s="2940" t="s">
        <v>2982</v>
      </c>
    </row>
    <row r="34" spans="1:17" ht="14.25" customHeight="1">
      <c r="A34" s="2940" t="s">
        <v>296</v>
      </c>
      <c r="B34" s="2941" t="s">
        <v>156</v>
      </c>
      <c r="C34" s="2940">
        <v>23090</v>
      </c>
      <c r="D34" s="2940">
        <v>23390</v>
      </c>
      <c r="E34" s="2940">
        <v>23510</v>
      </c>
      <c r="F34" s="2940">
        <v>6700</v>
      </c>
      <c r="G34" s="2953">
        <v>16370</v>
      </c>
      <c r="M34" s="2940" t="s">
        <v>2983</v>
      </c>
      <c r="N34" s="2940" t="s">
        <v>302</v>
      </c>
      <c r="O34" s="2940" t="s">
        <v>2984</v>
      </c>
      <c r="P34" s="2940" t="s">
        <v>2985</v>
      </c>
      <c r="Q34" s="2940" t="s">
        <v>2986</v>
      </c>
    </row>
    <row r="35" spans="1:17" ht="14.25" customHeight="1">
      <c r="A35" s="2940" t="s">
        <v>296</v>
      </c>
      <c r="B35" s="2941" t="s">
        <v>163</v>
      </c>
      <c r="C35" s="2940">
        <v>27270</v>
      </c>
      <c r="D35" s="2940">
        <v>24270</v>
      </c>
      <c r="E35" s="2940">
        <v>24950</v>
      </c>
      <c r="F35" s="2940">
        <v>6600</v>
      </c>
      <c r="G35" s="2953">
        <v>16990</v>
      </c>
      <c r="M35" s="2940" t="s">
        <v>2987</v>
      </c>
      <c r="N35" s="2940" t="s">
        <v>2988</v>
      </c>
      <c r="O35" s="2940" t="s">
        <v>2989</v>
      </c>
      <c r="P35" s="2940" t="s">
        <v>2990</v>
      </c>
      <c r="Q35" s="2940" t="s">
        <v>2991</v>
      </c>
    </row>
    <row r="36" spans="1:17" ht="14.25" customHeight="1">
      <c r="A36" s="2940" t="s">
        <v>296</v>
      </c>
      <c r="B36" s="2941" t="s">
        <v>169</v>
      </c>
      <c r="C36" s="2940">
        <v>23490</v>
      </c>
      <c r="D36" s="2940">
        <v>23020</v>
      </c>
      <c r="E36" s="2940">
        <v>25230</v>
      </c>
      <c r="F36" s="2940">
        <v>6780</v>
      </c>
      <c r="G36" s="2953">
        <v>16120</v>
      </c>
      <c r="M36" s="2940" t="s">
        <v>2992</v>
      </c>
      <c r="N36" s="2940" t="s">
        <v>2993</v>
      </c>
      <c r="O36" s="2940" t="s">
        <v>2994</v>
      </c>
      <c r="P36" s="2940" t="s">
        <v>2995</v>
      </c>
      <c r="Q36" s="2940" t="s">
        <v>2996</v>
      </c>
    </row>
    <row r="37" spans="1:17" ht="14.25" customHeight="1">
      <c r="A37" s="2940" t="s">
        <v>296</v>
      </c>
      <c r="B37" s="2941" t="s">
        <v>176</v>
      </c>
      <c r="C37" s="2940">
        <v>24380</v>
      </c>
      <c r="D37" s="2940">
        <v>22240</v>
      </c>
      <c r="E37" s="2940">
        <v>25980</v>
      </c>
      <c r="F37" s="2940">
        <v>8160</v>
      </c>
      <c r="G37" s="2953">
        <v>15570</v>
      </c>
      <c r="M37" s="2940" t="s">
        <v>2997</v>
      </c>
      <c r="N37" s="2940" t="s">
        <v>2998</v>
      </c>
      <c r="O37" s="2940" t="s">
        <v>2999</v>
      </c>
      <c r="P37" s="2940" t="s">
        <v>3000</v>
      </c>
      <c r="Q37" s="2940" t="s">
        <v>3001</v>
      </c>
    </row>
    <row r="38" spans="1:17" ht="14.25" customHeight="1">
      <c r="A38" s="2940" t="s">
        <v>296</v>
      </c>
      <c r="B38" s="2941" t="s">
        <v>186</v>
      </c>
      <c r="C38" s="2940">
        <v>23120</v>
      </c>
      <c r="D38" s="2940">
        <v>24630</v>
      </c>
      <c r="E38" s="2940">
        <v>25030</v>
      </c>
      <c r="F38" s="2940">
        <v>7710</v>
      </c>
      <c r="G38" s="2953">
        <v>17240</v>
      </c>
      <c r="M38" s="2940" t="s">
        <v>3002</v>
      </c>
      <c r="N38" s="2940" t="s">
        <v>3003</v>
      </c>
      <c r="O38" s="2940" t="s">
        <v>3004</v>
      </c>
      <c r="P38" s="2940" t="s">
        <v>3005</v>
      </c>
      <c r="Q38" s="2940" t="s">
        <v>3006</v>
      </c>
    </row>
    <row r="39" spans="1:17" ht="14.25" customHeight="1">
      <c r="A39" s="2940" t="s">
        <v>296</v>
      </c>
      <c r="B39" s="2941" t="s">
        <v>195</v>
      </c>
      <c r="C39" s="2940">
        <v>22330</v>
      </c>
      <c r="D39" s="2940">
        <v>21140</v>
      </c>
      <c r="E39" s="2940">
        <v>23970</v>
      </c>
      <c r="F39" s="2940">
        <v>7940</v>
      </c>
      <c r="G39" s="2953">
        <v>14790</v>
      </c>
      <c r="M39" s="2940" t="s">
        <v>3007</v>
      </c>
      <c r="N39" s="2940" t="s">
        <v>3008</v>
      </c>
      <c r="O39" s="2940" t="s">
        <v>3009</v>
      </c>
      <c r="P39" s="2940" t="s">
        <v>3010</v>
      </c>
      <c r="Q39" s="2940" t="s">
        <v>3011</v>
      </c>
    </row>
    <row r="40" spans="1:17" ht="14.25" customHeight="1">
      <c r="A40" s="2940" t="s">
        <v>296</v>
      </c>
      <c r="B40" s="2941" t="s">
        <v>202</v>
      </c>
      <c r="C40" s="2940">
        <v>24740</v>
      </c>
      <c r="D40" s="2940">
        <v>24690</v>
      </c>
      <c r="E40" s="2940">
        <v>22610</v>
      </c>
      <c r="F40" s="2940"/>
      <c r="G40" s="2953">
        <v>17280</v>
      </c>
      <c r="M40" s="2940" t="s">
        <v>3012</v>
      </c>
      <c r="N40" s="2940" t="s">
        <v>3013</v>
      </c>
      <c r="O40" s="2940" t="s">
        <v>3014</v>
      </c>
      <c r="P40" s="2940" t="s">
        <v>3015</v>
      </c>
      <c r="Q40" s="2940" t="s">
        <v>3016</v>
      </c>
    </row>
    <row r="41" spans="1:17" ht="14.25" customHeight="1" thickBot="1">
      <c r="A41" s="2940" t="s">
        <v>296</v>
      </c>
      <c r="B41" s="2941" t="s">
        <v>209</v>
      </c>
      <c r="C41" s="2940">
        <v>21220</v>
      </c>
      <c r="D41" s="2940">
        <v>21120</v>
      </c>
      <c r="E41" s="2940">
        <v>22590</v>
      </c>
      <c r="F41" s="2940"/>
      <c r="G41" s="2953">
        <v>14780</v>
      </c>
      <c r="M41" s="2947" t="s">
        <v>3017</v>
      </c>
      <c r="N41" s="2940" t="s">
        <v>3018</v>
      </c>
      <c r="O41" s="2940" t="s">
        <v>3019</v>
      </c>
      <c r="P41" s="2940" t="s">
        <v>3020</v>
      </c>
      <c r="Q41" s="2940" t="s">
        <v>3021</v>
      </c>
    </row>
    <row r="42" spans="1:17" ht="14.25" customHeight="1">
      <c r="A42" s="2940" t="s">
        <v>296</v>
      </c>
      <c r="B42" s="2941" t="s">
        <v>215</v>
      </c>
      <c r="C42" s="2940">
        <v>24800</v>
      </c>
      <c r="D42" s="2940">
        <v>22280</v>
      </c>
      <c r="E42" s="2940">
        <v>24350</v>
      </c>
      <c r="F42" s="2940"/>
      <c r="G42" s="2953">
        <v>15590</v>
      </c>
      <c r="N42" s="2940" t="s">
        <v>3022</v>
      </c>
      <c r="O42" s="2940" t="s">
        <v>3023</v>
      </c>
      <c r="P42" s="2940" t="s">
        <v>3024</v>
      </c>
      <c r="Q42" s="2940" t="s">
        <v>3025</v>
      </c>
    </row>
    <row r="43" spans="1:17" ht="14.25" customHeight="1">
      <c r="A43" s="2940" t="s">
        <v>3026</v>
      </c>
      <c r="B43" s="2941" t="s">
        <v>223</v>
      </c>
      <c r="C43" s="2940">
        <v>21210</v>
      </c>
      <c r="D43" s="2940">
        <v>21160</v>
      </c>
      <c r="E43" s="2940">
        <v>22650</v>
      </c>
      <c r="F43" s="2940"/>
      <c r="G43" s="2953">
        <v>14800</v>
      </c>
      <c r="N43" s="2940" t="s">
        <v>3027</v>
      </c>
      <c r="O43" s="2940" t="s">
        <v>3028</v>
      </c>
      <c r="P43" s="2940" t="s">
        <v>3029</v>
      </c>
      <c r="Q43" s="2940" t="s">
        <v>3030</v>
      </c>
    </row>
    <row r="44" spans="1:17" ht="14.25" customHeight="1" thickBot="1">
      <c r="A44" s="2940" t="s">
        <v>296</v>
      </c>
      <c r="B44" s="2941" t="s">
        <v>231</v>
      </c>
      <c r="C44" s="2940">
        <v>22370</v>
      </c>
      <c r="D44" s="2940">
        <v>23140</v>
      </c>
      <c r="E44" s="2940">
        <v>25090</v>
      </c>
      <c r="F44" s="2940"/>
      <c r="G44" s="2953">
        <v>16190</v>
      </c>
      <c r="N44" s="2940" t="s">
        <v>3031</v>
      </c>
      <c r="O44" s="2940" t="s">
        <v>3032</v>
      </c>
      <c r="P44" s="2947" t="s">
        <v>3033</v>
      </c>
      <c r="Q44" s="2940" t="s">
        <v>3034</v>
      </c>
    </row>
    <row r="45" spans="1:17" ht="14.25" customHeight="1" thickBot="1">
      <c r="A45" s="2940" t="s">
        <v>296</v>
      </c>
      <c r="B45" s="2941" t="s">
        <v>236</v>
      </c>
      <c r="C45" s="2940">
        <v>21240</v>
      </c>
      <c r="D45" s="2940">
        <v>27050</v>
      </c>
      <c r="E45" s="2940">
        <v>28000</v>
      </c>
      <c r="F45" s="2940"/>
      <c r="G45" s="2953">
        <v>18940</v>
      </c>
      <c r="N45" s="2940" t="s">
        <v>3035</v>
      </c>
      <c r="O45" s="2947" t="s">
        <v>3036</v>
      </c>
      <c r="Q45" s="2940" t="s">
        <v>3037</v>
      </c>
    </row>
    <row r="46" spans="1:17" ht="14.25" customHeight="1">
      <c r="A46" s="2940" t="s">
        <v>296</v>
      </c>
      <c r="B46" s="2941" t="s">
        <v>245</v>
      </c>
      <c r="C46" s="2940">
        <v>23240</v>
      </c>
      <c r="D46" s="2940">
        <v>23000</v>
      </c>
      <c r="E46" s="2940">
        <v>24980</v>
      </c>
      <c r="F46" s="2940"/>
      <c r="G46" s="2953">
        <v>16100</v>
      </c>
      <c r="N46" s="2940" t="s">
        <v>3038</v>
      </c>
      <c r="Q46" s="2940" t="s">
        <v>3039</v>
      </c>
    </row>
    <row r="47" spans="1:17" ht="14.25" customHeight="1">
      <c r="A47" s="2940" t="s">
        <v>296</v>
      </c>
      <c r="B47" s="2941" t="s">
        <v>252</v>
      </c>
      <c r="C47" s="2940">
        <v>27150</v>
      </c>
      <c r="D47" s="2940">
        <v>23310</v>
      </c>
      <c r="E47" s="2940">
        <v>25150</v>
      </c>
      <c r="F47" s="2940"/>
      <c r="G47" s="2953">
        <v>16310</v>
      </c>
      <c r="N47" s="2940" t="s">
        <v>3040</v>
      </c>
      <c r="Q47" s="2940" t="s">
        <v>3041</v>
      </c>
    </row>
    <row r="48" spans="1:17" ht="14.25" customHeight="1">
      <c r="A48" s="2940" t="s">
        <v>296</v>
      </c>
      <c r="B48" s="2941" t="s">
        <v>260</v>
      </c>
      <c r="C48" s="2940">
        <v>23100</v>
      </c>
      <c r="D48" s="2940">
        <v>21110</v>
      </c>
      <c r="E48" s="2940">
        <v>23080</v>
      </c>
      <c r="F48" s="2940"/>
      <c r="G48" s="2953">
        <v>14780</v>
      </c>
      <c r="N48" s="2940" t="s">
        <v>3042</v>
      </c>
      <c r="Q48" s="2940" t="s">
        <v>3043</v>
      </c>
    </row>
    <row r="49" spans="1:17" ht="14.25" customHeight="1">
      <c r="A49" s="2940" t="s">
        <v>296</v>
      </c>
      <c r="B49" s="2941" t="s">
        <v>267</v>
      </c>
      <c r="C49" s="2940">
        <v>23400</v>
      </c>
      <c r="D49" s="2940">
        <v>22920</v>
      </c>
      <c r="E49" s="2940">
        <v>24900</v>
      </c>
      <c r="F49" s="2940"/>
      <c r="G49" s="2953">
        <v>16040</v>
      </c>
      <c r="N49" s="2940" t="s">
        <v>3044</v>
      </c>
      <c r="Q49" s="2940" t="s">
        <v>3045</v>
      </c>
    </row>
    <row r="50" spans="1:17" ht="14.25" customHeight="1">
      <c r="A50" s="2940" t="s">
        <v>296</v>
      </c>
      <c r="B50" s="2941" t="s">
        <v>2922</v>
      </c>
      <c r="C50" s="2940">
        <v>21200</v>
      </c>
      <c r="D50" s="2940">
        <v>26540</v>
      </c>
      <c r="E50" s="2940">
        <v>23200</v>
      </c>
      <c r="F50" s="2940"/>
      <c r="G50" s="2953">
        <v>18580</v>
      </c>
      <c r="N50" s="2940" t="s">
        <v>3046</v>
      </c>
      <c r="Q50" s="2941" t="s">
        <v>3047</v>
      </c>
    </row>
    <row r="51" spans="1:17" ht="14.25" customHeight="1" thickBot="1">
      <c r="A51" s="2940" t="s">
        <v>296</v>
      </c>
      <c r="B51" s="2941" t="s">
        <v>2924</v>
      </c>
      <c r="C51" s="2940">
        <v>23000</v>
      </c>
      <c r="D51" s="2940">
        <v>23460</v>
      </c>
      <c r="E51" s="2940">
        <v>25290</v>
      </c>
      <c r="F51" s="2940"/>
      <c r="G51" s="2953">
        <v>16420</v>
      </c>
      <c r="N51" s="2940" t="s">
        <v>3048</v>
      </c>
      <c r="Q51" s="2947" t="s">
        <v>3049</v>
      </c>
    </row>
    <row r="52" spans="1:17" ht="14.25" customHeight="1">
      <c r="A52" s="2940" t="s">
        <v>296</v>
      </c>
      <c r="B52" s="2941" t="s">
        <v>2928</v>
      </c>
      <c r="C52" s="2940">
        <v>26660</v>
      </c>
      <c r="D52" s="2940">
        <v>22350</v>
      </c>
      <c r="E52" s="2940">
        <v>22920</v>
      </c>
      <c r="F52" s="2940"/>
      <c r="G52" s="2953">
        <v>15640</v>
      </c>
      <c r="N52" s="2940" t="s">
        <v>3050</v>
      </c>
    </row>
    <row r="53" spans="1:17" ht="14.25" customHeight="1">
      <c r="A53" s="2940" t="s">
        <v>296</v>
      </c>
      <c r="B53" s="2941" t="s">
        <v>2933</v>
      </c>
      <c r="C53" s="2940">
        <v>23580</v>
      </c>
      <c r="D53" s="2940"/>
      <c r="E53" s="2940">
        <v>24280</v>
      </c>
      <c r="F53" s="2940"/>
      <c r="G53" s="2953"/>
      <c r="N53" s="2940" t="s">
        <v>3051</v>
      </c>
    </row>
    <row r="54" spans="1:17" ht="14.25" customHeight="1" thickBot="1">
      <c r="A54" s="2954" t="s">
        <v>296</v>
      </c>
      <c r="B54" s="2946" t="s">
        <v>2936</v>
      </c>
      <c r="C54" s="2947">
        <v>22460</v>
      </c>
      <c r="D54" s="2947"/>
      <c r="E54" s="2947"/>
      <c r="F54" s="2947"/>
      <c r="G54" s="2955"/>
      <c r="N54" s="2940" t="s">
        <v>3052</v>
      </c>
    </row>
    <row r="55" spans="1:17" ht="14.25" customHeight="1">
      <c r="A55" s="2945" t="s">
        <v>110</v>
      </c>
      <c r="B55" s="2936" t="s">
        <v>3053</v>
      </c>
      <c r="C55" s="2940">
        <v>21970</v>
      </c>
      <c r="D55" s="2940">
        <v>20370</v>
      </c>
      <c r="E55" s="2940">
        <v>20180</v>
      </c>
      <c r="F55" s="2940">
        <v>5730</v>
      </c>
      <c r="G55" s="2940">
        <v>13820</v>
      </c>
      <c r="N55" s="2940" t="s">
        <v>3054</v>
      </c>
    </row>
    <row r="56" spans="1:17" ht="14.25" customHeight="1">
      <c r="A56" s="2940" t="s">
        <v>110</v>
      </c>
      <c r="B56" s="2940" t="s">
        <v>130</v>
      </c>
      <c r="C56" s="2940">
        <v>20470</v>
      </c>
      <c r="D56" s="2940">
        <v>20700</v>
      </c>
      <c r="E56" s="2940">
        <v>20380</v>
      </c>
      <c r="F56" s="2940">
        <v>4760</v>
      </c>
      <c r="G56" s="2940">
        <v>14050</v>
      </c>
      <c r="N56" s="2940" t="s">
        <v>3055</v>
      </c>
    </row>
    <row r="57" spans="1:17" ht="14.25" customHeight="1">
      <c r="A57" s="2940" t="s">
        <v>110</v>
      </c>
      <c r="B57" s="2940" t="s">
        <v>139</v>
      </c>
      <c r="C57" s="2940">
        <v>20790</v>
      </c>
      <c r="D57" s="2940">
        <v>21370</v>
      </c>
      <c r="E57" s="2940">
        <v>20890</v>
      </c>
      <c r="F57" s="2940">
        <v>4910</v>
      </c>
      <c r="G57" s="2940">
        <v>14510</v>
      </c>
      <c r="N57" s="2940" t="s">
        <v>3056</v>
      </c>
    </row>
    <row r="58" spans="1:17" ht="14.25" customHeight="1">
      <c r="A58" s="2940" t="s">
        <v>110</v>
      </c>
      <c r="B58" s="2940" t="s">
        <v>148</v>
      </c>
      <c r="C58" s="2940">
        <v>21460</v>
      </c>
      <c r="D58" s="2940">
        <v>20920</v>
      </c>
      <c r="E58" s="2940">
        <v>23410</v>
      </c>
      <c r="F58" s="2940">
        <v>5100</v>
      </c>
      <c r="G58" s="2940">
        <v>14200</v>
      </c>
      <c r="N58" s="2940" t="s">
        <v>3057</v>
      </c>
    </row>
    <row r="59" spans="1:17" ht="14.25" customHeight="1">
      <c r="A59" s="2940" t="s">
        <v>110</v>
      </c>
      <c r="B59" s="2940" t="s">
        <v>157</v>
      </c>
      <c r="C59" s="2940">
        <v>21000</v>
      </c>
      <c r="D59" s="2940">
        <v>21550</v>
      </c>
      <c r="E59" s="2940">
        <v>21150</v>
      </c>
      <c r="F59" s="2940">
        <v>5250</v>
      </c>
      <c r="G59" s="2940">
        <v>14630</v>
      </c>
      <c r="N59" s="2940" t="s">
        <v>3058</v>
      </c>
    </row>
    <row r="60" spans="1:17" ht="14.25" customHeight="1">
      <c r="A60" s="2940" t="s">
        <v>110</v>
      </c>
      <c r="B60" s="2940" t="s">
        <v>164</v>
      </c>
      <c r="C60" s="2940">
        <v>21640</v>
      </c>
      <c r="D60" s="2940">
        <v>21260</v>
      </c>
      <c r="E60" s="2940">
        <v>24040</v>
      </c>
      <c r="F60" s="2940">
        <v>4470</v>
      </c>
      <c r="G60" s="2940">
        <v>14430</v>
      </c>
      <c r="N60" s="2940" t="s">
        <v>3059</v>
      </c>
    </row>
    <row r="61" spans="1:17" ht="14.25" customHeight="1">
      <c r="A61" s="2940" t="s">
        <v>110</v>
      </c>
      <c r="B61" s="2940" t="s">
        <v>170</v>
      </c>
      <c r="C61" s="2940">
        <v>21330</v>
      </c>
      <c r="D61" s="2940">
        <v>18640</v>
      </c>
      <c r="E61" s="2940">
        <v>21190</v>
      </c>
      <c r="F61" s="2940">
        <v>4180</v>
      </c>
      <c r="G61" s="2940">
        <v>12650</v>
      </c>
      <c r="N61" s="2940" t="s">
        <v>3060</v>
      </c>
    </row>
    <row r="62" spans="1:17" ht="14.25" customHeight="1">
      <c r="A62" s="2940" t="s">
        <v>110</v>
      </c>
      <c r="B62" s="2940" t="s">
        <v>177</v>
      </c>
      <c r="C62" s="2940">
        <v>18710</v>
      </c>
      <c r="D62" s="2940">
        <v>19400</v>
      </c>
      <c r="E62" s="2940">
        <v>23750</v>
      </c>
      <c r="F62" s="2940">
        <v>4860</v>
      </c>
      <c r="G62" s="2940">
        <v>13170</v>
      </c>
      <c r="N62" s="2940" t="s">
        <v>3061</v>
      </c>
    </row>
    <row r="63" spans="1:17" ht="14.25" customHeight="1">
      <c r="A63" s="2940" t="s">
        <v>110</v>
      </c>
      <c r="B63" s="2940" t="s">
        <v>187</v>
      </c>
      <c r="C63" s="2940">
        <v>19480</v>
      </c>
      <c r="D63" s="2940">
        <v>16830</v>
      </c>
      <c r="E63" s="2940">
        <v>21590</v>
      </c>
      <c r="F63" s="2940">
        <v>4560</v>
      </c>
      <c r="G63" s="2940">
        <v>11420</v>
      </c>
      <c r="N63" s="2940" t="s">
        <v>3062</v>
      </c>
    </row>
    <row r="64" spans="1:17" ht="14.25" customHeight="1" thickBot="1">
      <c r="A64" s="2940" t="s">
        <v>110</v>
      </c>
      <c r="B64" s="2940" t="s">
        <v>196</v>
      </c>
      <c r="C64" s="2940">
        <v>16920</v>
      </c>
      <c r="D64" s="2940">
        <v>19190</v>
      </c>
      <c r="E64" s="2940">
        <v>22200</v>
      </c>
      <c r="F64" s="2940">
        <v>4390</v>
      </c>
      <c r="G64" s="2940">
        <v>13030</v>
      </c>
      <c r="N64" s="2947" t="s">
        <v>3063</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2934</v>
      </c>
      <c r="C78" s="2940">
        <v>19820</v>
      </c>
      <c r="D78" s="2940">
        <v>19780</v>
      </c>
      <c r="E78" s="2940">
        <v>18560</v>
      </c>
      <c r="F78" s="2940"/>
      <c r="G78" s="2940">
        <v>13430</v>
      </c>
    </row>
    <row r="79" spans="1:7" s="2774" customFormat="1" ht="14.25" customHeight="1">
      <c r="A79" s="2940" t="s">
        <v>110</v>
      </c>
      <c r="B79" s="2940" t="s">
        <v>2937</v>
      </c>
      <c r="C79" s="2940">
        <v>21660</v>
      </c>
      <c r="D79" s="2940">
        <v>18000</v>
      </c>
      <c r="E79" s="2940">
        <v>22570</v>
      </c>
      <c r="F79" s="2940"/>
      <c r="G79" s="2940">
        <v>12220</v>
      </c>
    </row>
    <row r="80" spans="1:7" s="2774" customFormat="1" ht="14.25" customHeight="1">
      <c r="A80" s="2940" t="s">
        <v>110</v>
      </c>
      <c r="B80" s="2940" t="s">
        <v>2941</v>
      </c>
      <c r="C80" s="2940">
        <v>19850</v>
      </c>
      <c r="D80" s="2940"/>
      <c r="E80" s="2940">
        <v>21700</v>
      </c>
      <c r="F80" s="2940"/>
      <c r="G80" s="2940"/>
    </row>
    <row r="81" spans="1:7" s="2774" customFormat="1" ht="14.25" customHeight="1">
      <c r="A81" s="2940" t="s">
        <v>110</v>
      </c>
      <c r="B81" s="2940" t="s">
        <v>2946</v>
      </c>
      <c r="C81" s="2940">
        <v>18080</v>
      </c>
      <c r="D81" s="2940"/>
      <c r="E81" s="2940">
        <v>20900</v>
      </c>
      <c r="F81" s="2940"/>
      <c r="G81" s="2940"/>
    </row>
    <row r="82" spans="1:7" s="2774" customFormat="1" ht="14.25" customHeight="1">
      <c r="A82" s="2940" t="s">
        <v>110</v>
      </c>
      <c r="B82" s="2940" t="s">
        <v>2953</v>
      </c>
      <c r="C82" s="2940"/>
      <c r="D82" s="2940"/>
      <c r="E82" s="2940">
        <v>20840</v>
      </c>
      <c r="F82" s="2940"/>
      <c r="G82" s="2940"/>
    </row>
    <row r="83" spans="1:7" s="2774" customFormat="1" ht="14.25" customHeight="1">
      <c r="A83" s="2940" t="s">
        <v>110</v>
      </c>
      <c r="B83" s="2940" t="s">
        <v>3064</v>
      </c>
      <c r="C83" s="2940"/>
      <c r="D83" s="2940"/>
      <c r="E83" s="2940"/>
      <c r="F83" s="2940">
        <v>4770</v>
      </c>
      <c r="G83" s="2940"/>
    </row>
    <row r="84" spans="1:7" s="2774" customFormat="1" ht="14.25" customHeight="1">
      <c r="A84" s="2940" t="s">
        <v>110</v>
      </c>
      <c r="B84" s="2940" t="s">
        <v>3065</v>
      </c>
      <c r="C84" s="2940"/>
      <c r="D84" s="2940"/>
      <c r="E84" s="2940"/>
      <c r="F84" s="2940">
        <v>4600</v>
      </c>
      <c r="G84" s="2940"/>
    </row>
    <row r="85" spans="1:7" s="2774" customFormat="1" ht="14.25" customHeight="1">
      <c r="A85" s="2940" t="s">
        <v>110</v>
      </c>
      <c r="B85" s="2940" t="s">
        <v>3066</v>
      </c>
      <c r="C85" s="2940"/>
      <c r="D85" s="2940"/>
      <c r="E85" s="2940"/>
      <c r="F85" s="2940">
        <v>4680</v>
      </c>
      <c r="G85" s="2940"/>
    </row>
    <row r="86" spans="1:7" s="2774" customFormat="1" ht="14.25" customHeight="1" thickBot="1">
      <c r="A86" s="2948" t="s">
        <v>110</v>
      </c>
      <c r="B86" s="2950" t="s">
        <v>3067</v>
      </c>
      <c r="C86" s="2951">
        <v>16610</v>
      </c>
      <c r="D86" s="2951">
        <v>16540</v>
      </c>
      <c r="E86" s="2951">
        <v>18850</v>
      </c>
      <c r="F86" s="2951"/>
      <c r="G86" s="2951">
        <v>11220</v>
      </c>
    </row>
    <row r="87" spans="1:7" s="2774" customFormat="1" ht="14.25" customHeight="1">
      <c r="A87" s="2945" t="s">
        <v>303</v>
      </c>
      <c r="B87" s="2936" t="s">
        <v>3068</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2947</v>
      </c>
      <c r="C113" s="2940">
        <v>15520</v>
      </c>
      <c r="D113" s="2940">
        <v>15450</v>
      </c>
      <c r="E113" s="2940"/>
      <c r="F113" s="2940"/>
      <c r="G113" s="2953">
        <v>10210</v>
      </c>
    </row>
    <row r="114" spans="1:7" s="2774" customFormat="1" ht="14.25" customHeight="1">
      <c r="A114" s="2940" t="s">
        <v>303</v>
      </c>
      <c r="B114" s="2940" t="s">
        <v>2954</v>
      </c>
      <c r="C114" s="2940">
        <v>13110</v>
      </c>
      <c r="D114" s="2940">
        <v>13050</v>
      </c>
      <c r="E114" s="2940"/>
      <c r="F114" s="2940"/>
      <c r="G114" s="2953">
        <v>8620</v>
      </c>
    </row>
    <row r="115" spans="1:7" s="2774" customFormat="1" ht="14.25" customHeight="1">
      <c r="A115" s="2940" t="s">
        <v>303</v>
      </c>
      <c r="B115" s="2940" t="s">
        <v>2960</v>
      </c>
      <c r="C115" s="2940">
        <v>12460</v>
      </c>
      <c r="D115" s="2940">
        <v>12390</v>
      </c>
      <c r="E115" s="2940"/>
      <c r="F115" s="2940"/>
      <c r="G115" s="2953">
        <v>8190</v>
      </c>
    </row>
    <row r="116" spans="1:7" s="2774" customFormat="1" ht="14.25" customHeight="1">
      <c r="A116" s="2940" t="s">
        <v>303</v>
      </c>
      <c r="B116" s="2940" t="s">
        <v>2967</v>
      </c>
      <c r="C116" s="2940">
        <v>13580</v>
      </c>
      <c r="D116" s="2940">
        <v>13520</v>
      </c>
      <c r="E116" s="2940"/>
      <c r="F116" s="2940"/>
      <c r="G116" s="2953">
        <v>8930</v>
      </c>
    </row>
    <row r="117" spans="1:7" s="2774" customFormat="1" ht="14.25" customHeight="1">
      <c r="A117" s="2940" t="s">
        <v>303</v>
      </c>
      <c r="B117" s="2940" t="s">
        <v>2974</v>
      </c>
      <c r="C117" s="2940">
        <v>17120</v>
      </c>
      <c r="D117" s="2940">
        <v>17040</v>
      </c>
      <c r="E117" s="2940"/>
      <c r="F117" s="2940"/>
      <c r="G117" s="2953">
        <v>11260</v>
      </c>
    </row>
    <row r="118" spans="1:7" s="2774" customFormat="1" ht="14.25" customHeight="1">
      <c r="A118" s="2940" t="s">
        <v>303</v>
      </c>
      <c r="B118" s="2940" t="s">
        <v>2979</v>
      </c>
      <c r="C118" s="2940">
        <v>14860</v>
      </c>
      <c r="D118" s="2940">
        <v>14790</v>
      </c>
      <c r="E118" s="2940"/>
      <c r="F118" s="2940"/>
      <c r="G118" s="2953">
        <v>9780</v>
      </c>
    </row>
    <row r="119" spans="1:7" s="2774" customFormat="1" ht="14.25" customHeight="1">
      <c r="A119" s="2940" t="s">
        <v>303</v>
      </c>
      <c r="B119" s="2940" t="s">
        <v>2983</v>
      </c>
      <c r="C119" s="2940">
        <v>16470</v>
      </c>
      <c r="D119" s="2940">
        <v>16400</v>
      </c>
      <c r="E119" s="2940"/>
      <c r="F119" s="2940"/>
      <c r="G119" s="2953">
        <v>10840</v>
      </c>
    </row>
    <row r="120" spans="1:7" s="2774" customFormat="1" ht="14.25" customHeight="1">
      <c r="A120" s="2940" t="s">
        <v>303</v>
      </c>
      <c r="B120" s="2940" t="s">
        <v>3069</v>
      </c>
      <c r="C120" s="2940"/>
      <c r="D120" s="2940"/>
      <c r="E120" s="2940"/>
      <c r="F120" s="2940">
        <v>4160</v>
      </c>
      <c r="G120" s="2953"/>
    </row>
    <row r="121" spans="1:7" s="2774" customFormat="1" ht="14.25" customHeight="1">
      <c r="A121" s="2940" t="s">
        <v>303</v>
      </c>
      <c r="B121" s="2940" t="s">
        <v>3070</v>
      </c>
      <c r="C121" s="2940"/>
      <c r="D121" s="2940"/>
      <c r="E121" s="2940"/>
      <c r="F121" s="2940">
        <v>3880</v>
      </c>
      <c r="G121" s="2953"/>
    </row>
    <row r="122" spans="1:7" s="2774" customFormat="1" ht="14.25" customHeight="1">
      <c r="A122" s="2940" t="s">
        <v>303</v>
      </c>
      <c r="B122" s="2940" t="s">
        <v>3071</v>
      </c>
      <c r="C122" s="2940">
        <v>13750</v>
      </c>
      <c r="D122" s="2940">
        <v>13680</v>
      </c>
      <c r="E122" s="2940">
        <v>16460</v>
      </c>
      <c r="F122" s="2940">
        <v>2880</v>
      </c>
      <c r="G122" s="2953">
        <v>9040</v>
      </c>
    </row>
    <row r="123" spans="1:7" s="2774" customFormat="1" ht="14.25" customHeight="1">
      <c r="A123" s="2940" t="s">
        <v>303</v>
      </c>
      <c r="B123" s="2940" t="s">
        <v>3002</v>
      </c>
      <c r="C123" s="2940">
        <v>13590</v>
      </c>
      <c r="D123" s="2940">
        <v>13520</v>
      </c>
      <c r="E123" s="2940">
        <v>16290</v>
      </c>
      <c r="F123" s="2940">
        <v>2790</v>
      </c>
      <c r="G123" s="2953">
        <v>8930</v>
      </c>
    </row>
    <row r="124" spans="1:7" s="2774" customFormat="1" ht="14.25" customHeight="1">
      <c r="A124" s="2940" t="s">
        <v>303</v>
      </c>
      <c r="B124" s="2940" t="s">
        <v>3007</v>
      </c>
      <c r="C124" s="2940">
        <v>13400</v>
      </c>
      <c r="D124" s="2940">
        <v>13320</v>
      </c>
      <c r="E124" s="2940">
        <v>16100</v>
      </c>
      <c r="F124" s="2940">
        <v>2320</v>
      </c>
      <c r="G124" s="2953">
        <v>8800</v>
      </c>
    </row>
    <row r="125" spans="1:7" s="2774" customFormat="1" ht="14.25" customHeight="1">
      <c r="A125" s="2940" t="s">
        <v>303</v>
      </c>
      <c r="B125" s="2940" t="s">
        <v>3012</v>
      </c>
      <c r="C125" s="2940">
        <v>12860</v>
      </c>
      <c r="D125" s="2940">
        <v>12790</v>
      </c>
      <c r="E125" s="2940">
        <v>15370</v>
      </c>
      <c r="F125" s="2940">
        <v>2280</v>
      </c>
      <c r="G125" s="2953">
        <v>8450</v>
      </c>
    </row>
    <row r="126" spans="1:7" s="2774" customFormat="1" ht="14.25" customHeight="1" thickBot="1">
      <c r="A126" s="2954" t="s">
        <v>303</v>
      </c>
      <c r="B126" s="2947" t="s">
        <v>3017</v>
      </c>
      <c r="C126" s="2947">
        <v>12960</v>
      </c>
      <c r="D126" s="2947">
        <v>12890</v>
      </c>
      <c r="E126" s="2947">
        <v>15530</v>
      </c>
      <c r="F126" s="2947">
        <v>2910</v>
      </c>
      <c r="G126" s="2955">
        <v>8520</v>
      </c>
    </row>
    <row r="127" spans="1:7" s="2774" customFormat="1" ht="14.25" customHeight="1">
      <c r="A127" s="2945" t="s">
        <v>29</v>
      </c>
      <c r="B127" s="2936" t="s">
        <v>3072</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3073</v>
      </c>
      <c r="C148" s="2940">
        <v>10370</v>
      </c>
      <c r="D148" s="2940">
        <v>10310</v>
      </c>
      <c r="E148" s="2940">
        <v>12970</v>
      </c>
      <c r="F148" s="2940"/>
      <c r="G148" s="2940">
        <v>6630</v>
      </c>
    </row>
    <row r="149" spans="1:7" s="2774" customFormat="1" ht="14.25" customHeight="1">
      <c r="A149" s="2940" t="s">
        <v>29</v>
      </c>
      <c r="B149" s="2940" t="s">
        <v>3074</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2948</v>
      </c>
      <c r="C153" s="2940">
        <v>10880</v>
      </c>
      <c r="D153" s="2940">
        <v>10820</v>
      </c>
      <c r="E153" s="2940">
        <v>13660</v>
      </c>
      <c r="F153" s="2940">
        <v>2260</v>
      </c>
      <c r="G153" s="2940">
        <v>6970</v>
      </c>
    </row>
    <row r="154" spans="1:7" s="2774" customFormat="1" ht="14.25" customHeight="1">
      <c r="A154" s="2940" t="s">
        <v>29</v>
      </c>
      <c r="B154" s="2940" t="s">
        <v>3075</v>
      </c>
      <c r="C154" s="2940">
        <v>11220</v>
      </c>
      <c r="D154" s="2940">
        <v>11160</v>
      </c>
      <c r="E154" s="2940">
        <v>14130</v>
      </c>
      <c r="F154" s="2940">
        <v>2230</v>
      </c>
      <c r="G154" s="2940">
        <v>7180</v>
      </c>
    </row>
    <row r="155" spans="1:7" s="2774" customFormat="1" ht="14.25" customHeight="1">
      <c r="A155" s="2940" t="s">
        <v>29</v>
      </c>
      <c r="B155" s="2940" t="s">
        <v>2961</v>
      </c>
      <c r="C155" s="2940">
        <v>10430</v>
      </c>
      <c r="D155" s="2940">
        <v>10380</v>
      </c>
      <c r="E155" s="2940">
        <v>13140</v>
      </c>
      <c r="F155" s="2940">
        <v>2080</v>
      </c>
      <c r="G155" s="2940">
        <v>6650</v>
      </c>
    </row>
    <row r="156" spans="1:7" s="2774" customFormat="1" ht="14.25" customHeight="1">
      <c r="A156" s="2940" t="s">
        <v>29</v>
      </c>
      <c r="B156" s="2940" t="s">
        <v>3076</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3077</v>
      </c>
      <c r="C160" s="2940">
        <v>11180</v>
      </c>
      <c r="D160" s="2940">
        <v>11140</v>
      </c>
      <c r="E160" s="2940">
        <v>14050</v>
      </c>
      <c r="F160" s="2940">
        <v>2270</v>
      </c>
      <c r="G160" s="2940">
        <v>7170</v>
      </c>
    </row>
    <row r="161" spans="1:7" s="2774" customFormat="1" ht="14.25" customHeight="1">
      <c r="A161" s="2940" t="s">
        <v>29</v>
      </c>
      <c r="B161" s="2940" t="s">
        <v>2993</v>
      </c>
      <c r="C161" s="2940">
        <v>11160</v>
      </c>
      <c r="D161" s="2940">
        <v>11120</v>
      </c>
      <c r="E161" s="2940">
        <v>14020</v>
      </c>
      <c r="F161" s="2940">
        <v>2150</v>
      </c>
      <c r="G161" s="2940">
        <v>7160</v>
      </c>
    </row>
    <row r="162" spans="1:7" s="2774" customFormat="1" ht="14.25" customHeight="1">
      <c r="A162" s="2940" t="s">
        <v>29</v>
      </c>
      <c r="B162" s="2940" t="s">
        <v>2998</v>
      </c>
      <c r="C162" s="2940">
        <v>9620</v>
      </c>
      <c r="D162" s="2940">
        <v>9570</v>
      </c>
      <c r="E162" s="2940">
        <v>12320</v>
      </c>
      <c r="F162" s="2940">
        <v>2010</v>
      </c>
      <c r="G162" s="2940">
        <v>6160</v>
      </c>
    </row>
    <row r="163" spans="1:7" s="2774" customFormat="1" ht="14.25" customHeight="1">
      <c r="A163" s="2940" t="s">
        <v>29</v>
      </c>
      <c r="B163" s="2940" t="s">
        <v>3003</v>
      </c>
      <c r="C163" s="2940">
        <v>9320</v>
      </c>
      <c r="D163" s="2940">
        <v>9270</v>
      </c>
      <c r="E163" s="2940">
        <v>11790</v>
      </c>
      <c r="F163" s="2940">
        <v>1920</v>
      </c>
      <c r="G163" s="2940">
        <v>5960</v>
      </c>
    </row>
    <row r="164" spans="1:7" s="2774" customFormat="1" ht="14.25" customHeight="1">
      <c r="A164" s="2940" t="s">
        <v>29</v>
      </c>
      <c r="B164" s="2940" t="s">
        <v>3008</v>
      </c>
      <c r="C164" s="2940"/>
      <c r="D164" s="2940"/>
      <c r="E164" s="2940"/>
      <c r="F164" s="2940">
        <v>1980</v>
      </c>
      <c r="G164" s="2940"/>
    </row>
    <row r="165" spans="1:7" s="2774" customFormat="1" ht="14.25" customHeight="1">
      <c r="A165" s="2940" t="s">
        <v>29</v>
      </c>
      <c r="B165" s="2940" t="s">
        <v>3078</v>
      </c>
      <c r="C165" s="2940">
        <v>11060</v>
      </c>
      <c r="D165" s="2940">
        <v>11030</v>
      </c>
      <c r="E165" s="2940">
        <v>13850</v>
      </c>
      <c r="F165" s="2940">
        <v>2170</v>
      </c>
      <c r="G165" s="2940">
        <v>7090</v>
      </c>
    </row>
    <row r="166" spans="1:7" s="2774" customFormat="1" ht="14.25" customHeight="1">
      <c r="A166" s="2940" t="s">
        <v>29</v>
      </c>
      <c r="B166" s="2940" t="s">
        <v>3018</v>
      </c>
      <c r="C166" s="2940">
        <v>11050</v>
      </c>
      <c r="D166" s="2940">
        <v>11010</v>
      </c>
      <c r="E166" s="2940">
        <v>13920</v>
      </c>
      <c r="F166" s="2940">
        <v>2140</v>
      </c>
      <c r="G166" s="2940">
        <v>7080</v>
      </c>
    </row>
    <row r="167" spans="1:7" s="2774" customFormat="1" ht="14.25" customHeight="1">
      <c r="A167" s="2940" t="s">
        <v>29</v>
      </c>
      <c r="B167" s="2940" t="s">
        <v>3022</v>
      </c>
      <c r="C167" s="2940">
        <v>10930</v>
      </c>
      <c r="D167" s="2940">
        <v>10890</v>
      </c>
      <c r="E167" s="2940">
        <v>13790</v>
      </c>
      <c r="F167" s="2940">
        <v>2010</v>
      </c>
      <c r="G167" s="2940">
        <v>7000</v>
      </c>
    </row>
    <row r="168" spans="1:7" s="2774" customFormat="1" ht="14.25" customHeight="1">
      <c r="A168" s="2940" t="s">
        <v>29</v>
      </c>
      <c r="B168" s="2940" t="s">
        <v>3027</v>
      </c>
      <c r="C168" s="2940">
        <v>9420</v>
      </c>
      <c r="D168" s="2940">
        <v>9380</v>
      </c>
      <c r="E168" s="2940">
        <v>11970</v>
      </c>
      <c r="F168" s="2940"/>
      <c r="G168" s="2940">
        <v>6040</v>
      </c>
    </row>
    <row r="169" spans="1:7" s="2774" customFormat="1" ht="14.25" customHeight="1">
      <c r="A169" s="2940" t="s">
        <v>29</v>
      </c>
      <c r="B169" s="2940" t="s">
        <v>3079</v>
      </c>
      <c r="C169" s="2940"/>
      <c r="D169" s="2940"/>
      <c r="E169" s="2940"/>
      <c r="F169" s="2940">
        <v>2880</v>
      </c>
      <c r="G169" s="2940"/>
    </row>
    <row r="170" spans="1:7" s="2774" customFormat="1" ht="14.25" customHeight="1">
      <c r="A170" s="2940" t="s">
        <v>29</v>
      </c>
      <c r="B170" s="2940" t="s">
        <v>3035</v>
      </c>
      <c r="C170" s="2940"/>
      <c r="D170" s="2940"/>
      <c r="E170" s="2940"/>
      <c r="F170" s="2940">
        <v>2880</v>
      </c>
      <c r="G170" s="2940"/>
    </row>
    <row r="171" spans="1:7" s="2774" customFormat="1" ht="14.25" customHeight="1">
      <c r="A171" s="2940" t="s">
        <v>29</v>
      </c>
      <c r="B171" s="2940" t="s">
        <v>3038</v>
      </c>
      <c r="C171" s="2940"/>
      <c r="D171" s="2940"/>
      <c r="E171" s="2940"/>
      <c r="F171" s="2940">
        <v>2880</v>
      </c>
      <c r="G171" s="2940"/>
    </row>
    <row r="172" spans="1:7" s="2774" customFormat="1" ht="14.25" customHeight="1">
      <c r="A172" s="2940" t="s">
        <v>29</v>
      </c>
      <c r="B172" s="2940" t="s">
        <v>3040</v>
      </c>
      <c r="C172" s="2940"/>
      <c r="D172" s="2940"/>
      <c r="E172" s="2940"/>
      <c r="F172" s="2940">
        <v>2880</v>
      </c>
      <c r="G172" s="2940"/>
    </row>
    <row r="173" spans="1:7" s="2774" customFormat="1" ht="14.25" customHeight="1">
      <c r="A173" s="2940" t="s">
        <v>29</v>
      </c>
      <c r="B173" s="2940" t="s">
        <v>3042</v>
      </c>
      <c r="C173" s="2940"/>
      <c r="D173" s="2940"/>
      <c r="E173" s="2940"/>
      <c r="F173" s="2940">
        <v>2150</v>
      </c>
      <c r="G173" s="2940"/>
    </row>
    <row r="174" spans="1:7" s="2774" customFormat="1" ht="14.25" customHeight="1">
      <c r="A174" s="2940" t="s">
        <v>29</v>
      </c>
      <c r="B174" s="2940" t="s">
        <v>3044</v>
      </c>
      <c r="C174" s="2940"/>
      <c r="D174" s="2940"/>
      <c r="E174" s="2940"/>
      <c r="F174" s="2940">
        <v>2030</v>
      </c>
      <c r="G174" s="2940"/>
    </row>
    <row r="175" spans="1:7" s="2774" customFormat="1" ht="14.25" customHeight="1">
      <c r="A175" s="2940" t="s">
        <v>29</v>
      </c>
      <c r="B175" s="2940" t="s">
        <v>3046</v>
      </c>
      <c r="C175" s="2940"/>
      <c r="D175" s="2940"/>
      <c r="E175" s="2940"/>
      <c r="F175" s="2940">
        <v>2780</v>
      </c>
      <c r="G175" s="2940"/>
    </row>
    <row r="176" spans="1:7" s="2774" customFormat="1" ht="14.25" customHeight="1">
      <c r="A176" s="2940" t="s">
        <v>29</v>
      </c>
      <c r="B176" s="2940" t="s">
        <v>3048</v>
      </c>
      <c r="C176" s="2940"/>
      <c r="D176" s="2940"/>
      <c r="E176" s="2940"/>
      <c r="F176" s="2940">
        <v>2780</v>
      </c>
      <c r="G176" s="2940"/>
    </row>
    <row r="177" spans="1:7" s="2774" customFormat="1" ht="14.25" customHeight="1">
      <c r="A177" s="2940" t="s">
        <v>29</v>
      </c>
      <c r="B177" s="2940" t="s">
        <v>3080</v>
      </c>
      <c r="C177" s="2940"/>
      <c r="D177" s="2940"/>
      <c r="E177" s="2940"/>
      <c r="F177" s="2940">
        <v>2780</v>
      </c>
      <c r="G177" s="2940"/>
    </row>
    <row r="178" spans="1:7" s="2774" customFormat="1" ht="14.25" customHeight="1">
      <c r="A178" s="2940" t="s">
        <v>29</v>
      </c>
      <c r="B178" s="2940" t="s">
        <v>3081</v>
      </c>
      <c r="C178" s="2940"/>
      <c r="D178" s="2940"/>
      <c r="E178" s="2940"/>
      <c r="F178" s="2940">
        <v>2060</v>
      </c>
      <c r="G178" s="2940"/>
    </row>
    <row r="179" spans="1:7" s="2774" customFormat="1" ht="14.25" customHeight="1">
      <c r="A179" s="2940" t="s">
        <v>29</v>
      </c>
      <c r="B179" s="2940" t="s">
        <v>3082</v>
      </c>
      <c r="C179" s="2940"/>
      <c r="D179" s="2940"/>
      <c r="E179" s="2940"/>
      <c r="F179" s="2940">
        <v>2120</v>
      </c>
      <c r="G179" s="2940"/>
    </row>
    <row r="180" spans="1:7" s="2774" customFormat="1" ht="14.25" customHeight="1">
      <c r="A180" s="2940" t="s">
        <v>29</v>
      </c>
      <c r="B180" s="2940" t="s">
        <v>3054</v>
      </c>
      <c r="C180" s="2940"/>
      <c r="D180" s="2940"/>
      <c r="E180" s="2940"/>
      <c r="F180" s="2940">
        <v>2340</v>
      </c>
      <c r="G180" s="2940"/>
    </row>
    <row r="181" spans="1:7" s="2774" customFormat="1" ht="14.25" customHeight="1">
      <c r="A181" s="2940" t="s">
        <v>29</v>
      </c>
      <c r="B181" s="2940" t="s">
        <v>3055</v>
      </c>
      <c r="C181" s="2940"/>
      <c r="D181" s="2940"/>
      <c r="E181" s="2940"/>
      <c r="F181" s="2940">
        <v>2340</v>
      </c>
      <c r="G181" s="2940"/>
    </row>
    <row r="182" spans="1:7" s="2774" customFormat="1" ht="14.25" customHeight="1">
      <c r="A182" s="2940" t="s">
        <v>29</v>
      </c>
      <c r="B182" s="2940" t="s">
        <v>3056</v>
      </c>
      <c r="C182" s="2940"/>
      <c r="D182" s="2940"/>
      <c r="E182" s="2940"/>
      <c r="F182" s="2940">
        <v>2340</v>
      </c>
      <c r="G182" s="2940"/>
    </row>
    <row r="183" spans="1:7" s="2774" customFormat="1" ht="14.25" customHeight="1">
      <c r="A183" s="2940" t="s">
        <v>29</v>
      </c>
      <c r="B183" s="2940" t="s">
        <v>3057</v>
      </c>
      <c r="C183" s="2940"/>
      <c r="D183" s="2940"/>
      <c r="E183" s="2940"/>
      <c r="F183" s="2940">
        <v>2340</v>
      </c>
      <c r="G183" s="2940"/>
    </row>
    <row r="184" spans="1:7" s="2774" customFormat="1" ht="14.25" customHeight="1">
      <c r="A184" s="2940" t="s">
        <v>29</v>
      </c>
      <c r="B184" s="2940" t="s">
        <v>3058</v>
      </c>
      <c r="C184" s="2940"/>
      <c r="D184" s="2940"/>
      <c r="E184" s="2940"/>
      <c r="F184" s="2940">
        <v>2340</v>
      </c>
      <c r="G184" s="2940"/>
    </row>
    <row r="185" spans="1:7" s="2774" customFormat="1" ht="14.25" customHeight="1">
      <c r="A185" s="2940" t="s">
        <v>29</v>
      </c>
      <c r="B185" s="2940" t="s">
        <v>3059</v>
      </c>
      <c r="C185" s="2940"/>
      <c r="D185" s="2940"/>
      <c r="E185" s="2940"/>
      <c r="F185" s="2940">
        <v>2530</v>
      </c>
      <c r="G185" s="2940"/>
    </row>
    <row r="186" spans="1:7" s="2774" customFormat="1" ht="14.25" customHeight="1">
      <c r="A186" s="2940" t="s">
        <v>29</v>
      </c>
      <c r="B186" s="2940" t="s">
        <v>3060</v>
      </c>
      <c r="C186" s="2940"/>
      <c r="D186" s="2940"/>
      <c r="E186" s="2940"/>
      <c r="F186" s="2940">
        <v>2550</v>
      </c>
      <c r="G186" s="2940"/>
    </row>
    <row r="187" spans="1:7" s="2774" customFormat="1" ht="14.25" customHeight="1">
      <c r="A187" s="2940" t="s">
        <v>29</v>
      </c>
      <c r="B187" s="2940" t="s">
        <v>3061</v>
      </c>
      <c r="C187" s="2940"/>
      <c r="D187" s="2940"/>
      <c r="E187" s="2940"/>
      <c r="F187" s="2940">
        <v>2070</v>
      </c>
      <c r="G187" s="2940"/>
    </row>
    <row r="188" spans="1:7" s="2774" customFormat="1" ht="14.25" customHeight="1">
      <c r="A188" s="2940" t="s">
        <v>29</v>
      </c>
      <c r="B188" s="2940" t="s">
        <v>3062</v>
      </c>
      <c r="C188" s="2940"/>
      <c r="D188" s="2940"/>
      <c r="E188" s="2940"/>
      <c r="F188" s="2940">
        <v>2340</v>
      </c>
      <c r="G188" s="2940"/>
    </row>
    <row r="189" spans="1:7" s="2774" customFormat="1" ht="14.25" customHeight="1" thickBot="1">
      <c r="A189" s="2948" t="s">
        <v>29</v>
      </c>
      <c r="B189" s="2951" t="s">
        <v>3063</v>
      </c>
      <c r="C189" s="2951"/>
      <c r="D189" s="2951"/>
      <c r="E189" s="2951"/>
      <c r="F189" s="2951">
        <v>2050</v>
      </c>
      <c r="G189" s="2951"/>
    </row>
    <row r="190" spans="1:7" s="2774" customFormat="1" ht="14.25" customHeight="1">
      <c r="A190" s="2945" t="s">
        <v>304</v>
      </c>
      <c r="B190" s="2936" t="s">
        <v>3083</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3084</v>
      </c>
      <c r="C199" s="2940">
        <v>8690</v>
      </c>
      <c r="D199" s="2940">
        <v>8630</v>
      </c>
      <c r="E199" s="2940">
        <v>11350</v>
      </c>
      <c r="F199" s="2940">
        <v>1600</v>
      </c>
      <c r="G199" s="2953">
        <v>5450</v>
      </c>
    </row>
    <row r="200" spans="1:7" s="2774" customFormat="1" ht="14.25" customHeight="1">
      <c r="A200" s="2940" t="s">
        <v>304</v>
      </c>
      <c r="B200" s="2940" t="s">
        <v>2895</v>
      </c>
      <c r="C200" s="2940"/>
      <c r="D200" s="2940"/>
      <c r="E200" s="2940"/>
      <c r="F200" s="2940">
        <v>1510</v>
      </c>
      <c r="G200" s="2953"/>
    </row>
    <row r="201" spans="1:7" s="2774" customFormat="1" ht="14.25" customHeight="1">
      <c r="A201" s="2940" t="s">
        <v>304</v>
      </c>
      <c r="B201" s="2940" t="s">
        <v>3085</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3086</v>
      </c>
      <c r="C203" s="2940">
        <v>8130</v>
      </c>
      <c r="D203" s="2940">
        <v>8070</v>
      </c>
      <c r="E203" s="2940">
        <v>10820</v>
      </c>
      <c r="F203" s="2940">
        <v>1690</v>
      </c>
      <c r="G203" s="2953">
        <v>5100</v>
      </c>
    </row>
    <row r="204" spans="1:7" s="2774" customFormat="1" ht="14.25" customHeight="1">
      <c r="A204" s="2940" t="s">
        <v>304</v>
      </c>
      <c r="B204" s="2940" t="s">
        <v>2906</v>
      </c>
      <c r="C204" s="2940">
        <v>8350</v>
      </c>
      <c r="D204" s="2940">
        <v>8290</v>
      </c>
      <c r="E204" s="2940">
        <v>11080</v>
      </c>
      <c r="F204" s="2940">
        <v>1450</v>
      </c>
      <c r="G204" s="2953">
        <v>5240</v>
      </c>
    </row>
    <row r="205" spans="1:7" s="2774" customFormat="1" ht="14.25" customHeight="1">
      <c r="A205" s="2940" t="s">
        <v>304</v>
      </c>
      <c r="B205" s="2940" t="s">
        <v>2908</v>
      </c>
      <c r="C205" s="2940">
        <v>7190</v>
      </c>
      <c r="D205" s="2940">
        <v>7130</v>
      </c>
      <c r="E205" s="2940">
        <v>9490</v>
      </c>
      <c r="F205" s="2940">
        <v>1470</v>
      </c>
      <c r="G205" s="2953">
        <v>4510</v>
      </c>
    </row>
    <row r="206" spans="1:7" s="2774" customFormat="1" ht="14.25" customHeight="1">
      <c r="A206" s="2940" t="s">
        <v>304</v>
      </c>
      <c r="B206" s="2940" t="s">
        <v>2911</v>
      </c>
      <c r="C206" s="2940">
        <v>7000</v>
      </c>
      <c r="D206" s="2940">
        <v>6950</v>
      </c>
      <c r="E206" s="2940">
        <v>9170</v>
      </c>
      <c r="F206" s="2940">
        <v>1400</v>
      </c>
      <c r="G206" s="2953">
        <v>4380</v>
      </c>
    </row>
    <row r="207" spans="1:7" s="2774" customFormat="1" ht="14.25" customHeight="1">
      <c r="A207" s="2940" t="s">
        <v>304</v>
      </c>
      <c r="B207" s="2940" t="s">
        <v>2913</v>
      </c>
      <c r="C207" s="2940">
        <v>6950</v>
      </c>
      <c r="D207" s="2940">
        <v>6900</v>
      </c>
      <c r="E207" s="2940">
        <v>9110</v>
      </c>
      <c r="F207" s="2940">
        <v>1790</v>
      </c>
      <c r="G207" s="2953">
        <v>4360</v>
      </c>
    </row>
    <row r="208" spans="1:7" s="2774" customFormat="1" ht="14.25" customHeight="1">
      <c r="A208" s="2940" t="s">
        <v>304</v>
      </c>
      <c r="B208" s="2940" t="s">
        <v>3087</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2923</v>
      </c>
      <c r="C210" s="2940">
        <v>8710</v>
      </c>
      <c r="D210" s="2940">
        <v>8660</v>
      </c>
      <c r="E210" s="2940">
        <v>11440</v>
      </c>
      <c r="F210" s="2940">
        <v>1740</v>
      </c>
      <c r="G210" s="2953">
        <v>5470</v>
      </c>
    </row>
    <row r="211" spans="1:7" s="2774" customFormat="1" ht="14.25" customHeight="1">
      <c r="A211" s="2940" t="s">
        <v>304</v>
      </c>
      <c r="B211" s="2940" t="s">
        <v>3088</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3089</v>
      </c>
      <c r="C214" s="2940">
        <v>8090</v>
      </c>
      <c r="D214" s="2940">
        <v>8030</v>
      </c>
      <c r="E214" s="2940">
        <v>10780</v>
      </c>
      <c r="F214" s="2940">
        <v>1570</v>
      </c>
      <c r="G214" s="2953">
        <v>5070</v>
      </c>
    </row>
    <row r="215" spans="1:7" s="2774" customFormat="1" ht="14.25" customHeight="1">
      <c r="A215" s="2940" t="s">
        <v>304</v>
      </c>
      <c r="B215" s="2940" t="s">
        <v>3090</v>
      </c>
      <c r="C215" s="2940">
        <v>7950</v>
      </c>
      <c r="D215" s="2940">
        <v>7900</v>
      </c>
      <c r="E215" s="2940">
        <v>10560</v>
      </c>
      <c r="F215" s="2940">
        <v>1630</v>
      </c>
      <c r="G215" s="2953">
        <v>4990</v>
      </c>
    </row>
    <row r="216" spans="1:7" s="2774" customFormat="1" ht="14.25" customHeight="1">
      <c r="A216" s="2940" t="s">
        <v>304</v>
      </c>
      <c r="B216" s="2940" t="s">
        <v>3091</v>
      </c>
      <c r="C216" s="2940">
        <v>8490</v>
      </c>
      <c r="D216" s="2940">
        <v>8440</v>
      </c>
      <c r="E216" s="2940">
        <v>11260</v>
      </c>
      <c r="F216" s="2940">
        <v>1690</v>
      </c>
      <c r="G216" s="2953">
        <v>5330</v>
      </c>
    </row>
    <row r="217" spans="1:7" s="2774" customFormat="1" ht="14.25" customHeight="1">
      <c r="A217" s="2940" t="s">
        <v>304</v>
      </c>
      <c r="B217" s="2940" t="s">
        <v>2956</v>
      </c>
      <c r="C217" s="2940">
        <v>8200</v>
      </c>
      <c r="D217" s="2940">
        <v>8150</v>
      </c>
      <c r="E217" s="2940">
        <v>10910</v>
      </c>
      <c r="F217" s="2940">
        <v>1670</v>
      </c>
      <c r="G217" s="2953">
        <v>5150</v>
      </c>
    </row>
    <row r="218" spans="1:7" s="2774" customFormat="1" ht="14.25" customHeight="1">
      <c r="A218" s="2940" t="s">
        <v>304</v>
      </c>
      <c r="B218" s="2940" t="s">
        <v>3092</v>
      </c>
      <c r="C218" s="2940"/>
      <c r="D218" s="2940"/>
      <c r="E218" s="2940"/>
      <c r="F218" s="2940">
        <v>2040</v>
      </c>
      <c r="G218" s="2953"/>
    </row>
    <row r="219" spans="1:7" s="2774" customFormat="1" ht="14.25" customHeight="1">
      <c r="A219" s="2940" t="s">
        <v>304</v>
      </c>
      <c r="B219" s="2940" t="s">
        <v>3093</v>
      </c>
      <c r="C219" s="2940"/>
      <c r="D219" s="2940"/>
      <c r="E219" s="2940"/>
      <c r="F219" s="2940">
        <v>2040</v>
      </c>
      <c r="G219" s="2953"/>
    </row>
    <row r="220" spans="1:7" s="2774" customFormat="1" ht="14.25" customHeight="1">
      <c r="A220" s="2940" t="s">
        <v>304</v>
      </c>
      <c r="B220" s="2940" t="s">
        <v>3094</v>
      </c>
      <c r="C220" s="2940"/>
      <c r="D220" s="2940"/>
      <c r="E220" s="2940"/>
      <c r="F220" s="2940">
        <v>2040</v>
      </c>
      <c r="G220" s="2953"/>
    </row>
    <row r="221" spans="1:7" s="2774" customFormat="1" ht="14.25" customHeight="1">
      <c r="A221" s="2940" t="s">
        <v>304</v>
      </c>
      <c r="B221" s="2940" t="s">
        <v>3095</v>
      </c>
      <c r="C221" s="2940"/>
      <c r="D221" s="2940"/>
      <c r="E221" s="2940"/>
      <c r="F221" s="2940">
        <v>2040</v>
      </c>
      <c r="G221" s="2953"/>
    </row>
    <row r="222" spans="1:7" s="2774" customFormat="1" ht="14.25" customHeight="1">
      <c r="A222" s="2940" t="s">
        <v>304</v>
      </c>
      <c r="B222" s="2940" t="s">
        <v>3096</v>
      </c>
      <c r="C222" s="2940"/>
      <c r="D222" s="2940"/>
      <c r="E222" s="2940"/>
      <c r="F222" s="2940">
        <v>2040</v>
      </c>
      <c r="G222" s="2953"/>
    </row>
    <row r="223" spans="1:7" s="2774" customFormat="1" ht="14.25" customHeight="1">
      <c r="A223" s="2940" t="s">
        <v>304</v>
      </c>
      <c r="B223" s="2940" t="s">
        <v>3097</v>
      </c>
      <c r="C223" s="2940"/>
      <c r="D223" s="2940"/>
      <c r="E223" s="2940"/>
      <c r="F223" s="2940">
        <v>1930</v>
      </c>
      <c r="G223" s="2953"/>
    </row>
    <row r="224" spans="1:7" s="2774" customFormat="1" ht="14.25" customHeight="1">
      <c r="A224" s="2940" t="s">
        <v>304</v>
      </c>
      <c r="B224" s="2940" t="s">
        <v>3098</v>
      </c>
      <c r="C224" s="2940"/>
      <c r="D224" s="2940"/>
      <c r="E224" s="2940"/>
      <c r="F224" s="2940">
        <v>1930</v>
      </c>
      <c r="G224" s="2953"/>
    </row>
    <row r="225" spans="1:7" s="2774" customFormat="1" ht="14.25" customHeight="1">
      <c r="A225" s="2940" t="s">
        <v>304</v>
      </c>
      <c r="B225" s="2940" t="s">
        <v>3099</v>
      </c>
      <c r="C225" s="2940"/>
      <c r="D225" s="2940"/>
      <c r="E225" s="2940"/>
      <c r="F225" s="2940">
        <v>1930</v>
      </c>
      <c r="G225" s="2953"/>
    </row>
    <row r="226" spans="1:7" s="2774" customFormat="1" ht="14.25" customHeight="1">
      <c r="A226" s="2940" t="s">
        <v>304</v>
      </c>
      <c r="B226" s="2940" t="s">
        <v>3100</v>
      </c>
      <c r="C226" s="2940"/>
      <c r="D226" s="2940"/>
      <c r="E226" s="2940"/>
      <c r="F226" s="2940">
        <v>1700</v>
      </c>
      <c r="G226" s="2953"/>
    </row>
    <row r="227" spans="1:7" s="2774" customFormat="1" ht="14.25" customHeight="1">
      <c r="A227" s="2940" t="s">
        <v>304</v>
      </c>
      <c r="B227" s="2940" t="s">
        <v>3101</v>
      </c>
      <c r="C227" s="2940"/>
      <c r="D227" s="2940"/>
      <c r="E227" s="2940"/>
      <c r="F227" s="2940">
        <v>1520</v>
      </c>
      <c r="G227" s="2953"/>
    </row>
    <row r="228" spans="1:7" s="2774" customFormat="1" ht="14.25" customHeight="1">
      <c r="A228" s="2940" t="s">
        <v>304</v>
      </c>
      <c r="B228" s="2940" t="s">
        <v>3102</v>
      </c>
      <c r="C228" s="2940"/>
      <c r="D228" s="2940"/>
      <c r="E228" s="2940"/>
      <c r="F228" s="2940">
        <v>1520</v>
      </c>
      <c r="G228" s="2953"/>
    </row>
    <row r="229" spans="1:7" s="2774" customFormat="1" ht="14.25" customHeight="1">
      <c r="A229" s="2940" t="s">
        <v>304</v>
      </c>
      <c r="B229" s="2940" t="s">
        <v>3019</v>
      </c>
      <c r="C229" s="2940"/>
      <c r="D229" s="2940"/>
      <c r="E229" s="2940"/>
      <c r="F229" s="2940">
        <v>1520</v>
      </c>
      <c r="G229" s="2953"/>
    </row>
    <row r="230" spans="1:7" s="2774" customFormat="1" ht="14.25" customHeight="1">
      <c r="A230" s="2940" t="s">
        <v>304</v>
      </c>
      <c r="B230" s="2940" t="s">
        <v>3103</v>
      </c>
      <c r="C230" s="2940"/>
      <c r="D230" s="2940"/>
      <c r="E230" s="2940"/>
      <c r="F230" s="2940">
        <v>1820</v>
      </c>
      <c r="G230" s="2953"/>
    </row>
    <row r="231" spans="1:7" s="2774" customFormat="1" ht="14.25" customHeight="1">
      <c r="A231" s="2940" t="s">
        <v>304</v>
      </c>
      <c r="B231" s="2940" t="s">
        <v>3104</v>
      </c>
      <c r="C231" s="2940"/>
      <c r="D231" s="2940"/>
      <c r="E231" s="2940"/>
      <c r="F231" s="2940">
        <v>1760</v>
      </c>
      <c r="G231" s="2953"/>
    </row>
    <row r="232" spans="1:7" s="2774" customFormat="1" ht="14.25" customHeight="1">
      <c r="A232" s="2940" t="s">
        <v>304</v>
      </c>
      <c r="B232" s="2940" t="s">
        <v>3105</v>
      </c>
      <c r="C232" s="2940"/>
      <c r="D232" s="2940"/>
      <c r="E232" s="2940"/>
      <c r="F232" s="2940">
        <v>1840</v>
      </c>
      <c r="G232" s="2953"/>
    </row>
    <row r="233" spans="1:7" s="2774" customFormat="1" ht="14.25" customHeight="1" thickBot="1">
      <c r="A233" s="2954" t="s">
        <v>304</v>
      </c>
      <c r="B233" s="2947" t="s">
        <v>3036</v>
      </c>
      <c r="C233" s="2947"/>
      <c r="D233" s="2947"/>
      <c r="E233" s="2947"/>
      <c r="F233" s="2947">
        <v>1770</v>
      </c>
      <c r="G233" s="2955"/>
    </row>
    <row r="234" spans="1:7" s="2774" customFormat="1" ht="14.25" customHeight="1">
      <c r="A234" s="2945" t="s">
        <v>305</v>
      </c>
      <c r="B234" s="2936" t="s">
        <v>3106</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2877</v>
      </c>
      <c r="C238" s="2940">
        <v>6920</v>
      </c>
      <c r="D238" s="2940">
        <v>6890</v>
      </c>
      <c r="E238" s="2940">
        <v>8640</v>
      </c>
      <c r="F238" s="2940">
        <v>1310</v>
      </c>
      <c r="G238" s="2940">
        <v>4230</v>
      </c>
    </row>
    <row r="239" spans="1:7" s="2774" customFormat="1" ht="14.25" customHeight="1">
      <c r="A239" s="2940" t="s">
        <v>305</v>
      </c>
      <c r="B239" s="2940" t="s">
        <v>3107</v>
      </c>
      <c r="C239" s="2940">
        <v>6780</v>
      </c>
      <c r="D239" s="2940">
        <v>6750</v>
      </c>
      <c r="E239" s="2940">
        <v>8440</v>
      </c>
      <c r="F239" s="2940">
        <v>1160</v>
      </c>
      <c r="G239" s="2940">
        <v>4140</v>
      </c>
    </row>
    <row r="240" spans="1:7" s="2774" customFormat="1" ht="14.25" customHeight="1">
      <c r="A240" s="2940" t="s">
        <v>305</v>
      </c>
      <c r="B240" s="2940" t="s">
        <v>3108</v>
      </c>
      <c r="C240" s="2940">
        <v>5420</v>
      </c>
      <c r="D240" s="2940">
        <v>5380</v>
      </c>
      <c r="E240" s="2940">
        <v>6640</v>
      </c>
      <c r="F240" s="2940">
        <v>1020</v>
      </c>
      <c r="G240" s="2940">
        <v>3300</v>
      </c>
    </row>
    <row r="241" spans="1:7" s="2774" customFormat="1" ht="14.25" customHeight="1">
      <c r="A241" s="2940" t="s">
        <v>305</v>
      </c>
      <c r="B241" s="2940" t="s">
        <v>3109</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3110</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3111</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3112</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3113</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3114</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2939</v>
      </c>
      <c r="C258" s="2940">
        <v>6190</v>
      </c>
      <c r="D258" s="2940">
        <v>6160</v>
      </c>
      <c r="E258" s="2940">
        <v>7680</v>
      </c>
      <c r="F258" s="2940">
        <v>1170</v>
      </c>
      <c r="G258" s="2940">
        <v>3780</v>
      </c>
    </row>
    <row r="259" spans="1:7" s="2774" customFormat="1" ht="14.25" customHeight="1">
      <c r="A259" s="2940" t="s">
        <v>305</v>
      </c>
      <c r="B259" s="2940" t="s">
        <v>3115</v>
      </c>
      <c r="C259" s="2940">
        <v>7610</v>
      </c>
      <c r="D259" s="2940">
        <v>7570</v>
      </c>
      <c r="E259" s="2940">
        <v>9350</v>
      </c>
      <c r="F259" s="2940">
        <v>1350</v>
      </c>
      <c r="G259" s="2940">
        <v>4650</v>
      </c>
    </row>
    <row r="260" spans="1:7" s="2774" customFormat="1" ht="14.25" customHeight="1">
      <c r="A260" s="2940" t="s">
        <v>305</v>
      </c>
      <c r="B260" s="2940" t="s">
        <v>3116</v>
      </c>
      <c r="C260" s="2940">
        <v>6920</v>
      </c>
      <c r="D260" s="2940">
        <v>6880</v>
      </c>
      <c r="E260" s="2940">
        <v>8380</v>
      </c>
      <c r="F260" s="2940">
        <v>1160</v>
      </c>
      <c r="G260" s="2940">
        <v>4220</v>
      </c>
    </row>
    <row r="261" spans="1:7" s="2774" customFormat="1" ht="14.25" customHeight="1">
      <c r="A261" s="2940" t="s">
        <v>305</v>
      </c>
      <c r="B261" s="2940" t="s">
        <v>3117</v>
      </c>
      <c r="C261" s="2940">
        <v>6850</v>
      </c>
      <c r="D261" s="2940">
        <v>6810</v>
      </c>
      <c r="E261" s="2940">
        <v>8290</v>
      </c>
      <c r="F261" s="2940">
        <v>1130</v>
      </c>
      <c r="G261" s="2940">
        <v>4180</v>
      </c>
    </row>
    <row r="262" spans="1:7" s="2774" customFormat="1" ht="14.25" customHeight="1">
      <c r="A262" s="2940" t="s">
        <v>305</v>
      </c>
      <c r="B262" s="2940" t="s">
        <v>3118</v>
      </c>
      <c r="C262" s="2940">
        <v>5860</v>
      </c>
      <c r="D262" s="2940">
        <v>5820</v>
      </c>
      <c r="E262" s="2940">
        <v>7640</v>
      </c>
      <c r="F262" s="2940">
        <v>1070</v>
      </c>
      <c r="G262" s="2940">
        <v>3570</v>
      </c>
    </row>
    <row r="263" spans="1:7" s="2774" customFormat="1" ht="14.25" customHeight="1">
      <c r="A263" s="2940" t="s">
        <v>305</v>
      </c>
      <c r="B263" s="2940" t="s">
        <v>3119</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3120</v>
      </c>
      <c r="C265" s="2940"/>
      <c r="D265" s="2940"/>
      <c r="E265" s="2940"/>
      <c r="F265" s="2940">
        <v>1500</v>
      </c>
      <c r="G265" s="2940"/>
    </row>
    <row r="266" spans="1:7" s="2774" customFormat="1" ht="14.25" customHeight="1">
      <c r="A266" s="2940" t="s">
        <v>305</v>
      </c>
      <c r="B266" s="2940" t="s">
        <v>3121</v>
      </c>
      <c r="C266" s="2940"/>
      <c r="D266" s="2940"/>
      <c r="E266" s="2940"/>
      <c r="F266" s="2940">
        <v>1500</v>
      </c>
      <c r="G266" s="2940"/>
    </row>
    <row r="267" spans="1:7" s="2774" customFormat="1" ht="14.25" customHeight="1">
      <c r="A267" s="2940" t="s">
        <v>305</v>
      </c>
      <c r="B267" s="2940" t="s">
        <v>3122</v>
      </c>
      <c r="C267" s="2940"/>
      <c r="D267" s="2940"/>
      <c r="E267" s="2940"/>
      <c r="F267" s="2940">
        <v>1500</v>
      </c>
      <c r="G267" s="2940"/>
    </row>
    <row r="268" spans="1:7" s="2774" customFormat="1" ht="14.25" customHeight="1">
      <c r="A268" s="2940" t="s">
        <v>305</v>
      </c>
      <c r="B268" s="2940" t="s">
        <v>3123</v>
      </c>
      <c r="C268" s="2940"/>
      <c r="D268" s="2940"/>
      <c r="E268" s="2940"/>
      <c r="F268" s="2940">
        <v>1290</v>
      </c>
      <c r="G268" s="2940"/>
    </row>
    <row r="269" spans="1:7" s="2774" customFormat="1" ht="14.25" customHeight="1">
      <c r="A269" s="2940" t="s">
        <v>305</v>
      </c>
      <c r="B269" s="2940" t="s">
        <v>3124</v>
      </c>
      <c r="C269" s="2940"/>
      <c r="D269" s="2940"/>
      <c r="E269" s="2940"/>
      <c r="F269" s="2940">
        <v>1150</v>
      </c>
      <c r="G269" s="2940"/>
    </row>
    <row r="270" spans="1:7" s="2774" customFormat="1" ht="14.25" customHeight="1">
      <c r="A270" s="2940" t="s">
        <v>305</v>
      </c>
      <c r="B270" s="2940" t="s">
        <v>3125</v>
      </c>
      <c r="C270" s="2940"/>
      <c r="D270" s="2940"/>
      <c r="E270" s="2940"/>
      <c r="F270" s="2940">
        <v>1380</v>
      </c>
      <c r="G270" s="2940"/>
    </row>
    <row r="271" spans="1:7" s="2774" customFormat="1" ht="14.25" customHeight="1">
      <c r="A271" s="2940" t="s">
        <v>305</v>
      </c>
      <c r="B271" s="2940" t="s">
        <v>3126</v>
      </c>
      <c r="C271" s="2940"/>
      <c r="D271" s="2940"/>
      <c r="E271" s="2940"/>
      <c r="F271" s="2940">
        <v>1460</v>
      </c>
      <c r="G271" s="2940"/>
    </row>
    <row r="272" spans="1:7" s="2774" customFormat="1" ht="14.25" customHeight="1">
      <c r="A272" s="2940" t="s">
        <v>305</v>
      </c>
      <c r="B272" s="2940" t="s">
        <v>3127</v>
      </c>
      <c r="C272" s="2940"/>
      <c r="D272" s="2940"/>
      <c r="E272" s="2940"/>
      <c r="F272" s="2940">
        <v>1460</v>
      </c>
      <c r="G272" s="2940"/>
    </row>
    <row r="273" spans="1:7" s="2774" customFormat="1" ht="14.25" customHeight="1">
      <c r="A273" s="2940" t="s">
        <v>305</v>
      </c>
      <c r="B273" s="2940" t="s">
        <v>3020</v>
      </c>
      <c r="C273" s="2940"/>
      <c r="D273" s="2940"/>
      <c r="E273" s="2940"/>
      <c r="F273" s="2940">
        <v>1490</v>
      </c>
      <c r="G273" s="2940"/>
    </row>
    <row r="274" spans="1:7" s="2774" customFormat="1" ht="14.25" customHeight="1">
      <c r="A274" s="2940" t="s">
        <v>305</v>
      </c>
      <c r="B274" s="2940" t="s">
        <v>3128</v>
      </c>
      <c r="C274" s="2940"/>
      <c r="D274" s="2940"/>
      <c r="E274" s="2940"/>
      <c r="F274" s="2940">
        <v>1490</v>
      </c>
      <c r="G274" s="2940"/>
    </row>
    <row r="275" spans="1:7" s="2774" customFormat="1" ht="14.25" customHeight="1">
      <c r="A275" s="2940" t="s">
        <v>305</v>
      </c>
      <c r="B275" s="2940" t="s">
        <v>3129</v>
      </c>
      <c r="C275" s="2940"/>
      <c r="D275" s="2940"/>
      <c r="E275" s="2940"/>
      <c r="F275" s="2940">
        <v>1220</v>
      </c>
      <c r="G275" s="2940"/>
    </row>
    <row r="276" spans="1:7" s="2774" customFormat="1" ht="14.25" customHeight="1" thickBot="1">
      <c r="A276" s="2948" t="s">
        <v>305</v>
      </c>
      <c r="B276" s="2950" t="s">
        <v>3130</v>
      </c>
      <c r="C276" s="2951"/>
      <c r="D276" s="2951"/>
      <c r="E276" s="2951"/>
      <c r="F276" s="2951">
        <v>1380</v>
      </c>
      <c r="G276" s="2951"/>
    </row>
    <row r="277" spans="1:7" s="2774" customFormat="1" ht="14.25" customHeight="1">
      <c r="A277" s="2945" t="s">
        <v>306</v>
      </c>
      <c r="B277" s="2936" t="s">
        <v>3131</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3132</v>
      </c>
      <c r="C279" s="2940">
        <v>4760</v>
      </c>
      <c r="D279" s="2940">
        <v>4720</v>
      </c>
      <c r="E279" s="2940">
        <v>5540</v>
      </c>
      <c r="F279" s="2940">
        <v>810</v>
      </c>
      <c r="G279" s="2953">
        <v>2850</v>
      </c>
    </row>
    <row r="280" spans="1:7" s="2774" customFormat="1" ht="14.25" customHeight="1">
      <c r="A280" s="2940" t="s">
        <v>306</v>
      </c>
      <c r="B280" s="2940" t="s">
        <v>3133</v>
      </c>
      <c r="C280" s="2940">
        <v>4010</v>
      </c>
      <c r="D280" s="2940">
        <v>3950</v>
      </c>
      <c r="E280" s="2940">
        <v>4710</v>
      </c>
      <c r="F280" s="2940">
        <v>800</v>
      </c>
      <c r="G280" s="2953">
        <v>2390</v>
      </c>
    </row>
    <row r="281" spans="1:7" s="2774" customFormat="1" ht="14.25" customHeight="1">
      <c r="A281" s="2940" t="s">
        <v>306</v>
      </c>
      <c r="B281" s="2940" t="s">
        <v>3134</v>
      </c>
      <c r="C281" s="2940">
        <v>4480</v>
      </c>
      <c r="D281" s="2940">
        <v>4420</v>
      </c>
      <c r="E281" s="2940">
        <v>5230</v>
      </c>
      <c r="F281" s="2940">
        <v>870</v>
      </c>
      <c r="G281" s="2953">
        <v>2660</v>
      </c>
    </row>
    <row r="282" spans="1:7" s="2774" customFormat="1" ht="14.25" customHeight="1">
      <c r="A282" s="2940" t="s">
        <v>306</v>
      </c>
      <c r="B282" s="2940" t="s">
        <v>3135</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3136</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3137</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2912</v>
      </c>
      <c r="C293" s="2940">
        <v>5320</v>
      </c>
      <c r="D293" s="2940">
        <v>5270</v>
      </c>
      <c r="E293" s="2940">
        <v>6160</v>
      </c>
      <c r="F293" s="2940">
        <v>990</v>
      </c>
      <c r="G293" s="2953">
        <v>3170</v>
      </c>
    </row>
    <row r="294" spans="1:7" s="2774" customFormat="1" ht="14.25" customHeight="1">
      <c r="A294" s="2940" t="s">
        <v>306</v>
      </c>
      <c r="B294" s="2940" t="s">
        <v>3138</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2931</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3139</v>
      </c>
      <c r="C302" s="2940">
        <v>5520</v>
      </c>
      <c r="D302" s="2940">
        <v>5470</v>
      </c>
      <c r="E302" s="2940">
        <v>6410</v>
      </c>
      <c r="F302" s="2940">
        <v>950</v>
      </c>
      <c r="G302" s="2953">
        <v>3300</v>
      </c>
    </row>
    <row r="303" spans="1:7" s="2774" customFormat="1" ht="14.25" customHeight="1">
      <c r="A303" s="2940" t="s">
        <v>306</v>
      </c>
      <c r="B303" s="2940" t="s">
        <v>2951</v>
      </c>
      <c r="C303" s="2940">
        <v>5630</v>
      </c>
      <c r="D303" s="2940">
        <v>5590</v>
      </c>
      <c r="E303" s="2940">
        <v>6550</v>
      </c>
      <c r="F303" s="2940">
        <v>1010</v>
      </c>
      <c r="G303" s="2953">
        <v>3370</v>
      </c>
    </row>
    <row r="304" spans="1:7" s="2774" customFormat="1" ht="14.25" customHeight="1">
      <c r="A304" s="2940" t="s">
        <v>306</v>
      </c>
      <c r="B304" s="2940" t="s">
        <v>2958</v>
      </c>
      <c r="C304" s="2940">
        <v>5680</v>
      </c>
      <c r="D304" s="2940">
        <v>5620</v>
      </c>
      <c r="E304" s="2940">
        <v>6620</v>
      </c>
      <c r="F304" s="2940">
        <v>1050</v>
      </c>
      <c r="G304" s="2953">
        <v>3390</v>
      </c>
    </row>
    <row r="305" spans="1:7" s="2774" customFormat="1" ht="14.25" customHeight="1">
      <c r="A305" s="2940" t="s">
        <v>306</v>
      </c>
      <c r="B305" s="2940" t="s">
        <v>2964</v>
      </c>
      <c r="C305" s="2940">
        <v>5590</v>
      </c>
      <c r="D305" s="2940">
        <v>5530</v>
      </c>
      <c r="E305" s="2940">
        <v>6460</v>
      </c>
      <c r="F305" s="2940">
        <v>900</v>
      </c>
      <c r="G305" s="2953">
        <v>3340</v>
      </c>
    </row>
    <row r="306" spans="1:7" s="2774" customFormat="1" ht="14.25" customHeight="1">
      <c r="A306" s="2940" t="s">
        <v>306</v>
      </c>
      <c r="B306" s="2940" t="s">
        <v>3140</v>
      </c>
      <c r="C306" s="2940">
        <v>5560</v>
      </c>
      <c r="D306" s="2940">
        <v>5510</v>
      </c>
      <c r="E306" s="2940">
        <v>6440</v>
      </c>
      <c r="F306" s="2940">
        <v>900</v>
      </c>
      <c r="G306" s="2953">
        <v>3320</v>
      </c>
    </row>
    <row r="307" spans="1:7" s="2774" customFormat="1" ht="14.25" customHeight="1">
      <c r="A307" s="2940" t="s">
        <v>306</v>
      </c>
      <c r="B307" s="2940" t="s">
        <v>2976</v>
      </c>
      <c r="C307" s="2940">
        <v>5650</v>
      </c>
      <c r="D307" s="2940">
        <v>5600</v>
      </c>
      <c r="E307" s="2940">
        <v>6590</v>
      </c>
      <c r="F307" s="2940">
        <v>930</v>
      </c>
      <c r="G307" s="2953">
        <v>3380</v>
      </c>
    </row>
    <row r="308" spans="1:7" s="2774" customFormat="1" ht="14.25" customHeight="1">
      <c r="A308" s="2940" t="s">
        <v>306</v>
      </c>
      <c r="B308" s="2940" t="s">
        <v>3141</v>
      </c>
      <c r="C308" s="2940">
        <v>5620</v>
      </c>
      <c r="D308" s="2940">
        <v>5580</v>
      </c>
      <c r="E308" s="2940">
        <v>6540</v>
      </c>
      <c r="F308" s="2940">
        <v>910</v>
      </c>
      <c r="G308" s="2953">
        <v>3370</v>
      </c>
    </row>
    <row r="309" spans="1:7" s="2774" customFormat="1" ht="14.25" customHeight="1">
      <c r="A309" s="2940" t="s">
        <v>306</v>
      </c>
      <c r="B309" s="2940" t="s">
        <v>3142</v>
      </c>
      <c r="C309" s="2940">
        <v>5060</v>
      </c>
      <c r="D309" s="2940">
        <v>5020</v>
      </c>
      <c r="E309" s="2940">
        <v>6370</v>
      </c>
      <c r="F309" s="2940">
        <v>800</v>
      </c>
      <c r="G309" s="2953">
        <v>3020</v>
      </c>
    </row>
    <row r="310" spans="1:7" s="2774" customFormat="1" ht="14.25" customHeight="1">
      <c r="A310" s="2940" t="s">
        <v>306</v>
      </c>
      <c r="B310" s="2940" t="s">
        <v>2991</v>
      </c>
      <c r="C310" s="2940">
        <v>5150</v>
      </c>
      <c r="D310" s="2940">
        <v>5110</v>
      </c>
      <c r="E310" s="2940">
        <v>6500</v>
      </c>
      <c r="F310" s="2940">
        <v>880</v>
      </c>
      <c r="G310" s="2953">
        <v>3080</v>
      </c>
    </row>
    <row r="311" spans="1:7" s="2774" customFormat="1" ht="14.25" customHeight="1">
      <c r="A311" s="2940" t="s">
        <v>306</v>
      </c>
      <c r="B311" s="2940" t="s">
        <v>3143</v>
      </c>
      <c r="C311" s="2940">
        <v>4750</v>
      </c>
      <c r="D311" s="2940">
        <v>4710</v>
      </c>
      <c r="E311" s="2940">
        <v>5510</v>
      </c>
      <c r="F311" s="2940">
        <v>880</v>
      </c>
      <c r="G311" s="2953">
        <v>2840</v>
      </c>
    </row>
    <row r="312" spans="1:7" s="2774" customFormat="1" ht="14.25" customHeight="1">
      <c r="A312" s="2940" t="s">
        <v>306</v>
      </c>
      <c r="B312" s="2940" t="s">
        <v>3001</v>
      </c>
      <c r="C312" s="2940">
        <v>4690</v>
      </c>
      <c r="D312" s="2940">
        <v>4640</v>
      </c>
      <c r="E312" s="2940">
        <v>5420</v>
      </c>
      <c r="F312" s="2940">
        <v>800</v>
      </c>
      <c r="G312" s="2953">
        <v>2800</v>
      </c>
    </row>
    <row r="313" spans="1:7" s="2774" customFormat="1" ht="14.25" customHeight="1">
      <c r="A313" s="2940" t="s">
        <v>306</v>
      </c>
      <c r="B313" s="2940" t="s">
        <v>3006</v>
      </c>
      <c r="C313" s="2940">
        <v>4810</v>
      </c>
      <c r="D313" s="2940">
        <v>4760</v>
      </c>
      <c r="E313" s="2940">
        <v>5550</v>
      </c>
      <c r="F313" s="2940">
        <v>920</v>
      </c>
      <c r="G313" s="2953">
        <v>2870</v>
      </c>
    </row>
    <row r="314" spans="1:7" s="2774" customFormat="1" ht="14.25" customHeight="1">
      <c r="A314" s="2940" t="s">
        <v>306</v>
      </c>
      <c r="B314" s="2940" t="s">
        <v>3144</v>
      </c>
      <c r="C314" s="2940"/>
      <c r="D314" s="2940"/>
      <c r="E314" s="2940"/>
      <c r="F314" s="2940">
        <v>1020</v>
      </c>
      <c r="G314" s="2953"/>
    </row>
    <row r="315" spans="1:7" s="2774" customFormat="1" ht="14.25" customHeight="1">
      <c r="A315" s="2940" t="s">
        <v>306</v>
      </c>
      <c r="B315" s="2940" t="s">
        <v>3145</v>
      </c>
      <c r="C315" s="2940"/>
      <c r="D315" s="2940"/>
      <c r="E315" s="2940"/>
      <c r="F315" s="2940">
        <v>1050</v>
      </c>
      <c r="G315" s="2953"/>
    </row>
    <row r="316" spans="1:7" s="2774" customFormat="1" ht="14.25" customHeight="1">
      <c r="A316" s="2940" t="s">
        <v>306</v>
      </c>
      <c r="B316" s="2940" t="s">
        <v>3021</v>
      </c>
      <c r="C316" s="2940"/>
      <c r="D316" s="2940"/>
      <c r="E316" s="2940"/>
      <c r="F316" s="2940">
        <v>900</v>
      </c>
      <c r="G316" s="2953"/>
    </row>
    <row r="317" spans="1:7" s="2774" customFormat="1" ht="14.25" customHeight="1">
      <c r="A317" s="2940" t="s">
        <v>306</v>
      </c>
      <c r="B317" s="2940" t="s">
        <v>3146</v>
      </c>
      <c r="C317" s="2940"/>
      <c r="D317" s="2940"/>
      <c r="E317" s="2940"/>
      <c r="F317" s="2940">
        <v>920</v>
      </c>
      <c r="G317" s="2953"/>
    </row>
    <row r="318" spans="1:7" s="2774" customFormat="1" ht="14.25" customHeight="1">
      <c r="A318" s="2940" t="s">
        <v>306</v>
      </c>
      <c r="B318" s="2940" t="s">
        <v>3147</v>
      </c>
      <c r="C318" s="2940"/>
      <c r="D318" s="2940"/>
      <c r="E318" s="2940"/>
      <c r="F318" s="2940">
        <v>1080</v>
      </c>
      <c r="G318" s="2953"/>
    </row>
    <row r="319" spans="1:7" s="2774" customFormat="1" ht="14.25" customHeight="1">
      <c r="A319" s="2940" t="s">
        <v>306</v>
      </c>
      <c r="B319" s="2940" t="s">
        <v>3034</v>
      </c>
      <c r="C319" s="2940"/>
      <c r="D319" s="2940"/>
      <c r="E319" s="2940"/>
      <c r="F319" s="2940">
        <v>1020</v>
      </c>
      <c r="G319" s="2953"/>
    </row>
    <row r="320" spans="1:7" s="2774" customFormat="1" ht="14.25" customHeight="1">
      <c r="A320" s="2940" t="s">
        <v>306</v>
      </c>
      <c r="B320" s="2940" t="s">
        <v>3037</v>
      </c>
      <c r="C320" s="2940"/>
      <c r="D320" s="2940"/>
      <c r="E320" s="2940"/>
      <c r="F320" s="2940">
        <v>1050</v>
      </c>
      <c r="G320" s="2953"/>
    </row>
    <row r="321" spans="1:7" s="2774" customFormat="1" ht="14.25" customHeight="1">
      <c r="A321" s="2940" t="s">
        <v>306</v>
      </c>
      <c r="B321" s="2940" t="s">
        <v>3039</v>
      </c>
      <c r="C321" s="2940"/>
      <c r="D321" s="2940"/>
      <c r="E321" s="2940"/>
      <c r="F321" s="2940">
        <v>960</v>
      </c>
      <c r="G321" s="2953"/>
    </row>
    <row r="322" spans="1:7" s="2774" customFormat="1" ht="14.25" customHeight="1">
      <c r="A322" s="2940" t="s">
        <v>306</v>
      </c>
      <c r="B322" s="2940" t="s">
        <v>3041</v>
      </c>
      <c r="C322" s="2940"/>
      <c r="D322" s="2940"/>
      <c r="E322" s="2940"/>
      <c r="F322" s="2940">
        <v>960</v>
      </c>
      <c r="G322" s="2953"/>
    </row>
    <row r="323" spans="1:7" s="2774" customFormat="1" ht="14.25" customHeight="1">
      <c r="A323" s="2940" t="s">
        <v>306</v>
      </c>
      <c r="B323" s="2940" t="s">
        <v>3043</v>
      </c>
      <c r="C323" s="2940"/>
      <c r="D323" s="2940"/>
      <c r="E323" s="2940"/>
      <c r="F323" s="2940">
        <v>880</v>
      </c>
      <c r="G323" s="2953"/>
    </row>
    <row r="324" spans="1:7" s="2774" customFormat="1" ht="14.25" customHeight="1">
      <c r="A324" s="2940" t="s">
        <v>306</v>
      </c>
      <c r="B324" s="2940" t="s">
        <v>3045</v>
      </c>
      <c r="C324" s="2940"/>
      <c r="D324" s="2940"/>
      <c r="E324" s="2940"/>
      <c r="F324" s="2940">
        <v>930</v>
      </c>
      <c r="G324" s="2953"/>
    </row>
    <row r="325" spans="1:7" s="2774" customFormat="1" ht="14.25" customHeight="1">
      <c r="A325" s="2940" t="s">
        <v>306</v>
      </c>
      <c r="B325" s="2941" t="s">
        <v>3047</v>
      </c>
      <c r="C325" s="2940"/>
      <c r="D325" s="2940"/>
      <c r="E325" s="2940"/>
      <c r="F325" s="2940">
        <v>900</v>
      </c>
      <c r="G325" s="2953"/>
    </row>
    <row r="326" spans="1:7" s="2774" customFormat="1" ht="14.25" customHeight="1" thickBot="1">
      <c r="A326" s="2954" t="s">
        <v>306</v>
      </c>
      <c r="B326" s="2947" t="s">
        <v>3049</v>
      </c>
      <c r="C326" s="2947"/>
      <c r="D326" s="2947"/>
      <c r="E326" s="2947"/>
      <c r="F326" s="2947">
        <v>790</v>
      </c>
      <c r="G326" s="2955"/>
    </row>
    <row r="327" spans="1:7" s="2774" customFormat="1" ht="14.25" customHeight="1">
      <c r="A327" s="2945" t="s">
        <v>307</v>
      </c>
      <c r="B327" s="2936" t="s">
        <v>3148</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3149</v>
      </c>
      <c r="C329" s="2940">
        <v>2730</v>
      </c>
      <c r="D329" s="2940">
        <v>2690</v>
      </c>
      <c r="E329" s="2940">
        <v>3100</v>
      </c>
      <c r="F329" s="2940">
        <v>660</v>
      </c>
      <c r="G329" s="2940">
        <v>1610</v>
      </c>
    </row>
    <row r="330" spans="1:7" s="2774" customFormat="1" ht="14.25" customHeight="1">
      <c r="A330" s="2940" t="s">
        <v>307</v>
      </c>
      <c r="B330" s="2940" t="s">
        <v>3150</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2883</v>
      </c>
      <c r="C332" s="2940">
        <v>3520</v>
      </c>
      <c r="D332" s="2940">
        <v>3480</v>
      </c>
      <c r="E332" s="2940">
        <v>3830</v>
      </c>
      <c r="F332" s="2940">
        <v>720</v>
      </c>
      <c r="G332" s="2940">
        <v>2090</v>
      </c>
    </row>
    <row r="333" spans="1:7" s="2774" customFormat="1" ht="14.25" customHeight="1">
      <c r="A333" s="2940" t="s">
        <v>307</v>
      </c>
      <c r="B333" s="2940" t="s">
        <v>3151</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2893</v>
      </c>
      <c r="C336" s="2940">
        <v>3570</v>
      </c>
      <c r="D336" s="2940">
        <v>3530</v>
      </c>
      <c r="E336" s="2940">
        <v>3880</v>
      </c>
      <c r="F336" s="2940">
        <v>770</v>
      </c>
      <c r="G336" s="2940">
        <v>2110</v>
      </c>
    </row>
    <row r="337" spans="1:10" s="2774" customFormat="1" ht="14.25" customHeight="1">
      <c r="A337" s="2940" t="s">
        <v>307</v>
      </c>
      <c r="B337" s="2940" t="s">
        <v>3152</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3153</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3154</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2918</v>
      </c>
      <c r="C345" s="2940">
        <v>3190</v>
      </c>
      <c r="D345" s="2940">
        <v>3140</v>
      </c>
      <c r="E345" s="2940">
        <v>3450</v>
      </c>
      <c r="F345" s="2940">
        <v>720</v>
      </c>
      <c r="G345" s="2940">
        <v>1880</v>
      </c>
      <c r="J345" s="2774"/>
    </row>
    <row r="346" spans="1:10">
      <c r="A346" s="2940" t="s">
        <v>307</v>
      </c>
      <c r="B346" s="2940" t="s">
        <v>3155</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2927</v>
      </c>
      <c r="C348" s="2940">
        <v>4000</v>
      </c>
      <c r="D348" s="2940">
        <v>3950</v>
      </c>
      <c r="E348" s="2940">
        <v>4430</v>
      </c>
      <c r="F348" s="2940">
        <v>760</v>
      </c>
      <c r="G348" s="2940">
        <v>2360</v>
      </c>
      <c r="J348" s="2774"/>
    </row>
    <row r="349" spans="1:10">
      <c r="A349" s="2940" t="s">
        <v>307</v>
      </c>
      <c r="B349" s="2940" t="s">
        <v>2932</v>
      </c>
      <c r="C349" s="2940">
        <v>3820</v>
      </c>
      <c r="D349" s="2940">
        <v>3780</v>
      </c>
      <c r="E349" s="2940">
        <v>4170</v>
      </c>
      <c r="F349" s="2940">
        <v>710</v>
      </c>
      <c r="G349" s="2940">
        <v>2260</v>
      </c>
      <c r="J349" s="2774"/>
    </row>
    <row r="350" spans="1:10">
      <c r="A350" s="2940" t="s">
        <v>307</v>
      </c>
      <c r="B350" s="2940" t="s">
        <v>3156</v>
      </c>
      <c r="C350" s="2940">
        <v>3760</v>
      </c>
      <c r="D350" s="2940">
        <v>3730</v>
      </c>
      <c r="E350" s="2940">
        <v>4100</v>
      </c>
      <c r="F350" s="2940">
        <v>800</v>
      </c>
      <c r="G350" s="2940">
        <v>2230</v>
      </c>
      <c r="J350" s="2774"/>
    </row>
    <row r="351" spans="1:10">
      <c r="A351" s="2940" t="s">
        <v>307</v>
      </c>
      <c r="B351" s="2940" t="s">
        <v>2940</v>
      </c>
      <c r="C351" s="2940">
        <v>3610</v>
      </c>
      <c r="D351" s="2940">
        <v>3580</v>
      </c>
      <c r="E351" s="2940">
        <v>3930</v>
      </c>
      <c r="F351" s="2940">
        <v>700</v>
      </c>
      <c r="G351" s="2940">
        <v>2140</v>
      </c>
      <c r="J351" s="2774"/>
    </row>
    <row r="352" spans="1:10">
      <c r="A352" s="2940" t="s">
        <v>307</v>
      </c>
      <c r="B352" s="2940" t="s">
        <v>2945</v>
      </c>
      <c r="C352" s="2940">
        <v>3670</v>
      </c>
      <c r="D352" s="2940">
        <v>3630</v>
      </c>
      <c r="E352" s="2940">
        <v>4000</v>
      </c>
      <c r="F352" s="2940">
        <v>750</v>
      </c>
      <c r="G352" s="2940">
        <v>2180</v>
      </c>
    </row>
    <row r="353" spans="1:7" s="2775" customFormat="1">
      <c r="A353" s="2940" t="s">
        <v>307</v>
      </c>
      <c r="B353" s="2940" t="s">
        <v>3157</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2965</v>
      </c>
      <c r="C355" s="2940">
        <v>3650</v>
      </c>
      <c r="D355" s="2940">
        <v>3610</v>
      </c>
      <c r="E355" s="2940">
        <v>4200</v>
      </c>
      <c r="F355" s="2940">
        <v>640</v>
      </c>
      <c r="G355" s="2940">
        <v>2160</v>
      </c>
    </row>
    <row r="356" spans="1:7" s="2775" customFormat="1">
      <c r="A356" s="2940" t="s">
        <v>307</v>
      </c>
      <c r="B356" s="2940" t="s">
        <v>2972</v>
      </c>
      <c r="C356" s="2940">
        <v>3260</v>
      </c>
      <c r="D356" s="2940">
        <v>3230</v>
      </c>
      <c r="E356" s="2940">
        <v>3740</v>
      </c>
      <c r="F356" s="2940">
        <v>600</v>
      </c>
      <c r="G356" s="2940">
        <v>1930</v>
      </c>
    </row>
    <row r="357" spans="1:7" s="2775" customFormat="1" ht="12" thickBot="1">
      <c r="A357" s="2948" t="s">
        <v>307</v>
      </c>
      <c r="B357" s="2951" t="s">
        <v>3158</v>
      </c>
      <c r="C357" s="2951">
        <v>3690</v>
      </c>
      <c r="D357" s="2951">
        <v>3650</v>
      </c>
      <c r="E357" s="2951">
        <v>4020</v>
      </c>
      <c r="F357" s="2951">
        <v>700</v>
      </c>
      <c r="G357" s="2951">
        <v>2190</v>
      </c>
    </row>
    <row r="358" spans="1:7" s="2775" customFormat="1">
      <c r="A358" s="2945" t="s">
        <v>3159</v>
      </c>
      <c r="B358" s="2936" t="s">
        <v>3160</v>
      </c>
      <c r="C358" s="2936">
        <v>2080</v>
      </c>
      <c r="D358" s="2936">
        <v>2040</v>
      </c>
      <c r="E358" s="2936">
        <v>2010</v>
      </c>
      <c r="F358" s="2936">
        <v>530</v>
      </c>
      <c r="G358" s="2952">
        <v>1230</v>
      </c>
    </row>
    <row r="359" spans="1:7" s="2775" customFormat="1">
      <c r="A359" s="2940" t="s">
        <v>3159</v>
      </c>
      <c r="B359" s="2940" t="s">
        <v>3161</v>
      </c>
      <c r="C359" s="2940">
        <v>1850</v>
      </c>
      <c r="D359" s="2940">
        <v>1820</v>
      </c>
      <c r="E359" s="2940">
        <v>1780</v>
      </c>
      <c r="F359" s="2940">
        <v>520</v>
      </c>
      <c r="G359" s="2953">
        <v>1100</v>
      </c>
    </row>
    <row r="360" spans="1:7" s="2775" customFormat="1">
      <c r="A360" s="2940" t="s">
        <v>3159</v>
      </c>
      <c r="B360" s="2940" t="s">
        <v>3162</v>
      </c>
      <c r="C360" s="2940">
        <v>2020</v>
      </c>
      <c r="D360" s="2940">
        <v>1990</v>
      </c>
      <c r="E360" s="2940">
        <v>1950</v>
      </c>
      <c r="F360" s="2940">
        <v>500</v>
      </c>
      <c r="G360" s="2953">
        <v>1200</v>
      </c>
    </row>
    <row r="361" spans="1:7" s="2775" customFormat="1">
      <c r="A361" s="2940" t="s">
        <v>3159</v>
      </c>
      <c r="B361" s="2940" t="s">
        <v>153</v>
      </c>
      <c r="C361" s="2940">
        <v>2260</v>
      </c>
      <c r="D361" s="2940">
        <v>2220</v>
      </c>
      <c r="E361" s="2940">
        <v>2180</v>
      </c>
      <c r="F361" s="2940">
        <v>580</v>
      </c>
      <c r="G361" s="2953">
        <v>1340</v>
      </c>
    </row>
    <row r="362" spans="1:7" s="2775" customFormat="1">
      <c r="A362" s="2940" t="s">
        <v>3159</v>
      </c>
      <c r="B362" s="2940" t="s">
        <v>3163</v>
      </c>
      <c r="C362" s="2940">
        <v>2650</v>
      </c>
      <c r="D362" s="2940">
        <v>2610</v>
      </c>
      <c r="E362" s="2940">
        <v>2570</v>
      </c>
      <c r="F362" s="2940">
        <v>630</v>
      </c>
      <c r="G362" s="2953">
        <v>1570</v>
      </c>
    </row>
    <row r="363" spans="1:7" s="2775" customFormat="1">
      <c r="A363" s="2940" t="s">
        <v>3159</v>
      </c>
      <c r="B363" s="2940" t="s">
        <v>2884</v>
      </c>
      <c r="C363" s="2940">
        <v>2390</v>
      </c>
      <c r="D363" s="2940">
        <v>2360</v>
      </c>
      <c r="E363" s="2940">
        <v>2320</v>
      </c>
      <c r="F363" s="2940">
        <v>600</v>
      </c>
      <c r="G363" s="2953">
        <v>1420</v>
      </c>
    </row>
    <row r="364" spans="1:7" s="2775" customFormat="1">
      <c r="A364" s="2940" t="s">
        <v>3159</v>
      </c>
      <c r="B364" s="2940" t="s">
        <v>3164</v>
      </c>
      <c r="C364" s="2940">
        <v>2050</v>
      </c>
      <c r="D364" s="2940">
        <v>2030</v>
      </c>
      <c r="E364" s="2940">
        <v>1990</v>
      </c>
      <c r="F364" s="2940">
        <v>550</v>
      </c>
      <c r="G364" s="2953">
        <v>1220</v>
      </c>
    </row>
    <row r="365" spans="1:7" s="2775" customFormat="1">
      <c r="A365" s="2940" t="s">
        <v>3159</v>
      </c>
      <c r="B365" s="2940" t="s">
        <v>200</v>
      </c>
      <c r="C365" s="2940">
        <v>2140</v>
      </c>
      <c r="D365" s="2940">
        <v>2100</v>
      </c>
      <c r="E365" s="2940">
        <v>2060</v>
      </c>
      <c r="F365" s="2940">
        <v>540</v>
      </c>
      <c r="G365" s="2953">
        <v>1270</v>
      </c>
    </row>
    <row r="366" spans="1:7" s="2775" customFormat="1">
      <c r="A366" s="2940" t="s">
        <v>3159</v>
      </c>
      <c r="B366" s="2940" t="s">
        <v>2891</v>
      </c>
      <c r="C366" s="2940">
        <v>2410</v>
      </c>
      <c r="D366" s="2940">
        <v>2370</v>
      </c>
      <c r="E366" s="2940">
        <v>2330</v>
      </c>
      <c r="F366" s="2940">
        <v>570</v>
      </c>
      <c r="G366" s="2953">
        <v>1440</v>
      </c>
    </row>
    <row r="367" spans="1:7" s="2775" customFormat="1">
      <c r="A367" s="2940" t="s">
        <v>3159</v>
      </c>
      <c r="B367" s="2940" t="s">
        <v>3165</v>
      </c>
      <c r="C367" s="2940">
        <v>2300</v>
      </c>
      <c r="D367" s="2940">
        <v>2260</v>
      </c>
      <c r="E367" s="2940">
        <v>2220</v>
      </c>
      <c r="F367" s="2940">
        <v>560</v>
      </c>
      <c r="G367" s="2953">
        <v>1370</v>
      </c>
    </row>
    <row r="368" spans="1:7" s="2775" customFormat="1">
      <c r="A368" s="2940" t="s">
        <v>3159</v>
      </c>
      <c r="B368" s="2940" t="s">
        <v>3166</v>
      </c>
      <c r="C368" s="2940">
        <v>2430</v>
      </c>
      <c r="D368" s="2940">
        <v>2390</v>
      </c>
      <c r="E368" s="2940">
        <v>2350</v>
      </c>
      <c r="F368" s="2940">
        <v>570</v>
      </c>
      <c r="G368" s="2953">
        <v>1450</v>
      </c>
    </row>
    <row r="369" spans="1:7" s="2775" customFormat="1">
      <c r="A369" s="2940" t="s">
        <v>3159</v>
      </c>
      <c r="B369" s="2940" t="s">
        <v>214</v>
      </c>
      <c r="C369" s="2940">
        <v>2320</v>
      </c>
      <c r="D369" s="2940">
        <v>2290</v>
      </c>
      <c r="E369" s="2940">
        <v>2250</v>
      </c>
      <c r="F369" s="2940">
        <v>550</v>
      </c>
      <c r="G369" s="2953">
        <v>1380</v>
      </c>
    </row>
    <row r="370" spans="1:7" s="2775" customFormat="1">
      <c r="A370" s="2940" t="s">
        <v>3159</v>
      </c>
      <c r="B370" s="2940" t="s">
        <v>221</v>
      </c>
      <c r="C370" s="2940">
        <v>2190</v>
      </c>
      <c r="D370" s="2940">
        <v>2170</v>
      </c>
      <c r="E370" s="2940">
        <v>2130</v>
      </c>
      <c r="F370" s="2940">
        <v>530</v>
      </c>
      <c r="G370" s="2953">
        <v>1310</v>
      </c>
    </row>
    <row r="371" spans="1:7" s="2775" customFormat="1">
      <c r="A371" s="2940" t="s">
        <v>3159</v>
      </c>
      <c r="B371" s="2940" t="s">
        <v>229</v>
      </c>
      <c r="C371" s="2940">
        <v>2460</v>
      </c>
      <c r="D371" s="2940">
        <v>2420</v>
      </c>
      <c r="E371" s="2940">
        <v>2370</v>
      </c>
      <c r="F371" s="2940">
        <v>560</v>
      </c>
      <c r="G371" s="2953">
        <v>1470</v>
      </c>
    </row>
    <row r="372" spans="1:7" s="2775" customFormat="1">
      <c r="A372" s="2940" t="s">
        <v>3159</v>
      </c>
      <c r="B372" s="2940" t="s">
        <v>3167</v>
      </c>
      <c r="C372" s="2940">
        <v>2250</v>
      </c>
      <c r="D372" s="2940">
        <v>2210</v>
      </c>
      <c r="E372" s="2940">
        <v>2180</v>
      </c>
      <c r="F372" s="2940">
        <v>550</v>
      </c>
      <c r="G372" s="2953">
        <v>1340</v>
      </c>
    </row>
    <row r="373" spans="1:7" s="2775" customFormat="1">
      <c r="A373" s="2940" t="s">
        <v>3159</v>
      </c>
      <c r="B373" s="2940" t="s">
        <v>258</v>
      </c>
      <c r="C373" s="2940">
        <v>2210</v>
      </c>
      <c r="D373" s="2940">
        <v>2190</v>
      </c>
      <c r="E373" s="2940">
        <v>2150</v>
      </c>
      <c r="F373" s="2940">
        <v>530</v>
      </c>
      <c r="G373" s="2953">
        <v>1320</v>
      </c>
    </row>
    <row r="374" spans="1:7" s="2775" customFormat="1">
      <c r="A374" s="2940" t="s">
        <v>3159</v>
      </c>
      <c r="B374" s="2940" t="s">
        <v>266</v>
      </c>
      <c r="C374" s="2940">
        <v>2320</v>
      </c>
      <c r="D374" s="2940">
        <v>2280</v>
      </c>
      <c r="E374" s="2940">
        <v>2230</v>
      </c>
      <c r="F374" s="2940">
        <v>580</v>
      </c>
      <c r="G374" s="2953">
        <v>1380</v>
      </c>
    </row>
    <row r="375" spans="1:7" s="2775" customFormat="1">
      <c r="A375" s="2940" t="s">
        <v>3159</v>
      </c>
      <c r="B375" s="2940" t="s">
        <v>3168</v>
      </c>
      <c r="C375" s="2940">
        <v>2090</v>
      </c>
      <c r="D375" s="2940">
        <v>2050</v>
      </c>
      <c r="E375" s="2940">
        <v>2020</v>
      </c>
      <c r="F375" s="2940">
        <v>520</v>
      </c>
      <c r="G375" s="2953">
        <v>1240</v>
      </c>
    </row>
    <row r="376" spans="1:7" s="2775" customFormat="1">
      <c r="A376" s="2940" t="s">
        <v>3159</v>
      </c>
      <c r="B376" s="2940" t="s">
        <v>277</v>
      </c>
      <c r="C376" s="2940">
        <v>2010</v>
      </c>
      <c r="D376" s="2940">
        <v>1980</v>
      </c>
      <c r="E376" s="2940">
        <v>1940</v>
      </c>
      <c r="F376" s="2940">
        <v>540</v>
      </c>
      <c r="G376" s="2953">
        <v>1190</v>
      </c>
    </row>
    <row r="377" spans="1:7" s="2775" customFormat="1" ht="12" thickBot="1">
      <c r="A377" s="2948" t="s">
        <v>3159</v>
      </c>
      <c r="B377" s="2951" t="s">
        <v>2921</v>
      </c>
      <c r="C377" s="2951">
        <v>1930</v>
      </c>
      <c r="D377" s="2951">
        <v>1890</v>
      </c>
      <c r="E377" s="2951">
        <v>1860</v>
      </c>
      <c r="F377" s="2951">
        <v>530</v>
      </c>
      <c r="G377" s="2956">
        <v>1150</v>
      </c>
    </row>
    <row r="378" spans="1:7" s="2775" customFormat="1">
      <c r="A378" s="2957" t="s">
        <v>3169</v>
      </c>
      <c r="B378" s="2936" t="s">
        <v>3170</v>
      </c>
      <c r="C378" s="2936">
        <v>1520</v>
      </c>
      <c r="D378" s="2936">
        <v>1490</v>
      </c>
      <c r="E378" s="2936">
        <v>1460</v>
      </c>
      <c r="F378" s="2936">
        <v>460</v>
      </c>
      <c r="G378" s="2952">
        <v>940</v>
      </c>
    </row>
    <row r="379" spans="1:7" s="2775" customFormat="1">
      <c r="A379" s="2958" t="s">
        <v>3169</v>
      </c>
      <c r="B379" s="2940" t="s">
        <v>3171</v>
      </c>
      <c r="C379" s="2940">
        <v>1500</v>
      </c>
      <c r="D379" s="2940">
        <v>1470</v>
      </c>
      <c r="E379" s="2940">
        <v>1430</v>
      </c>
      <c r="F379" s="2940">
        <v>460</v>
      </c>
      <c r="G379" s="2953">
        <v>920</v>
      </c>
    </row>
    <row r="380" spans="1:7" s="2775" customFormat="1">
      <c r="A380" s="2958" t="s">
        <v>3169</v>
      </c>
      <c r="B380" s="2940" t="s">
        <v>3172</v>
      </c>
      <c r="C380" s="2940">
        <v>1620</v>
      </c>
      <c r="D380" s="2940">
        <v>1590</v>
      </c>
      <c r="E380" s="2940">
        <v>1560</v>
      </c>
      <c r="F380" s="2940">
        <v>480</v>
      </c>
      <c r="G380" s="2953">
        <v>1000</v>
      </c>
    </row>
    <row r="381" spans="1:7" s="2775" customFormat="1">
      <c r="A381" s="2958" t="s">
        <v>3169</v>
      </c>
      <c r="B381" s="2940" t="s">
        <v>3173</v>
      </c>
      <c r="C381" s="2940">
        <v>1460</v>
      </c>
      <c r="D381" s="2940">
        <v>1430</v>
      </c>
      <c r="E381" s="2940">
        <v>1390</v>
      </c>
      <c r="F381" s="2940">
        <v>450</v>
      </c>
      <c r="G381" s="2953">
        <v>900</v>
      </c>
    </row>
    <row r="382" spans="1:7" s="2775" customFormat="1">
      <c r="A382" s="2958" t="s">
        <v>3169</v>
      </c>
      <c r="B382" s="2940" t="s">
        <v>3174</v>
      </c>
      <c r="C382" s="2940">
        <v>1310</v>
      </c>
      <c r="D382" s="2940">
        <v>1280</v>
      </c>
      <c r="E382" s="2940">
        <v>1250</v>
      </c>
      <c r="F382" s="2940">
        <v>440</v>
      </c>
      <c r="G382" s="2953">
        <v>800</v>
      </c>
    </row>
    <row r="383" spans="1:7" s="2775" customFormat="1">
      <c r="A383" s="2958" t="s">
        <v>3169</v>
      </c>
      <c r="B383" s="2940" t="s">
        <v>3175</v>
      </c>
      <c r="C383" s="2940">
        <v>1260</v>
      </c>
      <c r="D383" s="2940">
        <v>1230</v>
      </c>
      <c r="E383" s="2940">
        <v>1200</v>
      </c>
      <c r="F383" s="2940">
        <v>420</v>
      </c>
      <c r="G383" s="2953">
        <v>770</v>
      </c>
    </row>
    <row r="384" spans="1:7" s="2775" customFormat="1" ht="12" thickBot="1">
      <c r="A384" s="2959" t="s">
        <v>3169</v>
      </c>
      <c r="B384" s="2947" t="s">
        <v>3176</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45940</v>
      </c>
      <c r="D1" s="1213" t="s">
        <v>603</v>
      </c>
      <c r="E1" s="1208">
        <f>'数据-取费表'!B22</f>
        <v>2</v>
      </c>
      <c r="F1" s="1213" t="s">
        <v>604</v>
      </c>
      <c r="G1" s="1209">
        <f ca="1">INDIRECT("d"&amp;$K$1)/100</f>
        <v>0.03</v>
      </c>
      <c r="H1" s="1213" t="s">
        <v>634</v>
      </c>
      <c r="I1" s="1209">
        <f ca="1">F4/100</f>
        <v>1.4999999999999999E-2</v>
      </c>
      <c r="J1" s="1214">
        <f>IF(C1&gt;C13,0,MATCH(C1,C$13:C$115,-1))+IF(SUMIF(C13:C115,C1,D13:D115)=0,13,12)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3.5</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68">
        <v>45797</v>
      </c>
      <c r="D13" s="1197">
        <v>3</v>
      </c>
      <c r="E13" s="1197">
        <v>3</v>
      </c>
      <c r="F13" s="1197">
        <f t="shared" ref="F13:F18" si="0">D13</f>
        <v>3</v>
      </c>
      <c r="G13" s="1197">
        <f t="shared" ref="G13:G18" si="1">D13</f>
        <v>3</v>
      </c>
      <c r="H13" s="1197">
        <v>3.5</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45586</v>
      </c>
      <c r="D14" s="1201">
        <v>3.1</v>
      </c>
      <c r="E14" s="1201">
        <f>D14</f>
        <v>3.1</v>
      </c>
      <c r="F14" s="1201">
        <f t="shared" si="0"/>
        <v>3.1</v>
      </c>
      <c r="G14" s="1201">
        <f t="shared" si="1"/>
        <v>3.1</v>
      </c>
      <c r="H14" s="1201">
        <v>3.6</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45495</v>
      </c>
      <c r="D15" s="1201">
        <v>3.35</v>
      </c>
      <c r="E15" s="1201">
        <f>D15</f>
        <v>3.35</v>
      </c>
      <c r="F15" s="1201">
        <f t="shared" si="0"/>
        <v>3.35</v>
      </c>
      <c r="G15" s="1201">
        <f t="shared" si="1"/>
        <v>3.35</v>
      </c>
      <c r="H15" s="1201">
        <v>3.85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45342</v>
      </c>
      <c r="D16" s="1201">
        <v>3.45</v>
      </c>
      <c r="E16" s="1201">
        <f>D16</f>
        <v>3.45</v>
      </c>
      <c r="F16" s="1201">
        <f t="shared" si="0"/>
        <v>3.45</v>
      </c>
      <c r="G16" s="1201">
        <f t="shared" si="1"/>
        <v>3.45</v>
      </c>
      <c r="H16" s="1201">
        <v>3.95</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45159</v>
      </c>
      <c r="D17" s="1201">
        <v>3.45</v>
      </c>
      <c r="E17" s="1201">
        <f>D17</f>
        <v>3.45</v>
      </c>
      <c r="F17" s="1201">
        <f t="shared" si="0"/>
        <v>3.45</v>
      </c>
      <c r="G17" s="1201">
        <f t="shared" si="1"/>
        <v>3.45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196"/>
      <c r="C18" s="1202">
        <v>45097</v>
      </c>
      <c r="D18" s="1201">
        <v>3.55</v>
      </c>
      <c r="E18" s="1201">
        <f>D18</f>
        <v>3.55</v>
      </c>
      <c r="F18" s="1201">
        <f t="shared" si="0"/>
        <v>3.55</v>
      </c>
      <c r="G18" s="1201">
        <f t="shared" si="1"/>
        <v>3.55</v>
      </c>
      <c r="H18" s="1201">
        <v>4.2</v>
      </c>
      <c r="I18" s="1197"/>
      <c r="J18" s="1197"/>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5"/>
      <c r="B19" s="1196"/>
      <c r="C19" s="1202">
        <v>44795</v>
      </c>
      <c r="D19" s="1201">
        <v>3.65</v>
      </c>
      <c r="E19" s="1201">
        <v>3.65</v>
      </c>
      <c r="F19" s="1201">
        <v>3.65</v>
      </c>
      <c r="G19" s="1201">
        <v>3.65</v>
      </c>
      <c r="H19" s="1201">
        <v>4.3</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196"/>
      <c r="C20" s="1202">
        <v>44701</v>
      </c>
      <c r="D20" s="1201">
        <v>3.7</v>
      </c>
      <c r="E20" s="1201">
        <f>D20</f>
        <v>3.7</v>
      </c>
      <c r="F20" s="1201">
        <f>D20</f>
        <v>3.7</v>
      </c>
      <c r="G20" s="1201">
        <f>D20</f>
        <v>3.7</v>
      </c>
      <c r="H20" s="1201">
        <v>4.45</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196"/>
      <c r="C21" s="1202">
        <v>44581</v>
      </c>
      <c r="D21" s="1201">
        <v>3.7</v>
      </c>
      <c r="E21" s="1201">
        <f>D21</f>
        <v>3.7</v>
      </c>
      <c r="F21" s="1201">
        <f>D21</f>
        <v>3.7</v>
      </c>
      <c r="G21" s="1201">
        <f>D21</f>
        <v>3.7</v>
      </c>
      <c r="H21" s="1201">
        <v>4.5999999999999996</v>
      </c>
      <c r="I21" s="1197"/>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44550</v>
      </c>
      <c r="D22" s="1201">
        <v>3.8</v>
      </c>
      <c r="E22" s="1201">
        <f>D22</f>
        <v>3.8</v>
      </c>
      <c r="F22" s="1201">
        <f>D22</f>
        <v>3.8</v>
      </c>
      <c r="G22" s="1201">
        <f>D22</f>
        <v>3.8</v>
      </c>
      <c r="H22" s="1201">
        <v>4.6500000000000004</v>
      </c>
      <c r="I22" s="1201"/>
      <c r="J22" s="1197"/>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69"/>
      <c r="B23" s="1201"/>
      <c r="C23" s="1202">
        <v>43941</v>
      </c>
      <c r="D23" s="1201">
        <v>3.85</v>
      </c>
      <c r="E23" s="1201">
        <v>3.85</v>
      </c>
      <c r="F23" s="1201">
        <v>3.85</v>
      </c>
      <c r="G23" s="1201">
        <v>3.85</v>
      </c>
      <c r="H23" s="1201">
        <v>4.6500000000000004</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43881</v>
      </c>
      <c r="D24" s="1201">
        <v>4.05</v>
      </c>
      <c r="E24" s="1201">
        <v>4.05</v>
      </c>
      <c r="F24" s="1201">
        <v>4.05</v>
      </c>
      <c r="G24" s="1201">
        <v>4.05</v>
      </c>
      <c r="H24" s="1201">
        <v>4.75</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43789</v>
      </c>
      <c r="D25" s="1201">
        <v>4.1500000000000004</v>
      </c>
      <c r="E25" s="1201">
        <v>4.1500000000000004</v>
      </c>
      <c r="F25" s="1201">
        <v>4.1500000000000004</v>
      </c>
      <c r="G25" s="1201">
        <v>4.1500000000000004</v>
      </c>
      <c r="H25" s="1201">
        <v>4.8</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43728</v>
      </c>
      <c r="D26" s="1201">
        <v>4.2</v>
      </c>
      <c r="E26" s="1201">
        <v>4.2</v>
      </c>
      <c r="F26" s="1201">
        <v>4.2</v>
      </c>
      <c r="G26" s="1201">
        <v>4.2</v>
      </c>
      <c r="H26" s="1201">
        <v>4.8499999999999996</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4.25">
      <c r="B27" s="1196" t="s">
        <v>2305</v>
      </c>
      <c r="C27" s="1203">
        <v>43697</v>
      </c>
      <c r="D27" s="2567">
        <v>4.25</v>
      </c>
      <c r="E27" s="2567">
        <v>4.25</v>
      </c>
      <c r="F27" s="2567">
        <v>4.25</v>
      </c>
      <c r="G27" s="2567">
        <v>4.25</v>
      </c>
      <c r="H27" s="2567">
        <v>4.8499999999999996</v>
      </c>
      <c r="I27" s="2567"/>
      <c r="J27" s="2567"/>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ht="14.25">
      <c r="B28" s="2570"/>
      <c r="C28" s="2571">
        <v>42301</v>
      </c>
      <c r="D28" s="2572">
        <v>4.3499999999999996</v>
      </c>
      <c r="E28" s="2572">
        <v>4.3499999999999996</v>
      </c>
      <c r="F28" s="2572">
        <v>4.75</v>
      </c>
      <c r="G28" s="2572">
        <v>4.75</v>
      </c>
      <c r="H28" s="2572">
        <v>4.9000000000000004</v>
      </c>
      <c r="I28" s="2572"/>
      <c r="J28" s="2572"/>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42242</v>
      </c>
      <c r="D29" s="1201">
        <v>4.5999999999999996</v>
      </c>
      <c r="E29" s="1201">
        <v>4.5999999999999996</v>
      </c>
      <c r="F29" s="1201">
        <v>5</v>
      </c>
      <c r="G29" s="1201">
        <v>5</v>
      </c>
      <c r="H29" s="1201">
        <v>5.15</v>
      </c>
      <c r="I29" s="1201">
        <v>2.75</v>
      </c>
      <c r="J29" s="1201">
        <v>3.25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42183</v>
      </c>
      <c r="D30" s="1201">
        <v>4.8499999999999996</v>
      </c>
      <c r="E30" s="1201">
        <v>4.8499999999999996</v>
      </c>
      <c r="F30" s="1201">
        <v>5.25</v>
      </c>
      <c r="G30" s="1201">
        <v>5.25</v>
      </c>
      <c r="H30" s="1201">
        <v>5.4</v>
      </c>
      <c r="I30" s="1201">
        <v>3</v>
      </c>
      <c r="J30" s="1201">
        <v>3.5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42135</v>
      </c>
      <c r="D31" s="1201">
        <v>5.0999999999999996</v>
      </c>
      <c r="E31" s="1201">
        <v>5.0999999999999996</v>
      </c>
      <c r="F31" s="1201">
        <v>5.5</v>
      </c>
      <c r="G31" s="1201">
        <v>5.5</v>
      </c>
      <c r="H31" s="1201">
        <v>5.65</v>
      </c>
      <c r="I31" s="1201">
        <v>3.25</v>
      </c>
      <c r="J31" s="1201">
        <v>3.75</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42064</v>
      </c>
      <c r="D32" s="1201">
        <v>5.35</v>
      </c>
      <c r="E32" s="1201">
        <v>5.35</v>
      </c>
      <c r="F32" s="1201">
        <v>5.75</v>
      </c>
      <c r="G32" s="1201">
        <v>5.75</v>
      </c>
      <c r="H32" s="1201">
        <v>5.9</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41965</v>
      </c>
      <c r="D33" s="1201">
        <v>5.6</v>
      </c>
      <c r="E33" s="1201">
        <v>5.6</v>
      </c>
      <c r="F33" s="1201">
        <v>6</v>
      </c>
      <c r="G33" s="1201">
        <v>6</v>
      </c>
      <c r="H33" s="1201">
        <v>6.15</v>
      </c>
      <c r="I33" s="1201"/>
      <c r="J33" s="1201"/>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41096</v>
      </c>
      <c r="D34" s="1201">
        <v>5.6</v>
      </c>
      <c r="E34" s="1201">
        <v>6</v>
      </c>
      <c r="F34" s="1201">
        <v>6.15</v>
      </c>
      <c r="G34" s="1201">
        <v>6.4</v>
      </c>
      <c r="H34" s="1201">
        <v>6.55</v>
      </c>
      <c r="I34" s="1201">
        <v>4</v>
      </c>
      <c r="J34" s="1201">
        <v>4.5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41068</v>
      </c>
      <c r="D35" s="1201">
        <v>5.85</v>
      </c>
      <c r="E35" s="1201">
        <v>6.31</v>
      </c>
      <c r="F35" s="1201">
        <v>6.4</v>
      </c>
      <c r="G35" s="1201">
        <v>6.65</v>
      </c>
      <c r="H35" s="1201">
        <v>6.8</v>
      </c>
      <c r="I35" s="1201">
        <v>4.2</v>
      </c>
      <c r="J35" s="1201">
        <v>4.7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40731</v>
      </c>
      <c r="D36" s="1201">
        <v>6.1</v>
      </c>
      <c r="E36" s="1201">
        <v>6.56</v>
      </c>
      <c r="F36" s="1201">
        <v>6.65</v>
      </c>
      <c r="G36" s="1201">
        <v>6.9</v>
      </c>
      <c r="H36" s="1201">
        <v>7.05</v>
      </c>
      <c r="I36" s="1201">
        <v>4.45</v>
      </c>
      <c r="J36" s="1201">
        <v>4.9000000000000004</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40639</v>
      </c>
      <c r="D37" s="1201">
        <v>5.85</v>
      </c>
      <c r="E37" s="1201">
        <v>6.31</v>
      </c>
      <c r="F37" s="1201">
        <v>6.4</v>
      </c>
      <c r="G37" s="1201">
        <v>6.65</v>
      </c>
      <c r="H37" s="1201">
        <v>6.8</v>
      </c>
      <c r="I37" s="1201">
        <v>4.2</v>
      </c>
      <c r="J37" s="1201">
        <v>4.7</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40583</v>
      </c>
      <c r="D38" s="1201">
        <v>5.6</v>
      </c>
      <c r="E38" s="1201">
        <v>6.06</v>
      </c>
      <c r="F38" s="1201">
        <v>6.1</v>
      </c>
      <c r="G38" s="1201">
        <v>6.45</v>
      </c>
      <c r="H38" s="1201">
        <v>6.6</v>
      </c>
      <c r="I38" s="1201">
        <v>4</v>
      </c>
      <c r="J38" s="1201">
        <v>4.5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40538</v>
      </c>
      <c r="D39" s="1201">
        <v>5.35</v>
      </c>
      <c r="E39" s="1201">
        <v>5.81</v>
      </c>
      <c r="F39" s="1201">
        <v>5.85</v>
      </c>
      <c r="G39" s="1201">
        <v>6.22</v>
      </c>
      <c r="H39" s="1201">
        <v>6.4</v>
      </c>
      <c r="I39" s="1201">
        <v>3.75</v>
      </c>
      <c r="J39" s="1201">
        <v>4.3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40471</v>
      </c>
      <c r="D40" s="1201">
        <v>5.0999999999999996</v>
      </c>
      <c r="E40" s="1201">
        <v>5.56</v>
      </c>
      <c r="F40" s="1201">
        <v>5.6</v>
      </c>
      <c r="G40" s="1201">
        <v>5.96</v>
      </c>
      <c r="H40" s="1201">
        <v>6.14</v>
      </c>
      <c r="I40" s="1201">
        <v>3.5</v>
      </c>
      <c r="J40" s="1201">
        <v>4.05</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39805</v>
      </c>
      <c r="D41" s="1201">
        <v>4.8600000000000003</v>
      </c>
      <c r="E41" s="1201">
        <v>5.31</v>
      </c>
      <c r="F41" s="1201">
        <v>5.4</v>
      </c>
      <c r="G41" s="1201">
        <v>5.76</v>
      </c>
      <c r="H41" s="1201">
        <v>5.94</v>
      </c>
      <c r="I41" s="1201">
        <v>3.33</v>
      </c>
      <c r="J41" s="1201">
        <v>3.87</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39779</v>
      </c>
      <c r="D42" s="1201">
        <v>5.04</v>
      </c>
      <c r="E42" s="1201">
        <v>5.58</v>
      </c>
      <c r="F42" s="1201">
        <v>5.67</v>
      </c>
      <c r="G42" s="1201">
        <v>5.94</v>
      </c>
      <c r="H42" s="1201">
        <v>6.12</v>
      </c>
      <c r="I42" s="1201">
        <v>3.51</v>
      </c>
      <c r="J42" s="1201">
        <v>4.05</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39751</v>
      </c>
      <c r="D43" s="1201">
        <v>6.03</v>
      </c>
      <c r="E43" s="1201">
        <v>6.66</v>
      </c>
      <c r="F43" s="1201">
        <v>6.75</v>
      </c>
      <c r="G43" s="1201">
        <v>7.02</v>
      </c>
      <c r="H43" s="1201">
        <v>7.2</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3">
        <v>39748</v>
      </c>
      <c r="D44" s="1201">
        <v>6.12</v>
      </c>
      <c r="E44" s="1201">
        <v>6.93</v>
      </c>
      <c r="F44" s="1201">
        <v>7.02</v>
      </c>
      <c r="G44" s="1201">
        <v>7.29</v>
      </c>
      <c r="H44" s="1201">
        <v>7.47</v>
      </c>
      <c r="I44" s="1201">
        <v>4.05</v>
      </c>
      <c r="J44" s="1201">
        <v>4.59</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39730</v>
      </c>
      <c r="D45" s="1201">
        <v>6.12</v>
      </c>
      <c r="E45" s="1201">
        <v>6.93</v>
      </c>
      <c r="F45" s="1201">
        <v>7.02</v>
      </c>
      <c r="G45" s="1201">
        <v>7.29</v>
      </c>
      <c r="H45" s="1201">
        <v>7.47</v>
      </c>
      <c r="I45" s="1201">
        <v>4.32</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39707</v>
      </c>
      <c r="D46" s="1201">
        <v>6.21</v>
      </c>
      <c r="E46" s="1201">
        <v>7.2</v>
      </c>
      <c r="F46" s="1201">
        <v>7.29</v>
      </c>
      <c r="G46" s="1201">
        <v>7.56</v>
      </c>
      <c r="H46" s="1201">
        <v>7.74</v>
      </c>
      <c r="I46" s="1201">
        <v>4.59</v>
      </c>
      <c r="J46" s="1201">
        <v>5.13</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39437</v>
      </c>
      <c r="D47" s="1201">
        <v>6.57</v>
      </c>
      <c r="E47" s="1201">
        <v>7.47</v>
      </c>
      <c r="F47" s="1201">
        <v>7.56</v>
      </c>
      <c r="G47" s="1201">
        <v>7.74</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39340</v>
      </c>
      <c r="D48" s="1201">
        <v>6.48</v>
      </c>
      <c r="E48" s="1201">
        <v>7.29</v>
      </c>
      <c r="F48" s="1201">
        <v>7.47</v>
      </c>
      <c r="G48" s="1201">
        <v>7.65</v>
      </c>
      <c r="H48" s="1201">
        <v>7.83</v>
      </c>
      <c r="I48" s="1201">
        <v>4.7699999999999996</v>
      </c>
      <c r="J48" s="1201">
        <v>5.22</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39316</v>
      </c>
      <c r="D49" s="1201">
        <v>6.21</v>
      </c>
      <c r="E49" s="1201">
        <v>7.02</v>
      </c>
      <c r="F49" s="1201">
        <v>7.2</v>
      </c>
      <c r="G49" s="1201">
        <v>7.38</v>
      </c>
      <c r="H49" s="1201">
        <v>7.56</v>
      </c>
      <c r="I49" s="1201">
        <v>4.59</v>
      </c>
      <c r="J49" s="1201">
        <v>5.04</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39284</v>
      </c>
      <c r="D50" s="1201">
        <v>6.03</v>
      </c>
      <c r="E50" s="1201">
        <v>6.84</v>
      </c>
      <c r="F50" s="1201">
        <v>7.02</v>
      </c>
      <c r="G50" s="1201">
        <v>7.2</v>
      </c>
      <c r="H50" s="1201">
        <v>7.38</v>
      </c>
      <c r="I50" s="1201">
        <v>4.5</v>
      </c>
      <c r="J50" s="1201">
        <v>4.95</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39221</v>
      </c>
      <c r="D51" s="1201">
        <v>5.85</v>
      </c>
      <c r="E51" s="1201">
        <v>6.57</v>
      </c>
      <c r="F51" s="1201">
        <v>6.75</v>
      </c>
      <c r="G51" s="1201">
        <v>6.93</v>
      </c>
      <c r="H51" s="1201">
        <v>7.2</v>
      </c>
      <c r="I51" s="1201">
        <v>4.41</v>
      </c>
      <c r="J51" s="1201">
        <v>4.8600000000000003</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39159</v>
      </c>
      <c r="D52" s="1201">
        <v>5.67</v>
      </c>
      <c r="E52" s="1201">
        <v>6.39</v>
      </c>
      <c r="F52" s="1201">
        <v>6.57</v>
      </c>
      <c r="G52" s="1201">
        <v>6.75</v>
      </c>
      <c r="H52" s="1201">
        <v>7.11</v>
      </c>
      <c r="I52" s="1201">
        <v>4.32</v>
      </c>
      <c r="J52" s="1201">
        <v>4.7699999999999996</v>
      </c>
      <c r="L52" s="1201"/>
      <c r="M52" s="1202"/>
      <c r="N52" s="1201"/>
      <c r="O52" s="1201"/>
      <c r="P52" s="1201"/>
      <c r="Q52" s="1201"/>
      <c r="R52" s="1201"/>
      <c r="S52" s="1201"/>
      <c r="T52" s="1201"/>
      <c r="U52" s="1201"/>
      <c r="V52" s="1201"/>
      <c r="W52" s="1201"/>
      <c r="X52" s="1201"/>
      <c r="Y52" s="1201"/>
      <c r="Z52" s="1201"/>
    </row>
    <row r="53" spans="2:26">
      <c r="B53" s="1201"/>
      <c r="C53" s="1202">
        <v>38948</v>
      </c>
      <c r="D53" s="1201">
        <v>5.58</v>
      </c>
      <c r="E53" s="1201">
        <v>6.12</v>
      </c>
      <c r="F53" s="1201">
        <v>6.3</v>
      </c>
      <c r="G53" s="1201">
        <v>6.48</v>
      </c>
      <c r="H53" s="1201">
        <v>6.84</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38835</v>
      </c>
      <c r="D54" s="1201">
        <v>5.4</v>
      </c>
      <c r="E54" s="1201">
        <v>5.85</v>
      </c>
      <c r="F54" s="1201">
        <v>6.03</v>
      </c>
      <c r="G54" s="1201">
        <v>6.12</v>
      </c>
      <c r="H54" s="1201">
        <v>6.39</v>
      </c>
      <c r="I54" s="1201">
        <v>4.1399999999999997</v>
      </c>
      <c r="J54" s="1201">
        <v>4.59</v>
      </c>
      <c r="L54" s="1201"/>
      <c r="M54" s="1202"/>
      <c r="N54" s="1201"/>
      <c r="O54" s="1201"/>
      <c r="P54" s="1201"/>
      <c r="Q54" s="1201"/>
      <c r="R54" s="1201"/>
      <c r="S54" s="1201"/>
      <c r="T54" s="1201"/>
      <c r="U54" s="1201"/>
      <c r="V54" s="1201"/>
      <c r="W54" s="1201"/>
      <c r="X54" s="1201"/>
      <c r="Y54" s="1201"/>
      <c r="Z54" s="1201"/>
    </row>
    <row r="55" spans="2:26">
      <c r="B55" s="1201"/>
      <c r="C55" s="1202">
        <v>38428</v>
      </c>
      <c r="D55" s="1201">
        <v>5.22</v>
      </c>
      <c r="E55" s="1201">
        <v>5.58</v>
      </c>
      <c r="F55" s="1201">
        <v>5.76</v>
      </c>
      <c r="G55" s="1201">
        <v>5.85</v>
      </c>
      <c r="H55" s="1201">
        <v>6.12</v>
      </c>
      <c r="I55" s="1201">
        <v>3.96</v>
      </c>
      <c r="J55" s="1201">
        <v>4.41</v>
      </c>
      <c r="L55" s="1201"/>
      <c r="M55" s="1202"/>
      <c r="N55" s="1201"/>
      <c r="O55" s="1201"/>
      <c r="P55" s="1201"/>
      <c r="Q55" s="1201"/>
      <c r="R55" s="1201"/>
      <c r="S55" s="1201"/>
      <c r="T55" s="1201"/>
      <c r="U55" s="1201"/>
      <c r="V55" s="1201"/>
      <c r="W55" s="1201"/>
      <c r="X55" s="1201"/>
      <c r="Y55" s="1201"/>
      <c r="Z55" s="1201"/>
    </row>
    <row r="56" spans="2:26">
      <c r="B56" s="1201"/>
      <c r="C56" s="1202">
        <v>38289</v>
      </c>
      <c r="D56" s="1201">
        <v>5.22</v>
      </c>
      <c r="E56" s="1201">
        <v>5.58</v>
      </c>
      <c r="F56" s="1201">
        <v>5.76</v>
      </c>
      <c r="G56" s="1201">
        <v>5.85</v>
      </c>
      <c r="H56" s="1201">
        <v>6.12</v>
      </c>
      <c r="I56" s="1201">
        <v>3.78</v>
      </c>
      <c r="J56" s="1201">
        <v>4.2300000000000004</v>
      </c>
      <c r="L56" s="1201"/>
      <c r="M56" s="1202"/>
      <c r="N56" s="1201"/>
      <c r="O56" s="1201"/>
      <c r="P56" s="1201"/>
      <c r="Q56" s="1201"/>
      <c r="R56" s="1201"/>
      <c r="S56" s="1201"/>
      <c r="T56" s="1201"/>
      <c r="U56" s="1201"/>
      <c r="V56" s="1201"/>
      <c r="W56" s="1201"/>
      <c r="X56" s="1201"/>
      <c r="Y56" s="1201"/>
      <c r="Z56" s="1201"/>
    </row>
    <row r="57" spans="2:26">
      <c r="B57" s="1201"/>
      <c r="C57" s="1202">
        <v>37308</v>
      </c>
      <c r="D57" s="1201">
        <v>5.04</v>
      </c>
      <c r="E57" s="1201">
        <v>5.31</v>
      </c>
      <c r="F57" s="1201">
        <v>5.49</v>
      </c>
      <c r="G57" s="1201">
        <v>5.58</v>
      </c>
      <c r="H57" s="1201">
        <v>5.76</v>
      </c>
      <c r="I57" s="1201">
        <v>3.6</v>
      </c>
      <c r="J57" s="1201">
        <v>4.05</v>
      </c>
      <c r="L57" s="1201"/>
      <c r="M57" s="1202"/>
      <c r="N57" s="1201"/>
      <c r="O57" s="1201"/>
      <c r="P57" s="1201"/>
      <c r="Q57" s="1201"/>
      <c r="R57" s="1201"/>
      <c r="S57" s="1201"/>
      <c r="T57" s="1201"/>
      <c r="U57" s="1201"/>
      <c r="V57" s="1201"/>
      <c r="W57" s="1201"/>
      <c r="X57" s="1201"/>
      <c r="Y57" s="1201"/>
      <c r="Z57" s="1201"/>
    </row>
    <row r="58" spans="2:26">
      <c r="B58" s="1201"/>
      <c r="C58" s="1202">
        <v>36321</v>
      </c>
      <c r="D58" s="1201">
        <v>5.58</v>
      </c>
      <c r="E58" s="1201">
        <v>5.85</v>
      </c>
      <c r="F58" s="1201">
        <v>5.94</v>
      </c>
      <c r="G58" s="1201">
        <v>6.03</v>
      </c>
      <c r="H58" s="1201">
        <v>6.21</v>
      </c>
      <c r="I58" s="1201">
        <v>4.1399999999999997</v>
      </c>
      <c r="J58" s="1201">
        <v>4.59</v>
      </c>
    </row>
    <row r="59" spans="2:26">
      <c r="B59" s="1201"/>
      <c r="C59" s="1202">
        <v>36136</v>
      </c>
      <c r="D59" s="1201">
        <v>6.12</v>
      </c>
      <c r="E59" s="1201">
        <v>6.39</v>
      </c>
      <c r="F59" s="1201">
        <v>6.66</v>
      </c>
      <c r="G59" s="1201">
        <v>7.2</v>
      </c>
      <c r="H59" s="1201">
        <v>7.56</v>
      </c>
      <c r="I59" s="1201">
        <v>0</v>
      </c>
      <c r="J59" s="1201">
        <v>0</v>
      </c>
    </row>
    <row r="60" spans="2:26">
      <c r="B60" s="1201"/>
      <c r="C60" s="1202">
        <v>35977</v>
      </c>
      <c r="D60" s="1201">
        <v>6.57</v>
      </c>
      <c r="E60" s="1201">
        <v>6.93</v>
      </c>
      <c r="F60" s="1201">
        <v>7.11</v>
      </c>
      <c r="G60" s="1201">
        <v>7.65</v>
      </c>
      <c r="H60" s="1201">
        <v>8.01</v>
      </c>
      <c r="I60" s="1201">
        <v>0</v>
      </c>
      <c r="J60" s="1201">
        <v>0</v>
      </c>
    </row>
    <row r="61" spans="2:26">
      <c r="B61" s="1201"/>
      <c r="C61" s="1202">
        <v>35879</v>
      </c>
      <c r="D61" s="1201">
        <v>7.02</v>
      </c>
      <c r="E61" s="1201">
        <v>7.92</v>
      </c>
      <c r="F61" s="1201">
        <v>9</v>
      </c>
      <c r="G61" s="1201">
        <v>9.7200000000000006</v>
      </c>
      <c r="H61" s="1201">
        <v>10.35</v>
      </c>
      <c r="I61" s="1201">
        <v>0</v>
      </c>
      <c r="J61" s="1201">
        <v>0</v>
      </c>
    </row>
    <row r="62" spans="2:26">
      <c r="B62" s="1201"/>
      <c r="C62" s="1202">
        <v>35726</v>
      </c>
      <c r="D62" s="1201">
        <v>7.65</v>
      </c>
      <c r="E62" s="1201">
        <v>8.64</v>
      </c>
      <c r="F62" s="1201">
        <v>9.36</v>
      </c>
      <c r="G62" s="1201">
        <v>9.9</v>
      </c>
      <c r="H62" s="1201">
        <v>10.53</v>
      </c>
      <c r="I62" s="1201">
        <v>0</v>
      </c>
      <c r="J62" s="1201">
        <v>0</v>
      </c>
    </row>
    <row r="63" spans="2:26">
      <c r="B63" s="1201"/>
      <c r="C63" s="1202">
        <v>35300</v>
      </c>
      <c r="D63" s="1201">
        <v>9.18</v>
      </c>
      <c r="E63" s="1201">
        <v>10.08</v>
      </c>
      <c r="F63" s="1201">
        <v>10.98</v>
      </c>
      <c r="G63" s="1201">
        <v>11.7</v>
      </c>
      <c r="H63" s="1201">
        <v>12.42</v>
      </c>
      <c r="I63" s="1201">
        <v>0</v>
      </c>
      <c r="J63" s="1201">
        <v>0</v>
      </c>
    </row>
    <row r="64" spans="2:26">
      <c r="B64" s="1201"/>
      <c r="C64" s="1202">
        <v>35186</v>
      </c>
      <c r="D64" s="1201">
        <v>9.7200000000000006</v>
      </c>
      <c r="E64" s="1201">
        <v>10.98</v>
      </c>
      <c r="F64" s="1201">
        <v>13.14</v>
      </c>
      <c r="G64" s="1201">
        <v>14.94</v>
      </c>
      <c r="H64" s="1201">
        <v>15.12</v>
      </c>
      <c r="I64" s="1201">
        <v>0</v>
      </c>
      <c r="J64" s="1201">
        <v>0</v>
      </c>
    </row>
    <row r="65" spans="2:10">
      <c r="B65" s="1201"/>
      <c r="C65" s="1202">
        <v>34881</v>
      </c>
      <c r="D65" s="1201">
        <v>10.08</v>
      </c>
      <c r="E65" s="1201">
        <v>12.06</v>
      </c>
      <c r="F65" s="1201">
        <v>13.5</v>
      </c>
      <c r="G65" s="1201">
        <v>15.12</v>
      </c>
      <c r="H65" s="1201">
        <v>15.3</v>
      </c>
      <c r="I65" s="1201">
        <v>0</v>
      </c>
      <c r="J65" s="1201">
        <v>0</v>
      </c>
    </row>
    <row r="66" spans="2:10">
      <c r="B66" s="1201"/>
      <c r="C66" s="1202">
        <v>34700</v>
      </c>
      <c r="D66" s="1201">
        <v>9</v>
      </c>
      <c r="E66" s="1201">
        <v>10.98</v>
      </c>
      <c r="F66" s="1201">
        <v>12.96</v>
      </c>
      <c r="G66" s="1201">
        <v>14.58</v>
      </c>
      <c r="H66" s="1201">
        <v>14.76</v>
      </c>
      <c r="I66" s="1201">
        <v>0</v>
      </c>
      <c r="J66" s="1201">
        <v>0</v>
      </c>
    </row>
    <row r="67" spans="2:10">
      <c r="B67" s="1201"/>
      <c r="C67" s="1202">
        <v>34161</v>
      </c>
      <c r="D67" s="1201">
        <v>9</v>
      </c>
      <c r="E67" s="1201">
        <v>10.98</v>
      </c>
      <c r="F67" s="1201">
        <v>12.24</v>
      </c>
      <c r="G67" s="1201">
        <v>13.86</v>
      </c>
      <c r="H67" s="1201">
        <v>14.04</v>
      </c>
      <c r="I67" s="1201">
        <v>0</v>
      </c>
      <c r="J67" s="1201">
        <v>0</v>
      </c>
    </row>
    <row r="68" spans="2:10">
      <c r="B68" s="1201"/>
      <c r="C68" s="1202">
        <v>34104</v>
      </c>
      <c r="D68" s="1201">
        <v>8.82</v>
      </c>
      <c r="E68" s="1201">
        <v>9.36</v>
      </c>
      <c r="F68" s="1201">
        <v>10.8</v>
      </c>
      <c r="G68" s="1201">
        <v>12.06</v>
      </c>
      <c r="H68" s="1201">
        <v>12.24</v>
      </c>
      <c r="I68" s="1201">
        <v>0</v>
      </c>
      <c r="J68" s="1201">
        <v>0</v>
      </c>
    </row>
    <row r="69" spans="2:10">
      <c r="B69" s="1201"/>
      <c r="C69" s="1202">
        <v>33349</v>
      </c>
      <c r="D69" s="1201">
        <v>8.1</v>
      </c>
      <c r="E69" s="1201">
        <v>8.64</v>
      </c>
      <c r="F69" s="1201">
        <v>9</v>
      </c>
      <c r="G69" s="1201">
        <v>9.5399999999999991</v>
      </c>
      <c r="H69" s="1201">
        <v>9.7200000000000006</v>
      </c>
      <c r="I69" s="1201">
        <v>0</v>
      </c>
      <c r="J69" s="1201">
        <v>0</v>
      </c>
    </row>
    <row r="70" spans="2:10">
      <c r="B70" s="1201"/>
      <c r="C70" s="1202">
        <v>33318</v>
      </c>
      <c r="D70" s="1201">
        <v>9</v>
      </c>
      <c r="E70" s="1201">
        <v>10.08</v>
      </c>
      <c r="F70" s="1201">
        <v>10.8</v>
      </c>
      <c r="G70" s="1201">
        <v>11.52</v>
      </c>
      <c r="H70" s="1201">
        <v>11.88</v>
      </c>
      <c r="I70" s="1201" t="s">
        <v>633</v>
      </c>
      <c r="J70" s="1201" t="s">
        <v>633</v>
      </c>
    </row>
    <row r="71" spans="2:10">
      <c r="B71" s="1201"/>
      <c r="C71" s="1202">
        <v>33106</v>
      </c>
      <c r="D71" s="1201">
        <v>8.64</v>
      </c>
      <c r="E71" s="1201">
        <v>9.36</v>
      </c>
      <c r="F71" s="1201">
        <v>10.08</v>
      </c>
      <c r="G71" s="1201">
        <v>10.8</v>
      </c>
      <c r="H71" s="1201">
        <v>11.16</v>
      </c>
      <c r="I71" s="1201">
        <v>0</v>
      </c>
      <c r="J71" s="1201">
        <v>0</v>
      </c>
    </row>
    <row r="72" spans="2:10">
      <c r="B72" s="1201"/>
      <c r="C72" s="1202">
        <v>32540</v>
      </c>
      <c r="D72" s="1201">
        <v>11.34</v>
      </c>
      <c r="E72" s="1201">
        <v>11.34</v>
      </c>
      <c r="F72" s="1201">
        <v>12.78</v>
      </c>
      <c r="G72" s="1201">
        <v>14.4</v>
      </c>
      <c r="H72" s="1201">
        <v>19.260000000000002</v>
      </c>
      <c r="I72" s="1201">
        <v>0</v>
      </c>
      <c r="J72" s="1201">
        <v>0</v>
      </c>
    </row>
    <row r="73" spans="2:10">
      <c r="B73" s="1201"/>
      <c r="C73" s="1202"/>
      <c r="D73" s="1201"/>
      <c r="E73" s="1201"/>
      <c r="F73" s="1201"/>
      <c r="G73" s="1201"/>
      <c r="H73" s="1201"/>
      <c r="I73" s="1201"/>
      <c r="J73" s="1201"/>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204"/>
      <c r="C76" s="1205"/>
      <c r="D76" s="1204"/>
      <c r="E76" s="1204"/>
      <c r="F76" s="1204"/>
      <c r="G76" s="1204"/>
      <c r="H76" s="1204"/>
      <c r="I76" s="1204"/>
      <c r="J76" s="1204"/>
    </row>
    <row r="77" spans="2:10">
      <c r="B77" s="1155"/>
      <c r="C77" s="1155"/>
      <c r="D77" s="1155"/>
      <c r="E77" s="1155"/>
      <c r="F77" s="1155"/>
      <c r="G77" s="1155"/>
      <c r="H77" s="1155"/>
      <c r="I77" s="1155"/>
      <c r="J77" s="1155"/>
    </row>
    <row r="78" spans="2:10">
      <c r="B78" s="1155"/>
      <c r="C78" s="1155"/>
      <c r="D78" s="1155"/>
      <c r="E78" s="1155"/>
      <c r="F78" s="1155"/>
      <c r="G78" s="1155"/>
      <c r="H78" s="1155"/>
      <c r="I78" s="1155"/>
      <c r="J78" s="1155"/>
    </row>
  </sheetData>
  <sheetProtection password="CEE9" sheet="1" objects="1" scenarios="1"/>
  <phoneticPr fontId="134"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92A99-D1FB-4D09-B25F-89C6631BC7E3}">
  <dimension ref="A1:AK107"/>
  <sheetViews>
    <sheetView topLeftCell="C16" workbookViewId="0">
      <selection activeCell="Q105" sqref="Q105:Q107"/>
    </sheetView>
  </sheetViews>
  <sheetFormatPr defaultRowHeight="13.5"/>
  <cols>
    <col min="4" max="4" width="10.5" bestFit="1" customWidth="1"/>
    <col min="28" max="28" width="10.5" bestFit="1" customWidth="1"/>
    <col min="29" max="29" width="9.5" bestFit="1" customWidth="1"/>
  </cols>
  <sheetData>
    <row r="1" spans="14:18">
      <c r="N1" s="1401" t="s">
        <v>3462</v>
      </c>
      <c r="O1" s="1401" t="s">
        <v>3450</v>
      </c>
    </row>
    <row r="2" spans="14:18">
      <c r="N2">
        <v>1700</v>
      </c>
      <c r="O2">
        <v>129</v>
      </c>
      <c r="P2">
        <f>ROUND(N2*12/O2/365,2)</f>
        <v>0.43</v>
      </c>
    </row>
    <row r="3" spans="14:18">
      <c r="N3">
        <v>1700</v>
      </c>
      <c r="O3">
        <v>109</v>
      </c>
      <c r="P3">
        <f t="shared" ref="P3:P7" si="0">ROUND(N3*12/O3/365,2)</f>
        <v>0.51</v>
      </c>
    </row>
    <row r="4" spans="14:18">
      <c r="N4">
        <v>1500</v>
      </c>
      <c r="O4">
        <v>157</v>
      </c>
      <c r="P4">
        <f t="shared" si="0"/>
        <v>0.31</v>
      </c>
    </row>
    <row r="5" spans="14:18">
      <c r="N5">
        <v>1700</v>
      </c>
      <c r="O5">
        <v>109</v>
      </c>
      <c r="P5">
        <f t="shared" si="0"/>
        <v>0.51</v>
      </c>
    </row>
    <row r="6" spans="14:18">
      <c r="N6">
        <v>1500</v>
      </c>
      <c r="O6">
        <v>138</v>
      </c>
      <c r="P6">
        <f t="shared" si="0"/>
        <v>0.36</v>
      </c>
    </row>
    <row r="7" spans="14:18">
      <c r="N7">
        <v>1400</v>
      </c>
      <c r="O7">
        <v>133</v>
      </c>
      <c r="P7">
        <f t="shared" si="0"/>
        <v>0.35</v>
      </c>
    </row>
    <row r="8" spans="14:18">
      <c r="P8">
        <f>ROUND(AVERAGE(P2:P7),2)</f>
        <v>0.41</v>
      </c>
      <c r="Q8">
        <f>'数据-基础表'!I13</f>
        <v>154.79</v>
      </c>
      <c r="R8">
        <f>ROUND(P8*Q8*365/12,0)</f>
        <v>1930</v>
      </c>
    </row>
    <row r="9" spans="14:18">
      <c r="R9">
        <f>0.9*R8</f>
        <v>1737</v>
      </c>
    </row>
    <row r="21" spans="28:37">
      <c r="AB21" s="3519">
        <v>45931</v>
      </c>
      <c r="AC21" s="3519">
        <v>45901</v>
      </c>
      <c r="AD21" s="3519">
        <v>45870</v>
      </c>
      <c r="AE21" s="3519">
        <v>45839</v>
      </c>
      <c r="AF21" s="3519">
        <v>45809</v>
      </c>
      <c r="AG21" s="3519">
        <v>45778</v>
      </c>
      <c r="AH21" s="3519">
        <v>45748</v>
      </c>
      <c r="AI21" s="3519">
        <v>45717</v>
      </c>
      <c r="AJ21" s="3519">
        <v>45689</v>
      </c>
      <c r="AK21" s="3519">
        <v>45658</v>
      </c>
    </row>
    <row r="22" spans="28:37">
      <c r="AB22">
        <v>8702</v>
      </c>
      <c r="AC22">
        <v>8754</v>
      </c>
      <c r="AD22">
        <v>8774</v>
      </c>
      <c r="AE22">
        <v>8903</v>
      </c>
      <c r="AF22">
        <v>8984</v>
      </c>
      <c r="AG22">
        <v>9112</v>
      </c>
      <c r="AH22">
        <v>9178</v>
      </c>
      <c r="AI22">
        <v>9276</v>
      </c>
      <c r="AJ22">
        <v>9377</v>
      </c>
    </row>
    <row r="23" spans="28:37">
      <c r="AB23">
        <v>100</v>
      </c>
      <c r="AC23">
        <f>ROUND(AC22*100/$AB$22,2)</f>
        <v>100.6</v>
      </c>
      <c r="AD23">
        <f t="shared" ref="AD23:AJ23" si="1">ROUND(AD22*100/$AB$22,2)</f>
        <v>100.83</v>
      </c>
      <c r="AE23">
        <f t="shared" si="1"/>
        <v>102.31</v>
      </c>
      <c r="AF23">
        <f t="shared" si="1"/>
        <v>103.24</v>
      </c>
      <c r="AG23">
        <f t="shared" si="1"/>
        <v>104.71</v>
      </c>
      <c r="AH23">
        <f t="shared" si="1"/>
        <v>105.47</v>
      </c>
      <c r="AI23">
        <f t="shared" si="1"/>
        <v>106.6</v>
      </c>
      <c r="AJ23">
        <f t="shared" si="1"/>
        <v>107.76</v>
      </c>
    </row>
    <row r="24" spans="28:37">
      <c r="AB24">
        <v>0</v>
      </c>
      <c r="AC24">
        <f>AC23-AB23</f>
        <v>0.59999999999999432</v>
      </c>
      <c r="AD24">
        <f t="shared" ref="AD24:AJ24" si="2">AD23-AC23</f>
        <v>0.23000000000000398</v>
      </c>
      <c r="AE24">
        <f t="shared" si="2"/>
        <v>1.480000000000004</v>
      </c>
      <c r="AF24">
        <f t="shared" si="2"/>
        <v>0.92999999999999261</v>
      </c>
      <c r="AG24">
        <f t="shared" si="2"/>
        <v>1.4699999999999989</v>
      </c>
      <c r="AH24">
        <f t="shared" si="2"/>
        <v>0.76000000000000512</v>
      </c>
      <c r="AI24">
        <f t="shared" si="2"/>
        <v>1.1299999999999955</v>
      </c>
      <c r="AJ24">
        <f t="shared" si="2"/>
        <v>1.1600000000000108</v>
      </c>
    </row>
    <row r="25" spans="28:37">
      <c r="AB25">
        <f>AVERAGE(AB24:AJ24)</f>
        <v>0.86222222222222278</v>
      </c>
    </row>
    <row r="26" spans="28:37">
      <c r="AB26">
        <f>(AJ23-AB23)/8</f>
        <v>0.97000000000000064</v>
      </c>
    </row>
    <row r="56" spans="1:7">
      <c r="A56" s="1401" t="s">
        <v>3489</v>
      </c>
      <c r="B56" s="1401" t="s">
        <v>3458</v>
      </c>
      <c r="C56" s="1401" t="s">
        <v>3491</v>
      </c>
      <c r="D56" s="1401" t="s">
        <v>3492</v>
      </c>
      <c r="E56" s="1401" t="s">
        <v>3433</v>
      </c>
      <c r="F56" s="1401" t="s">
        <v>3511</v>
      </c>
      <c r="G56" s="1401" t="s">
        <v>3514</v>
      </c>
    </row>
    <row r="57" spans="1:7">
      <c r="A57" s="1401" t="s">
        <v>3490</v>
      </c>
      <c r="B57">
        <v>131</v>
      </c>
      <c r="C57">
        <f>ROUND(990000/B57,0)</f>
        <v>7557</v>
      </c>
      <c r="D57" s="3519">
        <v>45778</v>
      </c>
      <c r="E57" s="1401" t="s">
        <v>3493</v>
      </c>
      <c r="F57" s="1401" t="s">
        <v>3512</v>
      </c>
      <c r="G57" s="1401" t="s">
        <v>3515</v>
      </c>
    </row>
    <row r="58" spans="1:7">
      <c r="A58" s="1401" t="s">
        <v>3494</v>
      </c>
      <c r="B58">
        <v>110</v>
      </c>
      <c r="C58">
        <f>ROUND(840000/B58,0)</f>
        <v>7636</v>
      </c>
      <c r="D58" s="3519">
        <v>45839</v>
      </c>
      <c r="E58" s="1401" t="s">
        <v>3493</v>
      </c>
      <c r="F58" s="1401" t="s">
        <v>3512</v>
      </c>
      <c r="G58" s="1401" t="s">
        <v>3515</v>
      </c>
    </row>
    <row r="59" spans="1:7">
      <c r="A59" s="1401" t="s">
        <v>3513</v>
      </c>
      <c r="B59">
        <v>158.76</v>
      </c>
      <c r="C59">
        <f>ROUND(1250000/B59,0)</f>
        <v>7874</v>
      </c>
      <c r="D59" s="3519">
        <v>45931</v>
      </c>
      <c r="E59" s="1401" t="s">
        <v>3518</v>
      </c>
      <c r="F59" s="1401" t="s">
        <v>3512</v>
      </c>
      <c r="G59" s="1401" t="s">
        <v>3516</v>
      </c>
    </row>
    <row r="97" spans="2:17">
      <c r="J97">
        <f>94/127</f>
        <v>0.74015748031496065</v>
      </c>
      <c r="P97">
        <f>125/158.76</f>
        <v>0.78735197782816835</v>
      </c>
    </row>
    <row r="100" spans="2:17">
      <c r="B100" s="1401" t="s">
        <v>3519</v>
      </c>
    </row>
    <row r="104" spans="2:17">
      <c r="O104" s="1401" t="s">
        <v>3523</v>
      </c>
      <c r="P104" s="1401" t="s">
        <v>3524</v>
      </c>
    </row>
    <row r="105" spans="2:17">
      <c r="N105" s="1444" t="s">
        <v>3520</v>
      </c>
      <c r="O105" s="3163">
        <f>ROUND(1911608900/165676,0)</f>
        <v>11538</v>
      </c>
      <c r="P105" s="3163">
        <f>20.91*12</f>
        <v>250.92000000000002</v>
      </c>
      <c r="Q105" s="3165">
        <f>P105/O105</f>
        <v>2.1747269890795635E-2</v>
      </c>
    </row>
    <row r="106" spans="2:17">
      <c r="N106" s="1444" t="s">
        <v>3521</v>
      </c>
      <c r="O106" s="3163">
        <f>ROUND(1591973200/141889,0)</f>
        <v>11220</v>
      </c>
      <c r="P106" s="3163">
        <f>20.84*12</f>
        <v>250.07999999999998</v>
      </c>
      <c r="Q106" s="3165">
        <f t="shared" ref="Q106:Q107" si="3">P106/O106</f>
        <v>2.2288770053475935E-2</v>
      </c>
    </row>
    <row r="107" spans="2:17">
      <c r="N107" s="1444" t="s">
        <v>3522</v>
      </c>
      <c r="O107" s="3163">
        <f>ROUND(1556635500/133724,0)</f>
        <v>11641</v>
      </c>
      <c r="P107" s="3163">
        <f>20.81*12</f>
        <v>249.71999999999997</v>
      </c>
      <c r="Q107" s="3165">
        <f t="shared" si="3"/>
        <v>2.1451765312258394E-2</v>
      </c>
    </row>
  </sheetData>
  <phoneticPr fontId="134"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8" customWidth="1"/>
    <col min="2" max="16384" width="14.5" style="1401"/>
  </cols>
  <sheetData>
    <row r="1" spans="1:7" s="1415" customFormat="1" ht="18.75">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3.5">
      <c r="A15" s="3200" t="s">
        <v>956</v>
      </c>
      <c r="B15" s="3195" t="s">
        <v>109</v>
      </c>
      <c r="C15" s="3196"/>
    </row>
    <row r="16" spans="1:7" ht="13.5">
      <c r="A16" s="3201"/>
      <c r="B16" s="3195" t="s">
        <v>42</v>
      </c>
      <c r="C16" s="3196"/>
    </row>
    <row r="17" spans="1:3" ht="13.5">
      <c r="A17" s="3201"/>
      <c r="B17" s="3198" t="s">
        <v>957</v>
      </c>
      <c r="C17" s="1425" t="s">
        <v>956</v>
      </c>
    </row>
    <row r="18" spans="1:3" ht="13.5">
      <c r="A18" s="3201"/>
      <c r="B18" s="3198"/>
      <c r="C18" s="1425" t="s">
        <v>958</v>
      </c>
    </row>
    <row r="19" spans="1:3" ht="13.5">
      <c r="A19" s="3201"/>
      <c r="B19" s="3198"/>
      <c r="C19" s="1425" t="s">
        <v>959</v>
      </c>
    </row>
    <row r="20" spans="1:3" ht="13.5">
      <c r="A20" s="3202"/>
      <c r="B20" s="3197" t="s">
        <v>960</v>
      </c>
      <c r="C20" s="3196"/>
    </row>
    <row r="21" spans="1:3" ht="13.5">
      <c r="A21" s="1426" t="s">
        <v>961</v>
      </c>
      <c r="B21" s="1427"/>
      <c r="C21" s="1428"/>
    </row>
    <row r="22" spans="1:3" ht="13.5">
      <c r="A22" s="3199" t="s">
        <v>962</v>
      </c>
      <c r="B22" s="3197" t="s">
        <v>963</v>
      </c>
      <c r="C22" s="3196"/>
    </row>
    <row r="23" spans="1:3" ht="13.5">
      <c r="A23" s="3199"/>
      <c r="B23" s="3197" t="s">
        <v>964</v>
      </c>
      <c r="C23" s="3196"/>
    </row>
    <row r="24" spans="1:3" ht="13.5">
      <c r="A24" s="3199"/>
      <c r="B24" s="3197" t="s">
        <v>965</v>
      </c>
      <c r="C24" s="3196"/>
    </row>
    <row r="25" spans="1:3" ht="13.5">
      <c r="A25" s="3199"/>
      <c r="B25" s="3198" t="s">
        <v>966</v>
      </c>
      <c r="C25" s="1425" t="s">
        <v>967</v>
      </c>
    </row>
    <row r="26" spans="1:3" ht="13.5">
      <c r="A26" s="3199"/>
      <c r="B26" s="3198"/>
      <c r="C26" s="1425" t="s">
        <v>968</v>
      </c>
    </row>
    <row r="27" spans="1:3" ht="13.5">
      <c r="A27" s="3199"/>
      <c r="B27" s="3198"/>
      <c r="C27" s="1425" t="s">
        <v>969</v>
      </c>
    </row>
    <row r="28" spans="1:3" ht="13.5">
      <c r="A28" s="3199"/>
      <c r="B28" s="3198"/>
      <c r="C28" s="1425" t="s">
        <v>970</v>
      </c>
    </row>
    <row r="29" spans="1:3" ht="13.5">
      <c r="A29" s="3199"/>
      <c r="B29" s="3198"/>
      <c r="C29" s="1425" t="s">
        <v>971</v>
      </c>
    </row>
    <row r="30" spans="1:3" ht="13.5">
      <c r="A30" s="3199"/>
      <c r="B30" s="3198"/>
      <c r="C30" s="1425" t="s">
        <v>972</v>
      </c>
    </row>
    <row r="31" spans="1:3" ht="13.5">
      <c r="A31" s="3199"/>
      <c r="B31" s="3198"/>
      <c r="C31" s="1425" t="s">
        <v>973</v>
      </c>
    </row>
    <row r="32" spans="1:3" ht="13.5">
      <c r="A32" s="3199"/>
      <c r="B32" s="3198"/>
      <c r="C32" s="1425" t="s">
        <v>974</v>
      </c>
    </row>
    <row r="33" spans="1:3" ht="13.5">
      <c r="A33" s="3199"/>
      <c r="B33" s="3198"/>
      <c r="C33" s="1425" t="s">
        <v>975</v>
      </c>
    </row>
    <row r="34" spans="1:3">
      <c r="A34" s="1429" t="s">
        <v>49</v>
      </c>
    </row>
    <row r="37" spans="1:3">
      <c r="A37" s="1429" t="s">
        <v>976</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2139</v>
      </c>
      <c r="B2" s="2151">
        <f ca="1">TODAY()</f>
        <v>45947</v>
      </c>
      <c r="C2" s="2152" t="s">
        <v>2140</v>
      </c>
      <c r="D2" s="2152"/>
      <c r="E2" s="2152"/>
      <c r="F2" s="2148"/>
      <c r="G2" s="2148"/>
      <c r="H2" s="2148"/>
    </row>
    <row r="3" spans="1:8" ht="24" customHeight="1">
      <c r="A3" s="2153" t="s">
        <v>2141</v>
      </c>
      <c r="B3" s="1215" t="s">
        <v>2142</v>
      </c>
      <c r="C3" s="1215" t="s">
        <v>2143</v>
      </c>
      <c r="D3" s="2154" t="s">
        <v>2144</v>
      </c>
      <c r="E3" s="2155" t="s">
        <v>2145</v>
      </c>
      <c r="F3" s="1215" t="s">
        <v>2146</v>
      </c>
      <c r="G3" s="1215" t="s">
        <v>2143</v>
      </c>
      <c r="H3" s="2154" t="s">
        <v>2147</v>
      </c>
    </row>
    <row r="4" spans="1:8" ht="24" customHeight="1">
      <c r="A4" s="1215" t="s">
        <v>2148</v>
      </c>
      <c r="B4" s="1215" t="str">
        <f ca="1">IF(C4&lt;B2,"已过期",1119970066)</f>
        <v>已过期</v>
      </c>
      <c r="C4" s="2156">
        <v>45937</v>
      </c>
      <c r="D4" s="2157" t="str">
        <f ca="1">A4&amp;"（注册号："&amp;B4&amp;"）"</f>
        <v>梁津（注册号：已过期）</v>
      </c>
      <c r="E4" s="2158" t="s">
        <v>2148</v>
      </c>
      <c r="F4" s="1215">
        <f ca="1">IF(G4&lt;B2,"已过期",96010014)</f>
        <v>96010014</v>
      </c>
      <c r="G4" s="2159">
        <v>47118</v>
      </c>
      <c r="H4" s="2160" t="str">
        <f ca="1">E4&amp;"（注册号："&amp;F4&amp;"）"</f>
        <v>梁津（注册号：96010014）</v>
      </c>
    </row>
    <row r="5" spans="1:8" ht="24" customHeight="1">
      <c r="A5" s="1215" t="s">
        <v>2149</v>
      </c>
      <c r="B5" s="1215" t="str">
        <f ca="1">IF(C5&lt;B2,"已过期",1119970111)</f>
        <v>已过期</v>
      </c>
      <c r="C5" s="2156">
        <v>45937</v>
      </c>
      <c r="D5" s="2157" t="str">
        <f t="shared" ref="D5:D15" ca="1" si="0">A5&amp;"（注册号："&amp;B5&amp;"）"</f>
        <v>叶凌（注册号：已过期）</v>
      </c>
      <c r="E5" s="2158" t="s">
        <v>2149</v>
      </c>
      <c r="F5" s="1215">
        <f ca="1">IF(G5&lt;B2,"已过期",94010078)</f>
        <v>94010078</v>
      </c>
      <c r="G5" s="2159">
        <v>46387</v>
      </c>
      <c r="H5" s="2160" t="str">
        <f t="shared" ref="H5:H16" ca="1" si="1">E5&amp;"（注册号："&amp;F5&amp;"）"</f>
        <v>叶凌（注册号：94010078）</v>
      </c>
    </row>
    <row r="6" spans="1:8" ht="24" customHeight="1">
      <c r="A6" s="1215" t="s">
        <v>2150</v>
      </c>
      <c r="B6" s="1215" t="str">
        <f ca="1">IF(C6&lt;B2,"已过期",1120050019)</f>
        <v>已过期</v>
      </c>
      <c r="C6" s="2156">
        <v>45410</v>
      </c>
      <c r="D6" s="2157" t="str">
        <f t="shared" ca="1" si="0"/>
        <v>王鹏（注册号：已过期）</v>
      </c>
      <c r="E6" s="2158" t="s">
        <v>2150</v>
      </c>
      <c r="F6" s="1215">
        <f ca="1">IF(G6&lt;B2,"已过期",2002110030)</f>
        <v>2002110030</v>
      </c>
      <c r="G6" s="2159">
        <v>46387</v>
      </c>
      <c r="H6" s="2160" t="str">
        <f t="shared" ca="1" si="1"/>
        <v>王鹏（注册号：2002110030）</v>
      </c>
    </row>
    <row r="7" spans="1:8" ht="24" customHeight="1">
      <c r="A7" s="1215" t="s">
        <v>2151</v>
      </c>
      <c r="B7" s="1215" t="str">
        <f ca="1">IF(C7&lt;B2,"已过期",1120000080)</f>
        <v>已过期</v>
      </c>
      <c r="C7" s="2156">
        <v>45937</v>
      </c>
      <c r="D7" s="2157" t="str">
        <f t="shared" ca="1" si="0"/>
        <v>欧红伟（注册号：已过期）</v>
      </c>
      <c r="E7" s="2158" t="s">
        <v>2151</v>
      </c>
      <c r="F7" s="1215">
        <f ca="1">IF(G7&lt;B2,"已过期",2000110082)</f>
        <v>2000110082</v>
      </c>
      <c r="G7" s="2159">
        <v>46387</v>
      </c>
      <c r="H7" s="2160" t="str">
        <f t="shared" ca="1" si="1"/>
        <v>欧红伟（注册号：2000110082）</v>
      </c>
    </row>
    <row r="8" spans="1:8" ht="24" customHeight="1">
      <c r="A8" s="1215" t="s">
        <v>2152</v>
      </c>
      <c r="B8" s="1215" t="str">
        <f ca="1">IF(C8&lt;B2,"已过期",1419970001)</f>
        <v>已过期</v>
      </c>
      <c r="C8" s="2156">
        <v>45937</v>
      </c>
      <c r="D8" s="2157" t="str">
        <f t="shared" ca="1" si="0"/>
        <v>吴薇（注册号：已过期）</v>
      </c>
      <c r="E8" s="2158" t="s">
        <v>2152</v>
      </c>
      <c r="F8" s="1215">
        <f ca="1">IF(G8&lt;B2,"已过期",2002110125)</f>
        <v>2002110125</v>
      </c>
      <c r="G8" s="2159">
        <v>47118</v>
      </c>
      <c r="H8" s="2160" t="str">
        <f t="shared" ca="1" si="1"/>
        <v>吴薇（注册号：2002110125）</v>
      </c>
    </row>
    <row r="9" spans="1:8" ht="24" customHeight="1">
      <c r="A9" s="1215" t="s">
        <v>2153</v>
      </c>
      <c r="B9" s="1215" t="str">
        <f ca="1">IF(C9&lt;B2,"已过期",1120060040)</f>
        <v>已过期</v>
      </c>
      <c r="C9" s="2161">
        <v>45592</v>
      </c>
      <c r="D9" s="2157" t="str">
        <f t="shared" ca="1" si="0"/>
        <v>陈颖（注册号：已过期）</v>
      </c>
      <c r="E9" s="2158" t="s">
        <v>2153</v>
      </c>
      <c r="F9" s="1215">
        <f ca="1">IF(G9&lt;B2,"已过期",2004110096)</f>
        <v>2004110096</v>
      </c>
      <c r="G9" s="2159">
        <v>47118</v>
      </c>
      <c r="H9" s="2160" t="str">
        <f t="shared" ca="1" si="1"/>
        <v>陈颖（注册号：2004110096）</v>
      </c>
    </row>
    <row r="10" spans="1:8" ht="24" customHeight="1">
      <c r="A10" s="1215" t="s">
        <v>2154</v>
      </c>
      <c r="B10" s="1215" t="str">
        <f ca="1">IF(C10&lt;B2,"已过期",1120100036)</f>
        <v>已过期</v>
      </c>
      <c r="C10" s="2161">
        <v>45752</v>
      </c>
      <c r="D10" s="2157" t="str">
        <f t="shared" ca="1" si="0"/>
        <v>崔锴（注册号：已过期）</v>
      </c>
      <c r="E10" s="2158" t="s">
        <v>2154</v>
      </c>
      <c r="F10" s="1215">
        <f ca="1">IF(G10&lt;B2,"已过期",2010110070)</f>
        <v>2010110070</v>
      </c>
      <c r="G10" s="2159">
        <v>47907</v>
      </c>
      <c r="H10" s="2160" t="str">
        <f t="shared" ca="1" si="1"/>
        <v>崔锴（注册号：2010110070）</v>
      </c>
    </row>
    <row r="11" spans="1:8" ht="24" customHeight="1">
      <c r="A11" s="1215" t="s">
        <v>2155</v>
      </c>
      <c r="B11" s="1215" t="str">
        <f ca="1">IF(C11&lt;B2,"已过期",1120070131)</f>
        <v>已过期</v>
      </c>
      <c r="C11" s="2156">
        <v>45937</v>
      </c>
      <c r="D11" s="2157" t="str">
        <f t="shared" ca="1" si="0"/>
        <v>郑燚（注册号：已过期）</v>
      </c>
      <c r="E11" s="2158" t="s">
        <v>2155</v>
      </c>
      <c r="F11" s="1215">
        <f ca="1">IF(G11&lt;B2,"已过期",2014110011)</f>
        <v>2014110011</v>
      </c>
      <c r="G11" s="2159">
        <v>49302</v>
      </c>
      <c r="H11" s="2160" t="str">
        <f t="shared" ca="1" si="1"/>
        <v>郑燚（注册号：2014110011）</v>
      </c>
    </row>
    <row r="12" spans="1:8" ht="24" customHeight="1">
      <c r="A12" s="1215" t="s">
        <v>2156</v>
      </c>
      <c r="B12" s="1215" t="str">
        <f ca="1">IF(C12&lt;B2,"已过期",1120040230)</f>
        <v>已过期</v>
      </c>
      <c r="C12" s="2161">
        <v>45937</v>
      </c>
      <c r="D12" s="2157" t="str">
        <f t="shared" ca="1" si="0"/>
        <v>苏海（注册号：已过期）</v>
      </c>
      <c r="E12" s="2158" t="s">
        <v>2156</v>
      </c>
      <c r="F12" s="1215">
        <f ca="1">IF(G12&lt;B2,"已过期",98030020)</f>
        <v>98030020</v>
      </c>
      <c r="G12" s="2159">
        <v>47118</v>
      </c>
      <c r="H12" s="2160" t="str">
        <f t="shared" ca="1" si="1"/>
        <v>苏海（注册号：98030020）</v>
      </c>
    </row>
    <row r="13" spans="1:8" ht="24" customHeight="1">
      <c r="A13" s="1215" t="s">
        <v>2157</v>
      </c>
      <c r="B13" s="1215" t="str">
        <f ca="1">IF(C13&lt;B2,"已过期",1120020033)</f>
        <v>已过期</v>
      </c>
      <c r="C13" s="2156">
        <v>45375</v>
      </c>
      <c r="D13" s="2157" t="str">
        <f t="shared" ca="1" si="0"/>
        <v>刘敬东（注册号：已过期）</v>
      </c>
      <c r="E13" s="2158" t="s">
        <v>2157</v>
      </c>
      <c r="F13" s="1215">
        <f ca="1">IF(G13&lt;B2,"已过期",2000110137)</f>
        <v>2000110137</v>
      </c>
      <c r="G13" s="2159">
        <v>46387</v>
      </c>
      <c r="H13" s="2160" t="str">
        <f t="shared" ca="1" si="1"/>
        <v>刘敬东（注册号：2000110137）</v>
      </c>
    </row>
    <row r="14" spans="1:8" ht="24" customHeight="1">
      <c r="A14" s="1215" t="s">
        <v>2158</v>
      </c>
      <c r="B14" s="1215" t="str">
        <f ca="1">IF(C14&lt;B2,"已过期",1119980106)</f>
        <v>已过期</v>
      </c>
      <c r="C14" s="2161">
        <v>44969</v>
      </c>
      <c r="D14" s="2157" t="str">
        <f t="shared" ca="1" si="0"/>
        <v>刘俊财（注册号：已过期）</v>
      </c>
      <c r="E14" s="2158" t="s">
        <v>2158</v>
      </c>
      <c r="F14" s="1215">
        <f ca="1">IF(G14&lt;B2,"已过期",96010063)</f>
        <v>96010063</v>
      </c>
      <c r="G14" s="2159">
        <v>47483</v>
      </c>
      <c r="H14" s="2160" t="str">
        <f t="shared" ca="1" si="1"/>
        <v>刘俊财（注册号：96010063）</v>
      </c>
    </row>
    <row r="15" spans="1:8" ht="24" customHeight="1">
      <c r="A15" s="1215" t="s">
        <v>2433</v>
      </c>
      <c r="B15" s="1215">
        <v>1120210056</v>
      </c>
      <c r="C15" s="2161">
        <v>45410</v>
      </c>
      <c r="D15" s="2157" t="str">
        <f t="shared" si="0"/>
        <v>宁小鳗（注册号：1120210056）</v>
      </c>
      <c r="E15" s="2158" t="s">
        <v>2159</v>
      </c>
      <c r="F15" s="1215">
        <f ca="1">IF(G15&lt;B2,"已过期",2011110090)</f>
        <v>2011110090</v>
      </c>
      <c r="G15" s="2159">
        <v>48302</v>
      </c>
      <c r="H15" s="2160" t="str">
        <f t="shared" ca="1" si="1"/>
        <v>赵雯（注册号：2011110090）</v>
      </c>
    </row>
    <row r="16" spans="1:8" ht="24" customHeight="1">
      <c r="A16" s="1215"/>
      <c r="B16" s="1215"/>
      <c r="C16" s="1215"/>
      <c r="D16" s="2157" t="str">
        <f>A16&amp;"（注册号："&amp;B16&amp;"）"</f>
        <v>（注册号：）</v>
      </c>
      <c r="E16" s="2158"/>
      <c r="F16" s="1215"/>
      <c r="G16" s="1215"/>
      <c r="H16" s="2162"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54"/>
      <c r="E18" s="3205" t="s">
        <v>2162</v>
      </c>
      <c r="F18" s="3204"/>
      <c r="G18" s="3204"/>
    </row>
    <row r="19" spans="1:8" s="2164" customFormat="1" ht="24" customHeight="1">
      <c r="A19" s="2163" t="s">
        <v>2163</v>
      </c>
      <c r="B19" s="1215" t="s">
        <v>2164</v>
      </c>
      <c r="C19" s="1215" t="s">
        <v>2143</v>
      </c>
      <c r="D19" s="2154"/>
      <c r="E19" s="2158" t="s">
        <v>2163</v>
      </c>
      <c r="F19" s="1215" t="s">
        <v>2164</v>
      </c>
      <c r="G19" s="1215" t="s">
        <v>2143</v>
      </c>
    </row>
    <row r="20" spans="1:8" s="2164" customFormat="1" ht="24" customHeight="1">
      <c r="A20" s="2165" t="s">
        <v>2165</v>
      </c>
      <c r="B20" s="2165" t="s">
        <v>2166</v>
      </c>
      <c r="C20" s="2159">
        <v>45898</v>
      </c>
      <c r="D20" s="2166"/>
      <c r="E20" s="2167" t="s">
        <v>2167</v>
      </c>
      <c r="F20" s="2170" t="s">
        <v>2434</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200" priority="32" stopIfTrue="1" operator="equal">
      <formula>"已过期"</formula>
    </cfRule>
  </conditionalFormatting>
  <conditionalFormatting sqref="B4:B15">
    <cfRule type="cellIs" dxfId="199" priority="4" stopIfTrue="1" operator="equal">
      <formula>"已过期"</formula>
    </cfRule>
  </conditionalFormatting>
  <conditionalFormatting sqref="C7:C12">
    <cfRule type="expression" dxfId="198" priority="22">
      <formula>AND($C7-TODAY()&lt;30,TODAY()&lt;$C7)</formula>
    </cfRule>
    <cfRule type="cellIs" dxfId="197" priority="23" stopIfTrue="1" operator="lessThan">
      <formula>$B$2</formula>
    </cfRule>
  </conditionalFormatting>
  <conditionalFormatting sqref="C14:C15">
    <cfRule type="expression" dxfId="196" priority="7">
      <formula>AND($C14-TODAY()&lt;30,TODAY()&lt;$C14)</formula>
    </cfRule>
    <cfRule type="cellIs" dxfId="195" priority="8" stopIfTrue="1" operator="lessThan">
      <formula>$B$2</formula>
    </cfRule>
  </conditionalFormatting>
  <conditionalFormatting sqref="C4:D6 D14">
    <cfRule type="cellIs" dxfId="194" priority="50" stopIfTrue="1" operator="lessThan">
      <formula>$B$2</formula>
    </cfRule>
  </conditionalFormatting>
  <conditionalFormatting sqref="C12:D13">
    <cfRule type="expression" dxfId="193" priority="47">
      <formula>AND($C12-TODAY()&lt;30,TODAY()&lt;$C12)</formula>
    </cfRule>
  </conditionalFormatting>
  <conditionalFormatting sqref="C13:D14">
    <cfRule type="expression" dxfId="192" priority="18">
      <formula>AND($C13-TODAY()&lt;30,TODAY()&lt;$C13)</formula>
    </cfRule>
    <cfRule type="cellIs" dxfId="191" priority="19" stopIfTrue="1" operator="lessThan">
      <formula>$B$2</formula>
    </cfRule>
  </conditionalFormatting>
  <conditionalFormatting sqref="C15:D15">
    <cfRule type="expression" dxfId="190" priority="5">
      <formula>AND($C15-TODAY()&lt;30,TODAY()&lt;$C15)</formula>
    </cfRule>
    <cfRule type="cellIs" dxfId="189" priority="6" stopIfTrue="1" operator="lessThan">
      <formula>$B$2</formula>
    </cfRule>
  </conditionalFormatting>
  <conditionalFormatting sqref="C20:D20 C13:D13">
    <cfRule type="cellIs" dxfId="188" priority="54" stopIfTrue="1" operator="lessThan">
      <formula>$B$2</formula>
    </cfRule>
  </conditionalFormatting>
  <conditionalFormatting sqref="C20:D20">
    <cfRule type="expression" dxfId="187" priority="52">
      <formula>AND($C20-TODAY()&lt;30,TODAY()&lt;$C20)</formula>
    </cfRule>
  </conditionalFormatting>
  <conditionalFormatting sqref="D7:D12 D16">
    <cfRule type="expression" dxfId="186" priority="53">
      <formula>AND($C7-TODAY()&lt;30,TODAY()&lt;$C7)</formula>
    </cfRule>
  </conditionalFormatting>
  <conditionalFormatting sqref="D7:D12">
    <cfRule type="cellIs" dxfId="185" priority="48" stopIfTrue="1" operator="lessThan">
      <formula>$B$2</formula>
    </cfRule>
  </conditionalFormatting>
  <conditionalFormatting sqref="D14 C4:D6">
    <cfRule type="expression" dxfId="184" priority="49">
      <formula>AND($C4-TODAY()&lt;30,TODAY()&lt;$C4)</formula>
    </cfRule>
  </conditionalFormatting>
  <conditionalFormatting sqref="D15:D16">
    <cfRule type="expression" dxfId="183" priority="12">
      <formula>AND($C15-TODAY()&lt;30,TODAY()&lt;$C15)</formula>
    </cfRule>
    <cfRule type="cellIs" dxfId="182" priority="13" stopIfTrue="1" operator="lessThan">
      <formula>$B$2</formula>
    </cfRule>
  </conditionalFormatting>
  <conditionalFormatting sqref="E16:G16">
    <cfRule type="cellIs" dxfId="181" priority="31" stopIfTrue="1" operator="equal">
      <formula>"已过期"</formula>
    </cfRule>
  </conditionalFormatting>
  <conditionalFormatting sqref="F4:F15">
    <cfRule type="cellIs" dxfId="180" priority="9" stopIfTrue="1" operator="equal">
      <formula>"已过期"</formula>
    </cfRule>
  </conditionalFormatting>
  <conditionalFormatting sqref="G4:G15">
    <cfRule type="cellIs" dxfId="179" priority="3" stopIfTrue="1" operator="lessThan">
      <formula>$B$2</formula>
    </cfRule>
  </conditionalFormatting>
  <conditionalFormatting sqref="G20:G21">
    <cfRule type="expression" dxfId="178" priority="1" stopIfTrue="1">
      <formula>AND(#REF!-TODAY()&lt;30,TODAY()&lt;#REF!)</formula>
    </cfRule>
    <cfRule type="cellIs" dxfId="17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63</vt:i4>
      </vt:variant>
      <vt:variant>
        <vt:lpstr>命名范围</vt:lpstr>
      </vt:variant>
      <vt:variant>
        <vt:i4>175</vt:i4>
      </vt:variant>
    </vt:vector>
  </HeadingPairs>
  <TitlesOfParts>
    <vt:vector size="23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成本法地上商业</vt:lpstr>
      <vt:lpstr>成本法地上商业 (元)</vt:lpstr>
      <vt:lpstr>假设开发法</vt:lpstr>
      <vt:lpstr>收益法 (元)</vt:lpstr>
      <vt:lpstr>成本法 地下商业</vt:lpstr>
      <vt:lpstr>成本法地下商业 (元)</vt:lpstr>
      <vt:lpstr>收益法 (元) 地下商业</vt:lpstr>
      <vt:lpstr>成本法 地下办公</vt:lpstr>
      <vt:lpstr>成本法地下办公 (元)</vt:lpstr>
      <vt:lpstr>收益法 (元) 地下办公</vt:lpstr>
      <vt:lpstr>成本法机械车位</vt:lpstr>
      <vt:lpstr>成本法机械车位 (元) </vt:lpstr>
      <vt:lpstr>收益法 (元)机械车位</vt:lpstr>
      <vt:lpstr>成本法车位</vt:lpstr>
      <vt:lpstr>成本法车位 (元) </vt:lpstr>
      <vt:lpstr>收益法</vt:lpstr>
      <vt:lpstr>收益法 (元)车位</vt:lpstr>
      <vt:lpstr>成本法仓储</vt:lpstr>
      <vt:lpstr>成本法车仓储 (元) </vt:lpstr>
      <vt:lpstr>收益法（元）仓储</vt:lpstr>
      <vt:lpstr>收益法 仓储</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 -办公</vt:lpstr>
      <vt:lpstr>基准地价修正-商业</vt:lpstr>
      <vt:lpstr>修正</vt:lpstr>
      <vt:lpstr>容积率修正</vt:lpstr>
      <vt:lpstr>成本法（废）</vt:lpstr>
      <vt:lpstr>因素修正幅度</vt:lpstr>
      <vt:lpstr>区片价（范围）</vt:lpstr>
      <vt:lpstr>地价-分区</vt:lpstr>
      <vt:lpstr>地价</vt:lpstr>
      <vt:lpstr>区片价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 地下办公'!Print_Area</vt:lpstr>
      <vt:lpstr>'成本法 地下商业'!Print_Area</vt:lpstr>
      <vt:lpstr>成本法仓储!Print_Area</vt:lpstr>
      <vt:lpstr>'成本法车仓储 (元) '!Print_Area</vt:lpstr>
      <vt:lpstr>成本法车位!Print_Area</vt:lpstr>
      <vt:lpstr>'成本法车位 (元) '!Print_Area</vt:lpstr>
      <vt:lpstr>成本法地上商业!Print_Area</vt:lpstr>
      <vt:lpstr>'成本法地上商业 (元)'!Print_Area</vt:lpstr>
      <vt:lpstr>'成本法地下办公 (元)'!Print_Area</vt:lpstr>
      <vt:lpstr>'成本法地下商业 (元)'!Print_Area</vt:lpstr>
      <vt:lpstr>成本法机械车位!Print_Area</vt:lpstr>
      <vt:lpstr>'成本法机械车位 (元) '!Print_Area</vt:lpstr>
      <vt:lpstr>估价对象房地状况!Print_Area</vt:lpstr>
      <vt:lpstr>估价师及机构信息!Print_Area</vt:lpstr>
      <vt:lpstr>'基准地价（汇总）'!Print_Area</vt:lpstr>
      <vt:lpstr>'基准地价修正 -办公'!Print_Area</vt:lpstr>
      <vt:lpstr>'基准地价修正-商业'!Print_Area</vt:lpstr>
      <vt:lpstr>假设开发法!Print_Area</vt:lpstr>
      <vt:lpstr>结果表!Print_Area</vt:lpstr>
      <vt:lpstr>收益法!Print_Area</vt:lpstr>
      <vt:lpstr>'收益法 (元)'!Print_Area</vt:lpstr>
      <vt:lpstr>'收益法 (元) 地下办公'!Print_Area</vt:lpstr>
      <vt:lpstr>'收益法 (元) 地下商业'!Print_Area</vt:lpstr>
      <vt:lpstr>'收益法 (元)车位'!Print_Area</vt:lpstr>
      <vt:lpstr>'收益法 (元)机械车位'!Print_Area</vt:lpstr>
      <vt:lpstr>'收益法 仓储'!Print_Area</vt:lpstr>
      <vt:lpstr>'收益法（汇总）'!Print_Area</vt:lpstr>
      <vt:lpstr>'收益法（元）仓储'!Print_Area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 -办公'!季度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2025-10-17T11:40:07Z</dcterms:modified>
</cp:coreProperties>
</file>