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110" tabRatio="899" firstSheet="10"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已取证未售" sheetId="77" r:id="rId11"/>
    <sheet name="未取证" sheetId="78" r:id="rId12"/>
    <sheet name="车位" sheetId="79" r:id="rId13"/>
    <sheet name="商业" sheetId="80" r:id="rId14"/>
    <sheet name="项目基本情况" sheetId="4" r:id="rId15"/>
    <sheet name="数据-基础表" sheetId="3" r:id="rId16"/>
    <sheet name="抵押物清单（分楼）" sheetId="42" state="hidden" r:id="rId17"/>
    <sheet name="数据-汇总表" sheetId="6" r:id="rId18"/>
    <sheet name="数据-取费表" sheetId="1" r:id="rId19"/>
    <sheet name="估价对象房地状况" sheetId="20" state="hidden" r:id="rId20"/>
    <sheet name="系统读取表" sheetId="74" r:id="rId21"/>
    <sheet name="结果表" sheetId="9" r:id="rId22"/>
    <sheet name="成本法" sheetId="68" r:id="rId23"/>
    <sheet name="成本法 (元)" sheetId="69" state="hidden" r:id="rId24"/>
    <sheet name="Sheet0" sheetId="82" r:id="rId25"/>
    <sheet name="土地比较法-住宅、综合" sheetId="39" r:id="rId26"/>
    <sheet name="假设开发法" sheetId="12" r:id="rId27"/>
    <sheet name="比较法-住宅" sheetId="21" r:id="rId28"/>
    <sheet name="商业15收益法" sheetId="15" r:id="rId29"/>
    <sheet name="收益法 (元)" sheetId="67" state="hidden" r:id="rId30"/>
    <sheet name="收益法（汇总）" sheetId="70" state="hidden" r:id="rId31"/>
    <sheet name="酒店收入计算" sheetId="66"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商业17收益法" sheetId="85" r:id="rId50"/>
    <sheet name="地下车库收益法" sheetId="84" r:id="rId51"/>
    <sheet name="Sheet1" sheetId="83" r:id="rId52"/>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7" hidden="1">'比较法-住宅'!$A$1:$L$49</definedName>
    <definedName name="_xlnm._FilterDatabase" localSheetId="15" hidden="1">'数据-基础表'!$A$12:$AT$587</definedName>
    <definedName name="_xlnm._FilterDatabase" localSheetId="37" hidden="1">'土地比较法-工业'!$A$1:$L$43</definedName>
    <definedName name="_xlnm._FilterDatabase" localSheetId="25" hidden="1">'土地比较法-住宅、综合'!$A$1:$L$48</definedName>
    <definedName name="_xlnm._FilterDatabase" localSheetId="14" hidden="1">项目基本情况!$A$42:$N$42</definedName>
    <definedName name="_xlnm._FilterDatabase" localSheetId="10" hidden="1">已取证未售!$A$1:$G$211</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7">'比较法-住宅'!$A$1:$K$54,'比较法-住宅'!$A$57:$M$131</definedName>
    <definedName name="_xlnm.Print_Area" localSheetId="22">成本法!$A$1:$G$57</definedName>
    <definedName name="_xlnm.Print_Area" localSheetId="23">'成本法 (元)'!$A$1:$G$57</definedName>
    <definedName name="_xlnm.Print_Area" localSheetId="50">地下车库收益法!$A$1:$F$43,地下车库收益法!$H$3:$M$29,地下车库收益法!$A$46:$F$71,地下车库收益法!$I$46:$N$65</definedName>
    <definedName name="_xlnm.Print_Area" localSheetId="19">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6">假设开发法!$A$1:$K$32</definedName>
    <definedName name="_xlnm.Print_Area" localSheetId="21">结果表!$A$1:$I$127</definedName>
    <definedName name="_xlnm.Print_Area" localSheetId="28">商业15收益法!$A$1:$F$43,商业15收益法!$H$3:$M$29,商业15收益法!$A$46:$F$71,商业15收益法!$I$46:$N$65</definedName>
    <definedName name="_xlnm.Print_Area" localSheetId="49">商业17收益法!$A$1:$F$43,商业17收益法!$H$3:$M$29,商业17收益法!$A$46:$F$71,商业17收益法!$I$46:$N$65</definedName>
    <definedName name="_xlnm.Print_Area" localSheetId="29">'收益法 (元)'!$A$1:$F$43,'收益法 (元)'!$H$3:$M$29,'收益法 (元)'!$A$45:$F$71,'收益法 (元)'!$I$46:$N$65</definedName>
    <definedName name="_xlnm.Print_Area" localSheetId="30">'收益法（汇总）'!$A$1:$F$13</definedName>
    <definedName name="_xlnm.Print_Area" localSheetId="17">'数据-汇总表'!$A$1:$P$32</definedName>
    <definedName name="_xlnm.Print_Area" localSheetId="37">'土地比较法-工业'!$A$1:$K$61,'土地比较法-工业'!$A$64:$M$121</definedName>
    <definedName name="_xlnm.Print_Area" localSheetId="25">'土地比较法-住宅、综合'!$A$1:$K$66,'土地比较法-住宅、综合'!$A$69:$M$132</definedName>
    <definedName name="_xlnm.Print_Area" localSheetId="20">系统读取表!$A$1:$J$26</definedName>
    <definedName name="_xlnm.Print_Area" localSheetId="14">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29" i="3" l="1"/>
  <c r="I14" i="3"/>
  <c r="I15" i="3"/>
  <c r="I16" i="3"/>
  <c r="I17" i="3"/>
  <c r="I18" i="3"/>
  <c r="I19" i="3"/>
  <c r="I20" i="3"/>
  <c r="I21" i="3"/>
  <c r="I22" i="3"/>
  <c r="I23" i="3"/>
  <c r="I24" i="3"/>
  <c r="I25" i="3"/>
  <c r="I26" i="3"/>
  <c r="I27" i="3"/>
  <c r="I28" i="3"/>
  <c r="I13" i="3"/>
  <c r="L18" i="78"/>
  <c r="L17" i="78"/>
  <c r="L16" i="78"/>
  <c r="L15" i="78"/>
  <c r="L14" i="78"/>
  <c r="L13" i="78"/>
  <c r="L12" i="78"/>
  <c r="L11" i="78"/>
  <c r="L10" i="78"/>
  <c r="L9" i="78"/>
  <c r="L8" i="78"/>
  <c r="L7" i="78"/>
  <c r="L6" i="78"/>
  <c r="L5" i="78"/>
  <c r="L4" i="78"/>
  <c r="L3" i="78"/>
  <c r="Q72" i="85" l="1"/>
  <c r="Q59" i="85"/>
  <c r="K59" i="85"/>
  <c r="P74" i="85" s="1"/>
  <c r="Q58" i="85"/>
  <c r="Q51" i="85"/>
  <c r="J50" i="85"/>
  <c r="J51" i="85" s="1"/>
  <c r="M47" i="85"/>
  <c r="D46" i="85"/>
  <c r="F34" i="85"/>
  <c r="F62" i="85" s="1"/>
  <c r="F33" i="85"/>
  <c r="F61" i="85" s="1"/>
  <c r="F32" i="85"/>
  <c r="F60" i="85" s="1"/>
  <c r="F28" i="85"/>
  <c r="C28" i="85" s="1"/>
  <c r="F23" i="85"/>
  <c r="D23" i="85" s="1"/>
  <c r="F21" i="85"/>
  <c r="M20" i="85"/>
  <c r="F20" i="85"/>
  <c r="M19" i="85"/>
  <c r="M18" i="85"/>
  <c r="F18" i="85"/>
  <c r="F17" i="85"/>
  <c r="F15" i="85"/>
  <c r="G1" i="85"/>
  <c r="Q72" i="84"/>
  <c r="Q59" i="84"/>
  <c r="K59" i="84"/>
  <c r="P74" i="84" s="1"/>
  <c r="Q58" i="84"/>
  <c r="Q51" i="84"/>
  <c r="J50" i="84"/>
  <c r="J51" i="84" s="1"/>
  <c r="M47" i="84"/>
  <c r="D46" i="84"/>
  <c r="F33" i="84"/>
  <c r="F61" i="84" s="1"/>
  <c r="F32" i="84"/>
  <c r="F60" i="84" s="1"/>
  <c r="F28" i="84"/>
  <c r="C28" i="84" s="1"/>
  <c r="F23" i="84"/>
  <c r="D23" i="84" s="1"/>
  <c r="F21" i="84"/>
  <c r="F20" i="84"/>
  <c r="M19" i="84"/>
  <c r="M18" i="84"/>
  <c r="F18" i="84"/>
  <c r="F17" i="84"/>
  <c r="F15" i="84"/>
  <c r="G1" i="84"/>
  <c r="N11" i="1"/>
  <c r="N10" i="1"/>
  <c r="C76" i="84"/>
  <c r="D24" i="85" l="1"/>
  <c r="P61" i="85"/>
  <c r="D22" i="85"/>
  <c r="Q71" i="84"/>
  <c r="D24" i="84"/>
  <c r="P61" i="84"/>
  <c r="D22" i="84"/>
  <c r="C10" i="39"/>
  <c r="I38" i="39"/>
  <c r="G38" i="39"/>
  <c r="E38" i="39"/>
  <c r="C38" i="39"/>
  <c r="C76" i="85"/>
  <c r="M26" i="85"/>
  <c r="M22" i="85"/>
  <c r="M8" i="85"/>
  <c r="F38" i="85"/>
  <c r="M9" i="84"/>
  <c r="F16" i="84"/>
  <c r="F42" i="84"/>
  <c r="M22" i="84"/>
  <c r="L47" i="85"/>
  <c r="M27" i="85"/>
  <c r="M24" i="85"/>
  <c r="F16" i="85"/>
  <c r="F6" i="84"/>
  <c r="F7" i="84"/>
  <c r="F13" i="84"/>
  <c r="L48" i="85"/>
  <c r="F8" i="84"/>
  <c r="F26" i="84"/>
  <c r="M6" i="84"/>
  <c r="L48" i="84"/>
  <c r="M28" i="85"/>
  <c r="J15" i="85"/>
  <c r="M6" i="85"/>
  <c r="M28" i="84"/>
  <c r="F37" i="85"/>
  <c r="F40" i="85"/>
  <c r="M23" i="85"/>
  <c r="F37" i="84"/>
  <c r="M26" i="84"/>
  <c r="F9" i="85"/>
  <c r="F6" i="85"/>
  <c r="F36" i="85"/>
  <c r="F38" i="84"/>
  <c r="M23" i="84"/>
  <c r="L47" i="84"/>
  <c r="F42" i="85"/>
  <c r="F26" i="85"/>
  <c r="F8" i="85"/>
  <c r="M9" i="85"/>
  <c r="M8" i="84"/>
  <c r="F9" i="84"/>
  <c r="F36" i="84"/>
  <c r="F40" i="84"/>
  <c r="F13" i="85"/>
  <c r="M24" i="84"/>
  <c r="M27" i="84"/>
  <c r="J15" i="84"/>
  <c r="F64" i="85" l="1"/>
  <c r="F66" i="85"/>
  <c r="F51" i="85"/>
  <c r="F68" i="85"/>
  <c r="L57" i="85"/>
  <c r="L56" i="85"/>
  <c r="J60" i="85"/>
  <c r="Q48" i="85" s="1"/>
  <c r="J53" i="85"/>
  <c r="J57" i="85"/>
  <c r="J55" i="85" s="1"/>
  <c r="J58" i="85" s="1"/>
  <c r="Q50" i="85" s="1"/>
  <c r="I54" i="85"/>
  <c r="L60" i="85"/>
  <c r="J59" i="85"/>
  <c r="C27" i="85"/>
  <c r="F65" i="85"/>
  <c r="N59" i="85"/>
  <c r="L58" i="85"/>
  <c r="M59" i="85"/>
  <c r="L59" i="85" s="1"/>
  <c r="Q71" i="85"/>
  <c r="L57" i="84"/>
  <c r="L56" i="84"/>
  <c r="L60" i="84"/>
  <c r="J53" i="84"/>
  <c r="J57" i="84"/>
  <c r="J55" i="84" s="1"/>
  <c r="J58" i="84" s="1"/>
  <c r="Q50" i="84" s="1"/>
  <c r="J59" i="84"/>
  <c r="J60" i="84"/>
  <c r="Q48" i="84" s="1"/>
  <c r="I54" i="84"/>
  <c r="F68" i="84"/>
  <c r="F64" i="84"/>
  <c r="N59" i="84"/>
  <c r="L58" i="84"/>
  <c r="M59" i="84"/>
  <c r="L59" i="84" s="1"/>
  <c r="F50" i="84"/>
  <c r="M7" i="84"/>
  <c r="J6" i="84" s="1"/>
  <c r="F65" i="84"/>
  <c r="C27" i="84"/>
  <c r="F31" i="84"/>
  <c r="C6" i="84"/>
  <c r="F51" i="84"/>
  <c r="F66" i="84"/>
  <c r="C11" i="39"/>
  <c r="I30" i="3"/>
  <c r="G26" i="6"/>
  <c r="F25" i="6"/>
  <c r="F24" i="6"/>
  <c r="F23" i="6"/>
  <c r="R17" i="78"/>
  <c r="R16" i="78"/>
  <c r="R10" i="78"/>
  <c r="R11" i="78"/>
  <c r="R12" i="78"/>
  <c r="R13" i="78"/>
  <c r="R14" i="78"/>
  <c r="R15" i="78"/>
  <c r="R18" i="78"/>
  <c r="Q17" i="78"/>
  <c r="Q16" i="78"/>
  <c r="Q61" i="85" l="1"/>
  <c r="Q74" i="85"/>
  <c r="F1" i="85"/>
  <c r="Q52" i="85"/>
  <c r="L46" i="85"/>
  <c r="Q60" i="85"/>
  <c r="Q73" i="85"/>
  <c r="Q66" i="85"/>
  <c r="Q57" i="85"/>
  <c r="C49" i="84"/>
  <c r="J19" i="84"/>
  <c r="J18" i="84"/>
  <c r="C33" i="84"/>
  <c r="C32" i="84"/>
  <c r="Q61" i="84"/>
  <c r="Q74" i="84"/>
  <c r="M17" i="84"/>
  <c r="Q66" i="84"/>
  <c r="Q57" i="84"/>
  <c r="F59" i="84"/>
  <c r="Q60" i="84"/>
  <c r="Q73" i="84"/>
  <c r="F1" i="84"/>
  <c r="Q52" i="84"/>
  <c r="L46" i="84"/>
  <c r="Q18" i="78"/>
  <c r="Q15" i="78"/>
  <c r="P15" i="78" s="1"/>
  <c r="Q14" i="78"/>
  <c r="Q13" i="78"/>
  <c r="P13" i="78" s="1"/>
  <c r="Q12" i="78"/>
  <c r="Q11" i="78"/>
  <c r="P11" i="78" s="1"/>
  <c r="Q10" i="78"/>
  <c r="R9" i="78"/>
  <c r="Q9" i="78"/>
  <c r="P9" i="78" s="1"/>
  <c r="R8" i="78"/>
  <c r="Q8" i="78"/>
  <c r="R7" i="78"/>
  <c r="Q7" i="78"/>
  <c r="P7" i="78" s="1"/>
  <c r="R6" i="78"/>
  <c r="Q6" i="78"/>
  <c r="R5" i="78"/>
  <c r="Q5" i="78"/>
  <c r="P5" i="78" s="1"/>
  <c r="R4" i="78"/>
  <c r="Q4" i="78"/>
  <c r="R3" i="78"/>
  <c r="Q3" i="78"/>
  <c r="P3" i="78" s="1"/>
  <c r="P4" i="78" l="1"/>
  <c r="P6" i="78"/>
  <c r="P8" i="78"/>
  <c r="P10" i="78"/>
  <c r="P12" i="78"/>
  <c r="P14" i="78"/>
  <c r="C41" i="21" l="1"/>
  <c r="F120" i="21"/>
  <c r="E120" i="21"/>
  <c r="D120" i="21"/>
  <c r="E59" i="21"/>
  <c r="F59" i="21" s="1"/>
  <c r="G59" i="21" s="1"/>
  <c r="H59" i="21" s="1"/>
  <c r="I59" i="21" s="1"/>
  <c r="J59" i="21" s="1"/>
  <c r="K59" i="21" s="1"/>
  <c r="L59" i="21" s="1"/>
  <c r="M59" i="21" s="1"/>
  <c r="D59" i="21"/>
  <c r="C11" i="21"/>
  <c r="I7" i="21"/>
  <c r="G7" i="21"/>
  <c r="E7" i="21"/>
  <c r="K214" i="77" l="1"/>
  <c r="K3" i="77"/>
  <c r="K4" i="77"/>
  <c r="K5" i="77"/>
  <c r="K6" i="77"/>
  <c r="K7" i="77"/>
  <c r="K8" i="77"/>
  <c r="K9" i="77"/>
  <c r="K10" i="77"/>
  <c r="K11" i="77"/>
  <c r="K12" i="77"/>
  <c r="K13" i="77"/>
  <c r="K14" i="77"/>
  <c r="K15" i="77"/>
  <c r="K16" i="77"/>
  <c r="K17" i="77"/>
  <c r="K18" i="77"/>
  <c r="K19" i="77"/>
  <c r="K20" i="77"/>
  <c r="K21" i="77"/>
  <c r="K22" i="77"/>
  <c r="K23" i="77"/>
  <c r="K24" i="77"/>
  <c r="K25" i="77"/>
  <c r="K26" i="77"/>
  <c r="K27" i="77"/>
  <c r="K28" i="77"/>
  <c r="K29" i="77"/>
  <c r="K30" i="77"/>
  <c r="K31" i="77"/>
  <c r="K32" i="77"/>
  <c r="K33" i="77"/>
  <c r="K34" i="77"/>
  <c r="K35" i="77"/>
  <c r="K36" i="77"/>
  <c r="K37" i="77"/>
  <c r="K38" i="77"/>
  <c r="K39" i="77"/>
  <c r="K40" i="77"/>
  <c r="K41" i="77"/>
  <c r="K42" i="77"/>
  <c r="K43" i="77"/>
  <c r="K44" i="77"/>
  <c r="K45" i="77"/>
  <c r="K46" i="77"/>
  <c r="K47" i="77"/>
  <c r="K48" i="77"/>
  <c r="K49" i="77"/>
  <c r="K50" i="77"/>
  <c r="K51" i="77"/>
  <c r="K52" i="77"/>
  <c r="K53" i="77"/>
  <c r="K54" i="77"/>
  <c r="K55" i="77"/>
  <c r="K56" i="77"/>
  <c r="K57" i="77"/>
  <c r="K58" i="77"/>
  <c r="K59" i="77"/>
  <c r="K60" i="77"/>
  <c r="K61" i="77"/>
  <c r="K62" i="77"/>
  <c r="K63" i="77"/>
  <c r="K64" i="77"/>
  <c r="K65" i="77"/>
  <c r="K66" i="77"/>
  <c r="K67" i="77"/>
  <c r="K68" i="77"/>
  <c r="K69" i="77"/>
  <c r="K70" i="77"/>
  <c r="K71" i="77"/>
  <c r="K72" i="77"/>
  <c r="K73" i="77"/>
  <c r="K74" i="77"/>
  <c r="K75" i="77"/>
  <c r="K76" i="77"/>
  <c r="K77" i="77"/>
  <c r="K78" i="77"/>
  <c r="K79" i="77"/>
  <c r="K80" i="77"/>
  <c r="K81" i="77"/>
  <c r="K82" i="77"/>
  <c r="K83" i="77"/>
  <c r="K84" i="77"/>
  <c r="K85" i="77"/>
  <c r="K86" i="77"/>
  <c r="K87" i="77"/>
  <c r="K88" i="77"/>
  <c r="K89" i="77"/>
  <c r="K90" i="77"/>
  <c r="K91" i="77"/>
  <c r="K92" i="77"/>
  <c r="K93" i="77"/>
  <c r="K94" i="77"/>
  <c r="K95" i="77"/>
  <c r="K96" i="77"/>
  <c r="K97" i="77"/>
  <c r="K98" i="77"/>
  <c r="K99" i="77"/>
  <c r="K100" i="77"/>
  <c r="K101" i="77"/>
  <c r="K102" i="77"/>
  <c r="K103" i="77"/>
  <c r="K104" i="77"/>
  <c r="K105" i="77"/>
  <c r="K106" i="77"/>
  <c r="K107" i="77"/>
  <c r="K108" i="77"/>
  <c r="K109" i="77"/>
  <c r="K110" i="77"/>
  <c r="K111" i="77"/>
  <c r="K112" i="77"/>
  <c r="K113" i="77"/>
  <c r="K114" i="77"/>
  <c r="K115" i="77"/>
  <c r="K116" i="77"/>
  <c r="K117" i="77"/>
  <c r="K118" i="77"/>
  <c r="K119" i="77"/>
  <c r="K120" i="77"/>
  <c r="K121" i="77"/>
  <c r="K122" i="77"/>
  <c r="K123" i="77"/>
  <c r="K124" i="77"/>
  <c r="K125" i="77"/>
  <c r="K126" i="77"/>
  <c r="K127" i="77"/>
  <c r="K128" i="77"/>
  <c r="K129" i="77"/>
  <c r="K130" i="77"/>
  <c r="K131" i="77"/>
  <c r="K132" i="77"/>
  <c r="K133" i="77"/>
  <c r="K134" i="77"/>
  <c r="K135" i="77"/>
  <c r="K136" i="77"/>
  <c r="K137" i="77"/>
  <c r="K138" i="77"/>
  <c r="K139" i="77"/>
  <c r="K140" i="77"/>
  <c r="K141" i="77"/>
  <c r="K142" i="77"/>
  <c r="K143" i="77"/>
  <c r="K144" i="77"/>
  <c r="K145" i="77"/>
  <c r="K146" i="77"/>
  <c r="K147" i="77"/>
  <c r="K148" i="77"/>
  <c r="K149" i="77"/>
  <c r="K150" i="77"/>
  <c r="K151" i="77"/>
  <c r="K152" i="77"/>
  <c r="K153" i="77"/>
  <c r="K154" i="77"/>
  <c r="K155" i="77"/>
  <c r="K156" i="77"/>
  <c r="K157" i="77"/>
  <c r="K158" i="77"/>
  <c r="K159" i="77"/>
  <c r="K160" i="77"/>
  <c r="K161" i="77"/>
  <c r="K162" i="77"/>
  <c r="K163" i="77"/>
  <c r="K164" i="77"/>
  <c r="K165" i="77"/>
  <c r="K166" i="77"/>
  <c r="K167" i="77"/>
  <c r="K168" i="77"/>
  <c r="K169" i="77"/>
  <c r="K170" i="77"/>
  <c r="K171" i="77"/>
  <c r="K172" i="77"/>
  <c r="K173" i="77"/>
  <c r="K174" i="77"/>
  <c r="K175" i="77"/>
  <c r="K176" i="77"/>
  <c r="K177" i="77"/>
  <c r="K178" i="77"/>
  <c r="K179" i="77"/>
  <c r="K180" i="77"/>
  <c r="K181" i="77"/>
  <c r="K182" i="77"/>
  <c r="K183" i="77"/>
  <c r="K184" i="77"/>
  <c r="K185" i="77"/>
  <c r="K186" i="77"/>
  <c r="K187" i="77"/>
  <c r="K188" i="77"/>
  <c r="K189" i="77"/>
  <c r="K190" i="77"/>
  <c r="K191" i="77"/>
  <c r="K192" i="77"/>
  <c r="K193" i="77"/>
  <c r="K194" i="77"/>
  <c r="K195" i="77"/>
  <c r="K196" i="77"/>
  <c r="K197" i="77"/>
  <c r="K198" i="77"/>
  <c r="K199" i="77"/>
  <c r="K200" i="77"/>
  <c r="K201" i="77"/>
  <c r="K202" i="77"/>
  <c r="K203" i="77"/>
  <c r="K204" i="77"/>
  <c r="K205" i="77"/>
  <c r="K206" i="77"/>
  <c r="K207" i="77"/>
  <c r="K208" i="77"/>
  <c r="K209" i="77"/>
  <c r="K210" i="77"/>
  <c r="K211" i="77"/>
  <c r="K212" i="77"/>
  <c r="K213" i="77"/>
  <c r="K2" i="77"/>
  <c r="I46" i="39"/>
  <c r="G46" i="39"/>
  <c r="E46" i="39"/>
  <c r="E71" i="39"/>
  <c r="F71" i="39" s="1"/>
  <c r="G71" i="39" s="1"/>
  <c r="H71" i="39" s="1"/>
  <c r="I71" i="39" s="1"/>
  <c r="J71" i="39" s="1"/>
  <c r="K71" i="39" s="1"/>
  <c r="L71" i="39" s="1"/>
  <c r="M71" i="39" s="1"/>
  <c r="D71" i="39"/>
  <c r="I7" i="39"/>
  <c r="G7" i="39"/>
  <c r="E7" i="39"/>
  <c r="I5" i="39"/>
  <c r="G5" i="39"/>
  <c r="E5" i="39"/>
  <c r="E1415" i="79"/>
  <c r="F19" i="6"/>
  <c r="F21" i="6"/>
  <c r="F22" i="6"/>
  <c r="G1" i="80"/>
  <c r="G2" i="80"/>
  <c r="G3" i="80"/>
  <c r="G4" i="80"/>
  <c r="G5" i="80"/>
  <c r="G6" i="80"/>
  <c r="G7" i="80"/>
  <c r="G8" i="80"/>
  <c r="G9" i="80"/>
  <c r="G10" i="80"/>
  <c r="G11" i="80"/>
  <c r="G12" i="80"/>
  <c r="J12" i="80"/>
  <c r="G13" i="80"/>
  <c r="G14" i="80"/>
  <c r="G15" i="80"/>
  <c r="G16" i="80"/>
  <c r="G17" i="80"/>
  <c r="J17" i="80"/>
  <c r="G18" i="80"/>
  <c r="G19" i="80"/>
  <c r="G20" i="80"/>
  <c r="G21" i="80"/>
  <c r="G22" i="80"/>
  <c r="G23" i="80"/>
  <c r="G24" i="80"/>
  <c r="J24" i="80"/>
  <c r="G1" i="78"/>
  <c r="G2" i="78"/>
  <c r="G3" i="78"/>
  <c r="G4" i="78"/>
  <c r="G5" i="78"/>
  <c r="G6" i="78"/>
  <c r="G7" i="78"/>
  <c r="G8" i="78"/>
  <c r="G9" i="78"/>
  <c r="G10" i="78"/>
  <c r="G11" i="78"/>
  <c r="G12" i="78"/>
  <c r="G13" i="78"/>
  <c r="G14" i="78"/>
  <c r="G15" i="78"/>
  <c r="G16" i="78"/>
  <c r="G17" i="78"/>
  <c r="G18" i="78"/>
  <c r="G19" i="78"/>
  <c r="G20" i="78"/>
  <c r="G21" i="78"/>
  <c r="G22" i="78"/>
  <c r="G23" i="78"/>
  <c r="G24" i="78"/>
  <c r="G25" i="78"/>
  <c r="G26" i="78"/>
  <c r="G27" i="78"/>
  <c r="G28" i="78"/>
  <c r="G29" i="78"/>
  <c r="G30" i="78"/>
  <c r="G31" i="78"/>
  <c r="G32" i="78"/>
  <c r="G33" i="78"/>
  <c r="G34" i="78"/>
  <c r="G35" i="78"/>
  <c r="G36" i="78"/>
  <c r="G37" i="78"/>
  <c r="G38" i="78"/>
  <c r="G39" i="78"/>
  <c r="G40" i="78"/>
  <c r="G41" i="78"/>
  <c r="G42" i="78"/>
  <c r="G43" i="78"/>
  <c r="G44" i="78"/>
  <c r="G45" i="78"/>
  <c r="G46" i="78"/>
  <c r="G47" i="78"/>
  <c r="G48" i="78"/>
  <c r="G49" i="78"/>
  <c r="G50" i="78"/>
  <c r="G51" i="78"/>
  <c r="G52" i="78"/>
  <c r="G53" i="78"/>
  <c r="G54" i="78"/>
  <c r="G55" i="78"/>
  <c r="G56" i="78"/>
  <c r="G57" i="78"/>
  <c r="G58" i="78"/>
  <c r="G59" i="78"/>
  <c r="G60" i="78"/>
  <c r="G61" i="78"/>
  <c r="G62" i="78"/>
  <c r="G63" i="78"/>
  <c r="G64" i="78"/>
  <c r="G65" i="78"/>
  <c r="G66" i="78"/>
  <c r="G67" i="78"/>
  <c r="G68" i="78"/>
  <c r="G69" i="78"/>
  <c r="G70" i="78"/>
  <c r="G71" i="78"/>
  <c r="G72" i="78"/>
  <c r="G73" i="78"/>
  <c r="G74" i="78"/>
  <c r="G75" i="78"/>
  <c r="G76" i="78"/>
  <c r="G77" i="78"/>
  <c r="G78" i="78"/>
  <c r="G79" i="78"/>
  <c r="G80" i="78"/>
  <c r="G81" i="78"/>
  <c r="G82" i="78"/>
  <c r="G83" i="78"/>
  <c r="G84" i="78"/>
  <c r="G85" i="78"/>
  <c r="G86" i="78"/>
  <c r="G87" i="78"/>
  <c r="G88" i="78"/>
  <c r="G89" i="78"/>
  <c r="G90" i="78"/>
  <c r="G91" i="78"/>
  <c r="G92" i="78"/>
  <c r="G93" i="78"/>
  <c r="G94" i="78"/>
  <c r="G95" i="78"/>
  <c r="G96" i="78"/>
  <c r="G97" i="78"/>
  <c r="G98" i="78"/>
  <c r="G99" i="78"/>
  <c r="G100" i="78"/>
  <c r="J100" i="78"/>
  <c r="G101" i="78"/>
  <c r="G102" i="78"/>
  <c r="G103" i="78"/>
  <c r="G104" i="78"/>
  <c r="G105" i="78"/>
  <c r="G106" i="78"/>
  <c r="G107" i="78"/>
  <c r="G108" i="78"/>
  <c r="G109" i="78"/>
  <c r="G110" i="78"/>
  <c r="G111" i="78"/>
  <c r="G112" i="78"/>
  <c r="G113" i="78"/>
  <c r="G114" i="78"/>
  <c r="G115" i="78"/>
  <c r="G116" i="78"/>
  <c r="G117" i="78"/>
  <c r="G118" i="78"/>
  <c r="G119" i="78"/>
  <c r="G120" i="78"/>
  <c r="G121" i="78"/>
  <c r="G122" i="78"/>
  <c r="G123" i="78"/>
  <c r="G124" i="78"/>
  <c r="G125" i="78"/>
  <c r="G126" i="78"/>
  <c r="G127" i="78"/>
  <c r="G128" i="78"/>
  <c r="G129" i="78"/>
  <c r="G130" i="78"/>
  <c r="G131" i="78"/>
  <c r="G132" i="78"/>
  <c r="G133" i="78"/>
  <c r="G134" i="78"/>
  <c r="G135" i="78"/>
  <c r="G136" i="78"/>
  <c r="G137" i="78"/>
  <c r="G138" i="78"/>
  <c r="G139" i="78"/>
  <c r="G140" i="78"/>
  <c r="G141" i="78"/>
  <c r="G142" i="78"/>
  <c r="G143" i="78"/>
  <c r="G144" i="78"/>
  <c r="G145" i="78"/>
  <c r="G146" i="78"/>
  <c r="G147" i="78"/>
  <c r="G148" i="78"/>
  <c r="G149" i="78"/>
  <c r="G150" i="78"/>
  <c r="G151" i="78"/>
  <c r="G152" i="78"/>
  <c r="G153" i="78"/>
  <c r="G154" i="78"/>
  <c r="G155" i="78"/>
  <c r="G156" i="78"/>
  <c r="G157" i="78"/>
  <c r="G158" i="78"/>
  <c r="G159" i="78"/>
  <c r="G160" i="78"/>
  <c r="G161" i="78"/>
  <c r="G162" i="78"/>
  <c r="G163" i="78"/>
  <c r="G164" i="78"/>
  <c r="G165" i="78"/>
  <c r="G166" i="78"/>
  <c r="G167" i="78"/>
  <c r="G168" i="78"/>
  <c r="G169" i="78"/>
  <c r="G170" i="78"/>
  <c r="G171" i="78"/>
  <c r="G172" i="78"/>
  <c r="G173" i="78"/>
  <c r="G174" i="78"/>
  <c r="G175" i="78"/>
  <c r="G176" i="78"/>
  <c r="G177" i="78"/>
  <c r="G178" i="78"/>
  <c r="G179" i="78"/>
  <c r="G180" i="78"/>
  <c r="G181" i="78"/>
  <c r="G182" i="78"/>
  <c r="G183" i="78"/>
  <c r="G184" i="78"/>
  <c r="G185" i="78"/>
  <c r="G186" i="78"/>
  <c r="G187" i="78"/>
  <c r="G188" i="78"/>
  <c r="G189" i="78"/>
  <c r="G190" i="78"/>
  <c r="G191" i="78"/>
  <c r="G192" i="78"/>
  <c r="G193" i="78"/>
  <c r="G194" i="78"/>
  <c r="G195" i="78"/>
  <c r="G196" i="78"/>
  <c r="J196" i="78"/>
  <c r="G197" i="78"/>
  <c r="G198" i="78"/>
  <c r="G199" i="78"/>
  <c r="G200" i="78"/>
  <c r="G201" i="78"/>
  <c r="G202" i="78"/>
  <c r="G203" i="78"/>
  <c r="G204" i="78"/>
  <c r="G205" i="78"/>
  <c r="G206" i="78"/>
  <c r="G207" i="78"/>
  <c r="G208" i="78"/>
  <c r="G209" i="78"/>
  <c r="G210" i="78"/>
  <c r="G211" i="78"/>
  <c r="G212" i="78"/>
  <c r="G213" i="78"/>
  <c r="G214" i="78"/>
  <c r="G215" i="78"/>
  <c r="G216" i="78"/>
  <c r="G217" i="78"/>
  <c r="G218" i="78"/>
  <c r="G219" i="78"/>
  <c r="G220" i="78"/>
  <c r="G221" i="78"/>
  <c r="G222" i="78"/>
  <c r="G223" i="78"/>
  <c r="G224" i="78"/>
  <c r="G225" i="78"/>
  <c r="G226" i="78"/>
  <c r="G227" i="78"/>
  <c r="G228" i="78"/>
  <c r="G229" i="78"/>
  <c r="G230" i="78"/>
  <c r="G231" i="78"/>
  <c r="G232" i="78"/>
  <c r="G233" i="78"/>
  <c r="G234" i="78"/>
  <c r="G235" i="78"/>
  <c r="G236" i="78"/>
  <c r="G237" i="78"/>
  <c r="G238" i="78"/>
  <c r="G239" i="78"/>
  <c r="G240" i="78"/>
  <c r="G241" i="78"/>
  <c r="G242" i="78"/>
  <c r="G243" i="78"/>
  <c r="G244" i="78"/>
  <c r="G245" i="78"/>
  <c r="G246" i="78"/>
  <c r="G247" i="78"/>
  <c r="G248" i="78"/>
  <c r="G249" i="78"/>
  <c r="G250" i="78"/>
  <c r="G251" i="78"/>
  <c r="G252" i="78"/>
  <c r="G253" i="78"/>
  <c r="G254" i="78"/>
  <c r="G255" i="78"/>
  <c r="G256" i="78"/>
  <c r="G257" i="78"/>
  <c r="G258" i="78"/>
  <c r="G259" i="78"/>
  <c r="G260" i="78"/>
  <c r="G261" i="78"/>
  <c r="G262" i="78"/>
  <c r="G263" i="78"/>
  <c r="G264" i="78"/>
  <c r="G265" i="78"/>
  <c r="G266" i="78"/>
  <c r="G267" i="78"/>
  <c r="G268" i="78"/>
  <c r="G269" i="78"/>
  <c r="G270" i="78"/>
  <c r="G271" i="78"/>
  <c r="G272" i="78"/>
  <c r="G273" i="78"/>
  <c r="G274" i="78"/>
  <c r="G275" i="78"/>
  <c r="G276" i="78"/>
  <c r="G277" i="78"/>
  <c r="G278" i="78"/>
  <c r="G279" i="78"/>
  <c r="G280" i="78"/>
  <c r="G281" i="78"/>
  <c r="G282" i="78"/>
  <c r="G283" i="78"/>
  <c r="G284" i="78"/>
  <c r="G285" i="78"/>
  <c r="G286" i="78"/>
  <c r="G287" i="78"/>
  <c r="G288" i="78"/>
  <c r="G289" i="78"/>
  <c r="G290" i="78"/>
  <c r="J290" i="78"/>
  <c r="G291" i="78"/>
  <c r="G292" i="78"/>
  <c r="G293" i="78"/>
  <c r="G294" i="78"/>
  <c r="G295" i="78"/>
  <c r="G296" i="78"/>
  <c r="G297" i="78"/>
  <c r="G298" i="78"/>
  <c r="G299" i="78"/>
  <c r="G300" i="78"/>
  <c r="G301" i="78"/>
  <c r="G302" i="78"/>
  <c r="G303" i="78"/>
  <c r="G304" i="78"/>
  <c r="G305" i="78"/>
  <c r="G306" i="78"/>
  <c r="G307" i="78"/>
  <c r="G308" i="78"/>
  <c r="G309" i="78"/>
  <c r="G310" i="78"/>
  <c r="G311" i="78"/>
  <c r="G312" i="78"/>
  <c r="G313" i="78"/>
  <c r="G314" i="78"/>
  <c r="G315" i="78"/>
  <c r="G316" i="78"/>
  <c r="G317" i="78"/>
  <c r="G318" i="78"/>
  <c r="G319" i="78"/>
  <c r="G320" i="78"/>
  <c r="G321" i="78"/>
  <c r="G322" i="78"/>
  <c r="G323" i="78"/>
  <c r="G324" i="78"/>
  <c r="G325" i="78"/>
  <c r="G326" i="78"/>
  <c r="G327" i="78"/>
  <c r="G328" i="78"/>
  <c r="G329" i="78"/>
  <c r="G330" i="78"/>
  <c r="G331" i="78"/>
  <c r="G332" i="78"/>
  <c r="G333" i="78"/>
  <c r="G334" i="78"/>
  <c r="G335" i="78"/>
  <c r="G336" i="78"/>
  <c r="G337" i="78"/>
  <c r="G338" i="78"/>
  <c r="G339" i="78"/>
  <c r="G340" i="78"/>
  <c r="G341" i="78"/>
  <c r="G342" i="78"/>
  <c r="G343" i="78"/>
  <c r="G344" i="78"/>
  <c r="G345" i="78"/>
  <c r="G346" i="78"/>
  <c r="G347" i="78"/>
  <c r="G348" i="78"/>
  <c r="G349" i="78"/>
  <c r="G350" i="78"/>
  <c r="G351" i="78"/>
  <c r="G352" i="78"/>
  <c r="G353" i="78"/>
  <c r="G354" i="78"/>
  <c r="G355" i="78"/>
  <c r="G356" i="78"/>
  <c r="G357" i="78"/>
  <c r="G358" i="78"/>
  <c r="G359" i="78"/>
  <c r="G360" i="78"/>
  <c r="G361" i="78"/>
  <c r="G362" i="78"/>
  <c r="G363" i="78"/>
  <c r="G364" i="78"/>
  <c r="G365" i="78"/>
  <c r="G366" i="78"/>
  <c r="G367" i="78"/>
  <c r="G368" i="78"/>
  <c r="G369" i="78"/>
  <c r="G370" i="78"/>
  <c r="G371" i="78"/>
  <c r="G372" i="78"/>
  <c r="G373" i="78"/>
  <c r="G374" i="78"/>
  <c r="G375" i="78"/>
  <c r="G376" i="78"/>
  <c r="G377" i="78"/>
  <c r="G378" i="78"/>
  <c r="G379" i="78"/>
  <c r="G380" i="78"/>
  <c r="G381" i="78"/>
  <c r="G382" i="78"/>
  <c r="G383" i="78"/>
  <c r="G384" i="78"/>
  <c r="J384" i="78"/>
  <c r="G385" i="78"/>
  <c r="G386" i="78"/>
  <c r="G387" i="78"/>
  <c r="G388" i="78"/>
  <c r="G389" i="78"/>
  <c r="G390" i="78"/>
  <c r="G391" i="78"/>
  <c r="G392" i="78"/>
  <c r="G393" i="78"/>
  <c r="G394" i="78"/>
  <c r="G395" i="78"/>
  <c r="G396" i="78"/>
  <c r="G397" i="78"/>
  <c r="G398" i="78"/>
  <c r="G399" i="78"/>
  <c r="G400" i="78"/>
  <c r="G401" i="78"/>
  <c r="G402" i="78"/>
  <c r="G403" i="78"/>
  <c r="G404" i="78"/>
  <c r="G405" i="78"/>
  <c r="G406" i="78"/>
  <c r="G407" i="78"/>
  <c r="G408" i="78"/>
  <c r="G409" i="78"/>
  <c r="G410" i="78"/>
  <c r="G411" i="78"/>
  <c r="G412" i="78"/>
  <c r="G413" i="78"/>
  <c r="G414" i="78"/>
  <c r="G415" i="78"/>
  <c r="G416" i="78"/>
  <c r="G417" i="78"/>
  <c r="G418" i="78"/>
  <c r="G419" i="78"/>
  <c r="G420" i="78"/>
  <c r="G421" i="78"/>
  <c r="G422" i="78"/>
  <c r="G423" i="78"/>
  <c r="G424" i="78"/>
  <c r="G425" i="78"/>
  <c r="G426" i="78"/>
  <c r="G427" i="78"/>
  <c r="G428" i="78"/>
  <c r="G429" i="78"/>
  <c r="G430" i="78"/>
  <c r="G431" i="78"/>
  <c r="G432" i="78"/>
  <c r="G433" i="78"/>
  <c r="G434" i="78"/>
  <c r="G435" i="78"/>
  <c r="G436" i="78"/>
  <c r="G437" i="78"/>
  <c r="G438" i="78"/>
  <c r="G439" i="78"/>
  <c r="G440" i="78"/>
  <c r="G441" i="78"/>
  <c r="G442" i="78"/>
  <c r="G443" i="78"/>
  <c r="G444" i="78"/>
  <c r="G445" i="78"/>
  <c r="G446" i="78"/>
  <c r="G447" i="78"/>
  <c r="G448" i="78"/>
  <c r="G449" i="78"/>
  <c r="G450" i="78"/>
  <c r="G451" i="78"/>
  <c r="G452" i="78"/>
  <c r="G453" i="78"/>
  <c r="G454" i="78"/>
  <c r="G455" i="78"/>
  <c r="G456" i="78"/>
  <c r="G457" i="78"/>
  <c r="G458" i="78"/>
  <c r="G459" i="78"/>
  <c r="G460" i="78"/>
  <c r="G461" i="78"/>
  <c r="G462" i="78"/>
  <c r="G463" i="78"/>
  <c r="G464" i="78"/>
  <c r="G465" i="78"/>
  <c r="G466" i="78"/>
  <c r="G467" i="78"/>
  <c r="G468" i="78"/>
  <c r="J468" i="78"/>
  <c r="G469" i="78"/>
  <c r="G470" i="78"/>
  <c r="G471" i="78"/>
  <c r="G472" i="78"/>
  <c r="G473" i="78"/>
  <c r="G474" i="78"/>
  <c r="G475" i="78"/>
  <c r="G476" i="78"/>
  <c r="G477" i="78"/>
  <c r="G478" i="78"/>
  <c r="G479" i="78"/>
  <c r="G480" i="78"/>
  <c r="G481" i="78"/>
  <c r="G482" i="78"/>
  <c r="G483" i="78"/>
  <c r="G484" i="78"/>
  <c r="G485" i="78"/>
  <c r="G486" i="78"/>
  <c r="G487" i="78"/>
  <c r="G488" i="78"/>
  <c r="G489" i="78"/>
  <c r="G490" i="78"/>
  <c r="G491" i="78"/>
  <c r="G492" i="78"/>
  <c r="G493" i="78"/>
  <c r="G494" i="78"/>
  <c r="G495" i="78"/>
  <c r="G496" i="78"/>
  <c r="G497" i="78"/>
  <c r="G498" i="78"/>
  <c r="G499" i="78"/>
  <c r="G500" i="78"/>
  <c r="G501" i="78"/>
  <c r="G502" i="78"/>
  <c r="G503" i="78"/>
  <c r="G504" i="78"/>
  <c r="G505" i="78"/>
  <c r="G506" i="78"/>
  <c r="G507" i="78"/>
  <c r="G508" i="78"/>
  <c r="G509" i="78"/>
  <c r="G510" i="78"/>
  <c r="G511" i="78"/>
  <c r="G512" i="78"/>
  <c r="G513" i="78"/>
  <c r="G514" i="78"/>
  <c r="G515" i="78"/>
  <c r="G516" i="78"/>
  <c r="G517" i="78"/>
  <c r="G518" i="78"/>
  <c r="G519" i="78"/>
  <c r="G520" i="78"/>
  <c r="G521" i="78"/>
  <c r="G522" i="78"/>
  <c r="G523" i="78"/>
  <c r="G524" i="78"/>
  <c r="G525" i="78"/>
  <c r="G526" i="78"/>
  <c r="G527" i="78"/>
  <c r="G528" i="78"/>
  <c r="G529" i="78"/>
  <c r="G530" i="78"/>
  <c r="G531" i="78"/>
  <c r="G532" i="78"/>
  <c r="G533" i="78"/>
  <c r="G534" i="78"/>
  <c r="G535" i="78"/>
  <c r="G536" i="78"/>
  <c r="G537" i="78"/>
  <c r="G538" i="78"/>
  <c r="G539" i="78"/>
  <c r="G540" i="78"/>
  <c r="G541" i="78"/>
  <c r="G542" i="78"/>
  <c r="G543" i="78"/>
  <c r="G544" i="78"/>
  <c r="G545" i="78"/>
  <c r="G546" i="78"/>
  <c r="G547" i="78"/>
  <c r="G548" i="78"/>
  <c r="G549" i="78"/>
  <c r="G550" i="78"/>
  <c r="G551" i="78"/>
  <c r="G552" i="78"/>
  <c r="G553" i="78"/>
  <c r="G554" i="78"/>
  <c r="G555" i="78"/>
  <c r="G556" i="78"/>
  <c r="G557" i="78"/>
  <c r="G558" i="78"/>
  <c r="G559" i="78"/>
  <c r="G560" i="78"/>
  <c r="G561" i="78"/>
  <c r="G562" i="78"/>
  <c r="G563" i="78"/>
  <c r="G564" i="78"/>
  <c r="G565" i="78"/>
  <c r="G566" i="78"/>
  <c r="G567" i="78"/>
  <c r="G568" i="78"/>
  <c r="J568" i="78"/>
  <c r="G2" i="77"/>
  <c r="G3" i="77"/>
  <c r="G4" i="77"/>
  <c r="G5" i="77"/>
  <c r="G6" i="77"/>
  <c r="G7" i="77"/>
  <c r="G8" i="77"/>
  <c r="G9" i="77"/>
  <c r="G10" i="77"/>
  <c r="G11" i="77"/>
  <c r="G12" i="77"/>
  <c r="G13" i="77"/>
  <c r="G14" i="77"/>
  <c r="G15" i="77"/>
  <c r="G16" i="77"/>
  <c r="G17" i="77"/>
  <c r="G18" i="77"/>
  <c r="G19" i="77"/>
  <c r="G20" i="77"/>
  <c r="G21" i="77"/>
  <c r="J21" i="77"/>
  <c r="G22" i="77"/>
  <c r="G23" i="77"/>
  <c r="G24" i="77"/>
  <c r="G25" i="77"/>
  <c r="G26" i="77"/>
  <c r="G27" i="77"/>
  <c r="G28" i="77"/>
  <c r="G29" i="77"/>
  <c r="G30" i="77"/>
  <c r="G31" i="77"/>
  <c r="G32" i="77"/>
  <c r="G33" i="77"/>
  <c r="G34" i="77"/>
  <c r="G35" i="77"/>
  <c r="G36" i="77"/>
  <c r="G37" i="77"/>
  <c r="G38" i="77"/>
  <c r="G39" i="77"/>
  <c r="G40" i="77"/>
  <c r="G41" i="77"/>
  <c r="G42" i="77"/>
  <c r="G43" i="77"/>
  <c r="G44" i="77"/>
  <c r="G45" i="77"/>
  <c r="G46" i="77"/>
  <c r="J46" i="77"/>
  <c r="G47" i="77"/>
  <c r="G48" i="77"/>
  <c r="G49" i="77"/>
  <c r="G50" i="77"/>
  <c r="G51" i="77"/>
  <c r="G52" i="77"/>
  <c r="G53" i="77"/>
  <c r="G54" i="77"/>
  <c r="G55" i="77"/>
  <c r="G56" i="77"/>
  <c r="G57" i="77"/>
  <c r="G58" i="77"/>
  <c r="G59" i="77"/>
  <c r="G60" i="77"/>
  <c r="G61" i="77"/>
  <c r="G62" i="77"/>
  <c r="G63" i="77"/>
  <c r="G64" i="77"/>
  <c r="G65" i="77"/>
  <c r="G66" i="77"/>
  <c r="G67" i="77"/>
  <c r="G68" i="77"/>
  <c r="G69" i="77"/>
  <c r="G70" i="77"/>
  <c r="G71" i="77"/>
  <c r="G72" i="77"/>
  <c r="G73" i="77"/>
  <c r="G74" i="77"/>
  <c r="G75" i="77"/>
  <c r="G76" i="77"/>
  <c r="G77" i="77"/>
  <c r="G78" i="77"/>
  <c r="J78" i="77"/>
  <c r="G79" i="77"/>
  <c r="G80" i="77"/>
  <c r="G81" i="77"/>
  <c r="G82" i="77"/>
  <c r="G83" i="77"/>
  <c r="G84" i="77"/>
  <c r="G85" i="77"/>
  <c r="G86" i="77"/>
  <c r="J86" i="77"/>
  <c r="G87" i="77"/>
  <c r="G88" i="77"/>
  <c r="G89" i="77"/>
  <c r="G90" i="77"/>
  <c r="G91" i="77"/>
  <c r="G92" i="77"/>
  <c r="G93" i="77"/>
  <c r="G94" i="77"/>
  <c r="G95" i="77"/>
  <c r="G96" i="77"/>
  <c r="G97" i="77"/>
  <c r="G98" i="77"/>
  <c r="G99" i="77"/>
  <c r="G100" i="77"/>
  <c r="G101" i="77"/>
  <c r="G102" i="77"/>
  <c r="G103" i="77"/>
  <c r="G104" i="77"/>
  <c r="G105" i="77"/>
  <c r="G106" i="77"/>
  <c r="G107" i="77"/>
  <c r="J107" i="77"/>
  <c r="G108" i="77"/>
  <c r="G109" i="77"/>
  <c r="G110" i="77"/>
  <c r="G111" i="77"/>
  <c r="G112" i="77"/>
  <c r="G113" i="77"/>
  <c r="G114" i="77"/>
  <c r="G115" i="77"/>
  <c r="G116" i="77"/>
  <c r="G117" i="77"/>
  <c r="G118" i="77"/>
  <c r="G119" i="77"/>
  <c r="G120" i="77"/>
  <c r="G121" i="77"/>
  <c r="G122" i="77"/>
  <c r="G123" i="77"/>
  <c r="G124" i="77"/>
  <c r="G125" i="77"/>
  <c r="G126" i="77"/>
  <c r="G127" i="77"/>
  <c r="G128" i="77"/>
  <c r="G129" i="77"/>
  <c r="G130" i="77"/>
  <c r="G131" i="77"/>
  <c r="G132" i="77"/>
  <c r="G133" i="77"/>
  <c r="G134" i="77"/>
  <c r="G135" i="77"/>
  <c r="G136" i="77"/>
  <c r="G137" i="77"/>
  <c r="G138" i="77"/>
  <c r="G139" i="77"/>
  <c r="G140" i="77"/>
  <c r="G141" i="77"/>
  <c r="G142" i="77"/>
  <c r="G143" i="77"/>
  <c r="G144" i="77"/>
  <c r="G145" i="77"/>
  <c r="G146" i="77"/>
  <c r="G147" i="77"/>
  <c r="G148" i="77"/>
  <c r="G149" i="77"/>
  <c r="G150" i="77"/>
  <c r="G151" i="77"/>
  <c r="G152" i="77"/>
  <c r="G153" i="77"/>
  <c r="G154" i="77"/>
  <c r="G155" i="77"/>
  <c r="G156" i="77"/>
  <c r="G157" i="77"/>
  <c r="G158" i="77"/>
  <c r="G159" i="77"/>
  <c r="G160" i="77"/>
  <c r="J160" i="77"/>
  <c r="G161" i="77"/>
  <c r="G162" i="77"/>
  <c r="G163" i="77"/>
  <c r="G164" i="77"/>
  <c r="G165" i="77"/>
  <c r="G166" i="77"/>
  <c r="G167" i="77"/>
  <c r="G168" i="77"/>
  <c r="G169" i="77"/>
  <c r="G170" i="77"/>
  <c r="G171" i="77"/>
  <c r="G172" i="77"/>
  <c r="G173" i="77"/>
  <c r="G174" i="77"/>
  <c r="G175" i="77"/>
  <c r="G176" i="77"/>
  <c r="G177" i="77"/>
  <c r="G178" i="77"/>
  <c r="G179" i="77"/>
  <c r="G180" i="77"/>
  <c r="G181" i="77"/>
  <c r="G182" i="77"/>
  <c r="G183" i="77"/>
  <c r="G184" i="77"/>
  <c r="G185" i="77"/>
  <c r="G186" i="77"/>
  <c r="G187" i="77"/>
  <c r="G188" i="77"/>
  <c r="G189" i="77"/>
  <c r="G190" i="77"/>
  <c r="G191" i="77"/>
  <c r="G192" i="77"/>
  <c r="G193" i="77"/>
  <c r="G194" i="77"/>
  <c r="G195" i="77"/>
  <c r="G196" i="77"/>
  <c r="G197" i="77"/>
  <c r="G198" i="77"/>
  <c r="G199" i="77"/>
  <c r="G200" i="77"/>
  <c r="G201" i="77"/>
  <c r="G202" i="77"/>
  <c r="G203" i="77"/>
  <c r="G204" i="77"/>
  <c r="G205" i="77"/>
  <c r="G206" i="77"/>
  <c r="J206" i="77"/>
  <c r="F20" i="6" l="1"/>
  <c r="D3" i="4"/>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10" i="1"/>
  <c r="AP11" i="1"/>
  <c r="AP12" i="1"/>
  <c r="AP13" i="1"/>
  <c r="L21" i="6"/>
  <c r="L22" i="6"/>
  <c r="L23" i="6"/>
  <c r="L24" i="6"/>
  <c r="L25" i="6"/>
  <c r="L26" i="6"/>
  <c r="P27" i="6"/>
  <c r="A7" i="70"/>
  <c r="A8" i="70"/>
  <c r="E8" i="70"/>
  <c r="A9" i="70"/>
  <c r="E9" i="70"/>
  <c r="A10" i="70"/>
  <c r="A11" i="70"/>
  <c r="E11" i="70"/>
  <c r="A12" i="70"/>
  <c r="A13" i="70"/>
  <c r="A6" i="70"/>
  <c r="Q25" i="40"/>
  <c r="Z25" i="40"/>
  <c r="D94" i="40"/>
  <c r="E94" i="40"/>
  <c r="F25" i="40"/>
  <c r="AA25" i="40"/>
  <c r="Z29" i="39"/>
  <c r="Q29" i="39"/>
  <c r="D103" i="39"/>
  <c r="E103"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AB19" i="21" s="1"/>
  <c r="D83" i="21"/>
  <c r="F21" i="21"/>
  <c r="AA21" i="21" s="1"/>
  <c r="D81" i="21"/>
  <c r="G20" i="20"/>
  <c r="B86" i="43"/>
  <c r="C22" i="20"/>
  <c r="B75" i="43" s="1"/>
  <c r="B55" i="43"/>
  <c r="C25" i="40"/>
  <c r="S25" i="40"/>
  <c r="S18" i="36"/>
  <c r="U18" i="36"/>
  <c r="S21" i="34"/>
  <c r="F94" i="40"/>
  <c r="H25" i="40"/>
  <c r="G94" i="40"/>
  <c r="J25" i="40"/>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C7" i="69"/>
  <c r="AC21" i="37"/>
  <c r="W21" i="37"/>
  <c r="AC21" i="34"/>
  <c r="W21" i="34"/>
  <c r="AC21" i="33"/>
  <c r="W21" i="33"/>
  <c r="AB21" i="21"/>
  <c r="G83" i="21"/>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3" i="1"/>
  <c r="D6" i="1"/>
  <c r="D9" i="1"/>
  <c r="D10" i="1"/>
  <c r="D11" i="1"/>
  <c r="D12" i="1"/>
  <c r="D13" i="1"/>
  <c r="D7" i="1"/>
  <c r="D8" i="1"/>
  <c r="A7" i="1"/>
  <c r="B7" i="1" s="1"/>
  <c r="E7" i="1" s="1"/>
  <c r="A8" i="1"/>
  <c r="B8" i="1" s="1"/>
  <c r="E8" i="1" s="1"/>
  <c r="A9" i="1"/>
  <c r="A10" i="1"/>
  <c r="F3" i="35"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c r="B13" i="53"/>
  <c r="B29" i="72"/>
  <c r="R35" i="4"/>
  <c r="Q35" i="4"/>
  <c r="P35" i="4"/>
  <c r="O35" i="4"/>
  <c r="N35" i="4"/>
  <c r="M35" i="4"/>
  <c r="L35" i="4"/>
  <c r="K34" i="4"/>
  <c r="T34" i="4"/>
  <c r="G13" i="1"/>
  <c r="G11" i="1"/>
  <c r="I15" i="4"/>
  <c r="H15" i="4"/>
  <c r="G15" i="4"/>
  <c r="F12" i="1" s="1"/>
  <c r="G12" i="1" s="1"/>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c r="F26" i="21"/>
  <c r="S26" i="21" s="1"/>
  <c r="AB41" i="21"/>
  <c r="S41" i="21"/>
  <c r="AA41" i="21"/>
  <c r="F45" i="39"/>
  <c r="S45" i="39"/>
  <c r="J45" i="39"/>
  <c r="W45" i="39"/>
  <c r="J44" i="39"/>
  <c r="AC44" i="39"/>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19" i="39"/>
  <c r="AC19" i="39" s="1"/>
  <c r="J17" i="39"/>
  <c r="J27" i="39"/>
  <c r="AC27" i="39" s="1"/>
  <c r="F27" i="39"/>
  <c r="S27" i="39" s="1"/>
  <c r="F11" i="21"/>
  <c r="S11" i="21" s="1"/>
  <c r="U34" i="21"/>
  <c r="S34" i="21"/>
  <c r="C27"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c r="F28" i="21"/>
  <c r="AA28" i="21"/>
  <c r="J28" i="21"/>
  <c r="W28" i="21"/>
  <c r="H30" i="21"/>
  <c r="U30" i="21"/>
  <c r="F30" i="21"/>
  <c r="S30" i="21"/>
  <c r="J30" i="21"/>
  <c r="AC30" i="21"/>
  <c r="J44" i="21"/>
  <c r="AC44" i="21" s="1"/>
  <c r="H44" i="21"/>
  <c r="U44" i="21" s="1"/>
  <c r="F44" i="21"/>
  <c r="AA44" i="21" s="1"/>
  <c r="H46" i="21"/>
  <c r="U46" i="21" s="1"/>
  <c r="J46" i="21"/>
  <c r="W46" i="21" s="1"/>
  <c r="F46" i="21"/>
  <c r="AA46"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43" i="39"/>
  <c r="AB45" i="39"/>
  <c r="U44" i="39"/>
  <c r="G101" i="39"/>
  <c r="H37" i="39"/>
  <c r="AB37" i="39" s="1"/>
  <c r="AC37" i="39"/>
  <c r="W37" i="39"/>
  <c r="H25" i="39"/>
  <c r="AB25" i="39" s="1"/>
  <c r="F25" i="39"/>
  <c r="AA25" i="39" s="1"/>
  <c r="F15" i="39"/>
  <c r="AA15" i="39" s="1"/>
  <c r="H15" i="39"/>
  <c r="U15" i="39"/>
  <c r="J15" i="39"/>
  <c r="W15" i="39" s="1"/>
  <c r="H41" i="39"/>
  <c r="AB41" i="39" s="1"/>
  <c r="W27" i="39"/>
  <c r="AB34" i="39"/>
  <c r="S42" i="39"/>
  <c r="W14" i="39"/>
  <c r="W9" i="39"/>
  <c r="W8" i="39"/>
  <c r="J19" i="40"/>
  <c r="AC19" i="40"/>
  <c r="J50" i="40"/>
  <c r="B54" i="72"/>
  <c r="H103" i="9"/>
  <c r="D8" i="53" s="1"/>
  <c r="B16" i="53"/>
  <c r="B33" i="72"/>
  <c r="C7" i="37"/>
  <c r="C7" i="34"/>
  <c r="C7" i="36"/>
  <c r="W35" i="40"/>
  <c r="A118" i="9"/>
  <c r="A4" i="52"/>
  <c r="B41" i="72"/>
  <c r="A12" i="52"/>
  <c r="B56" i="72"/>
  <c r="G4" i="4"/>
  <c r="I4" i="4"/>
  <c r="K5" i="4" s="1"/>
  <c r="B47" i="48" s="1"/>
  <c r="A2" i="9"/>
  <c r="F59" i="43"/>
  <c r="H62"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12"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AC35"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35" i="3"/>
  <c r="AZ41" i="3"/>
  <c r="B12" i="1"/>
  <c r="E12" i="1" s="1"/>
  <c r="B10" i="1"/>
  <c r="E10" i="1"/>
  <c r="D1" i="66"/>
  <c r="E10" i="66"/>
  <c r="AZ80" i="3"/>
  <c r="AZ84" i="3"/>
  <c r="AZ88" i="3"/>
  <c r="AZ107" i="3"/>
  <c r="AZ111" i="3"/>
  <c r="K12"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S43" i="39"/>
  <c r="S37" i="39"/>
  <c r="U35" i="39"/>
  <c r="F32" i="39"/>
  <c r="S32" i="39" s="1"/>
  <c r="U31" i="39"/>
  <c r="J21" i="39"/>
  <c r="F21" i="39"/>
  <c r="S21" i="39" s="1"/>
  <c r="H21" i="39"/>
  <c r="AB21" i="39" s="1"/>
  <c r="U19" i="39"/>
  <c r="S17" i="39"/>
  <c r="AC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AB39" i="21"/>
  <c r="S39" i="21"/>
  <c r="AA38" i="21"/>
  <c r="AA36" i="21"/>
  <c r="J15" i="21"/>
  <c r="W15" i="21" s="1"/>
  <c r="F23" i="21"/>
  <c r="S23" i="21"/>
  <c r="E85" i="21"/>
  <c r="AC11" i="21"/>
  <c r="AA14" i="21"/>
  <c r="AB8" i="21"/>
  <c r="S8" i="21"/>
  <c r="M3" i="43"/>
  <c r="M1" i="43"/>
  <c r="N8" i="43"/>
  <c r="D120" i="9"/>
  <c r="D121" i="9" s="1"/>
  <c r="D7" i="52" s="1"/>
  <c r="F34" i="67"/>
  <c r="F62" i="67" s="1"/>
  <c r="M20" i="67"/>
  <c r="F34" i="15"/>
  <c r="F62" i="15" s="1"/>
  <c r="G13" i="3"/>
  <c r="BA13" i="3"/>
  <c r="AZ13" i="3" s="1"/>
  <c r="BL17" i="3"/>
  <c r="AZ17" i="3" s="1"/>
  <c r="BL13" i="3"/>
  <c r="J56" i="9"/>
  <c r="J57" i="9" s="1"/>
  <c r="J59" i="9" s="1"/>
  <c r="J61" i="9" s="1"/>
  <c r="A24" i="51"/>
  <c r="B18" i="72"/>
  <c r="U29" i="34"/>
  <c r="E5" i="6"/>
  <c r="D19" i="12" s="1"/>
  <c r="C19" i="12" s="1"/>
  <c r="E32" i="6"/>
  <c r="L19" i="6" s="1"/>
  <c r="G1" i="68"/>
  <c r="K1" i="12"/>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H66" i="43"/>
  <c r="H65" i="43"/>
  <c r="H64" i="43"/>
  <c r="H63" i="43"/>
  <c r="H55" i="43"/>
  <c r="H56" i="43"/>
  <c r="H72" i="43"/>
  <c r="L20" i="6"/>
  <c r="B6" i="1"/>
  <c r="E6"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AA14" i="39"/>
  <c r="U43" i="39"/>
  <c r="AB43"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AA26" i="21"/>
  <c r="AB14" i="21"/>
  <c r="AB46" i="21"/>
  <c r="AB31" i="21"/>
  <c r="U31" i="21"/>
  <c r="U13" i="21"/>
  <c r="AB13" i="21"/>
  <c r="W8" i="21"/>
  <c r="H15" i="21"/>
  <c r="U15" i="21" s="1"/>
  <c r="J17" i="21"/>
  <c r="AC17" i="21" s="1"/>
  <c r="W39" i="21"/>
  <c r="AC14" i="21"/>
  <c r="W30" i="21"/>
  <c r="S46" i="21"/>
  <c r="H45" i="21"/>
  <c r="U45" i="21"/>
  <c r="F29" i="21"/>
  <c r="S29" i="21" s="1"/>
  <c r="F13" i="21"/>
  <c r="AA13" i="21" s="1"/>
  <c r="H32" i="21"/>
  <c r="AB32" i="21" s="1"/>
  <c r="H9" i="21"/>
  <c r="AB9" i="21" s="1"/>
  <c r="J9" i="21"/>
  <c r="J32" i="21"/>
  <c r="AC32" i="21" s="1"/>
  <c r="F32" i="21"/>
  <c r="AA32" i="21" s="1"/>
  <c r="AA31" i="21"/>
  <c r="K141" i="21"/>
  <c r="K144" i="21"/>
  <c r="K143" i="21"/>
  <c r="U27" i="21"/>
  <c r="AB25" i="21"/>
  <c r="AB44" i="21"/>
  <c r="AA30" i="21"/>
  <c r="W13" i="21"/>
  <c r="AC45" i="21"/>
  <c r="F10" i="21"/>
  <c r="AA10" i="21" s="1"/>
  <c r="K145" i="21"/>
  <c r="W25" i="21"/>
  <c r="W31" i="21"/>
  <c r="S27" i="21"/>
  <c r="AA15" i="21"/>
  <c r="AC26" i="21"/>
  <c r="AB29" i="21"/>
  <c r="S28" i="21"/>
  <c r="AC34" i="21"/>
  <c r="W10" i="21"/>
  <c r="W12" i="21"/>
  <c r="AB36" i="21"/>
  <c r="W30" i="40"/>
  <c r="C15" i="40"/>
  <c r="C23" i="40"/>
  <c r="U30" i="40"/>
  <c r="B65" i="43"/>
  <c r="B52" i="43"/>
  <c r="B60" i="43"/>
  <c r="B67" i="43"/>
  <c r="D23" i="15"/>
  <c r="D22" i="15"/>
  <c r="E4" i="4"/>
  <c r="B5" i="62" s="1"/>
  <c r="B73" i="72" s="1"/>
  <c r="C4" i="4"/>
  <c r="M6" i="1"/>
  <c r="O6" i="1" s="1"/>
  <c r="E7" i="70"/>
  <c r="AA39" i="40"/>
  <c r="S39" i="40"/>
  <c r="S12" i="33"/>
  <c r="AA12" i="33"/>
  <c r="J32" i="39"/>
  <c r="W32" i="39" s="1"/>
  <c r="H32" i="39"/>
  <c r="AA32" i="39"/>
  <c r="AA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A23" i="21"/>
  <c r="J23" i="21"/>
  <c r="AC23" i="21" s="1"/>
  <c r="F85" i="21"/>
  <c r="G85" i="21"/>
  <c r="H23" i="21"/>
  <c r="AB23" i="21" s="1"/>
  <c r="S13" i="21"/>
  <c r="D6" i="52"/>
  <c r="R22" i="31"/>
  <c r="AB45" i="21"/>
  <c r="W9" i="21"/>
  <c r="AC9" i="21"/>
  <c r="U32" i="21"/>
  <c r="S10" i="21"/>
  <c r="E6" i="70"/>
  <c r="A18" i="62"/>
  <c r="B64" i="72" s="1"/>
  <c r="U32" i="39"/>
  <c r="AB32" i="39"/>
  <c r="AC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W23" i="21"/>
  <c r="AC11" i="37"/>
  <c r="W11" i="37"/>
  <c r="W11" i="34"/>
  <c r="AC11" i="34"/>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68" i="39"/>
  <c r="F68" i="39" s="1"/>
  <c r="V15" i="71"/>
  <c r="C15" i="71"/>
  <c r="D16" i="71"/>
  <c r="E41" i="43"/>
  <c r="C41" i="43"/>
  <c r="I59" i="34"/>
  <c r="J59" i="34" s="1"/>
  <c r="D13" i="71"/>
  <c r="T15" i="71"/>
  <c r="D14" i="71"/>
  <c r="D15" i="71"/>
  <c r="U15" i="71"/>
  <c r="F43" i="85"/>
  <c r="M29" i="85"/>
  <c r="F7" i="85"/>
  <c r="F42" i="67"/>
  <c r="M6" i="15"/>
  <c r="L47" i="67"/>
  <c r="F8" i="67"/>
  <c r="F38" i="15"/>
  <c r="F36" i="67"/>
  <c r="F9" i="67"/>
  <c r="E8" i="76"/>
  <c r="D2" i="21"/>
  <c r="M26" i="15"/>
  <c r="F20" i="31"/>
  <c r="AE12" i="1"/>
  <c r="F26" i="67"/>
  <c r="M29" i="67"/>
  <c r="M23" i="15"/>
  <c r="E12" i="76"/>
  <c r="F13" i="67"/>
  <c r="B7" i="76"/>
  <c r="D2" i="37"/>
  <c r="D3" i="73"/>
  <c r="AO9" i="1"/>
  <c r="E11" i="76"/>
  <c r="B12" i="76"/>
  <c r="E2" i="68"/>
  <c r="M24" i="15"/>
  <c r="C76" i="67"/>
  <c r="E10" i="76"/>
  <c r="M9" i="67"/>
  <c r="M28" i="67"/>
  <c r="E13" i="76"/>
  <c r="E9" i="76"/>
  <c r="F6" i="67"/>
  <c r="F37" i="15"/>
  <c r="D2" i="36"/>
  <c r="M28" i="15"/>
  <c r="M27" i="15"/>
  <c r="M27" i="67"/>
  <c r="E7" i="76"/>
  <c r="F5" i="73"/>
  <c r="B9" i="76"/>
  <c r="M22" i="67"/>
  <c r="F7" i="73"/>
  <c r="F16" i="67"/>
  <c r="F8" i="15"/>
  <c r="M8" i="15"/>
  <c r="F43" i="67"/>
  <c r="F40" i="67"/>
  <c r="M9" i="15"/>
  <c r="F7" i="67"/>
  <c r="AO6" i="1"/>
  <c r="F42" i="15"/>
  <c r="F6" i="15"/>
  <c r="M8" i="67"/>
  <c r="F26" i="15"/>
  <c r="F9" i="15"/>
  <c r="F37" i="67"/>
  <c r="L48" i="67"/>
  <c r="D7" i="73"/>
  <c r="B10" i="76"/>
  <c r="B13" i="76"/>
  <c r="D2" i="33"/>
  <c r="M26" i="67"/>
  <c r="B8" i="76"/>
  <c r="M24" i="67"/>
  <c r="D2" i="34"/>
  <c r="E2" i="69"/>
  <c r="D4" i="73"/>
  <c r="AE13" i="1"/>
  <c r="J15" i="67"/>
  <c r="J15" i="15"/>
  <c r="F16" i="15"/>
  <c r="M23" i="67"/>
  <c r="F36" i="15"/>
  <c r="F3" i="73"/>
  <c r="F41" i="67"/>
  <c r="AO7" i="1"/>
  <c r="M22" i="15"/>
  <c r="C76" i="15"/>
  <c r="F6" i="73"/>
  <c r="F13" i="15"/>
  <c r="AO11" i="1"/>
  <c r="B11" i="76"/>
  <c r="L48" i="15"/>
  <c r="AO8" i="1"/>
  <c r="D2" i="35"/>
  <c r="M6" i="67"/>
  <c r="F38" i="67"/>
  <c r="F40" i="15"/>
  <c r="D5" i="73"/>
  <c r="D6" i="73"/>
  <c r="F4" i="73"/>
  <c r="L47" i="15"/>
  <c r="BA29" i="3" l="1"/>
  <c r="AZ29" i="3" s="1"/>
  <c r="C6" i="85"/>
  <c r="M7" i="85"/>
  <c r="F31" i="85"/>
  <c r="F50" i="85"/>
  <c r="F71" i="85"/>
  <c r="M12" i="1"/>
  <c r="M20" i="15"/>
  <c r="F34" i="84"/>
  <c r="F62" i="84" s="1"/>
  <c r="M20" i="84"/>
  <c r="P61" i="15"/>
  <c r="W17" i="21"/>
  <c r="U17" i="21"/>
  <c r="C18" i="9"/>
  <c r="D18" i="9" s="1"/>
  <c r="F29" i="39"/>
  <c r="AA29" i="39" s="1"/>
  <c r="H29" i="39"/>
  <c r="J29" i="39"/>
  <c r="W29" i="39" s="1"/>
  <c r="F103" i="39"/>
  <c r="G103" i="39" s="1"/>
  <c r="U25" i="39"/>
  <c r="J25" i="39"/>
  <c r="H11" i="39"/>
  <c r="J11" i="39"/>
  <c r="W11" i="39" s="1"/>
  <c r="F81" i="39"/>
  <c r="G81" i="39" s="1"/>
  <c r="H81" i="39" s="1"/>
  <c r="I81" i="39" s="1"/>
  <c r="J81" i="39" s="1"/>
  <c r="K81" i="39" s="1"/>
  <c r="L81" i="39" s="1"/>
  <c r="M81" i="39" s="1"/>
  <c r="F11" i="39"/>
  <c r="AA11" i="39" s="1"/>
  <c r="U41" i="39"/>
  <c r="U21" i="39"/>
  <c r="S23" i="39"/>
  <c r="W23" i="39"/>
  <c r="S25" i="39"/>
  <c r="U40" i="39"/>
  <c r="W42" i="39"/>
  <c r="AA41" i="39"/>
  <c r="W39" i="39"/>
  <c r="AC41" i="39"/>
  <c r="AA39" i="39"/>
  <c r="S29" i="39"/>
  <c r="AA27" i="39"/>
  <c r="AB27" i="39"/>
  <c r="AB23" i="39"/>
  <c r="W19" i="39"/>
  <c r="S15" i="39"/>
  <c r="K10" i="1"/>
  <c r="K13" i="1"/>
  <c r="E8" i="6"/>
  <c r="E11" i="6"/>
  <c r="E61" i="39" s="1"/>
  <c r="AZ30" i="3"/>
  <c r="AP7" i="1"/>
  <c r="E51" i="40"/>
  <c r="E14" i="6"/>
  <c r="E64" i="39" s="1"/>
  <c r="E10" i="6"/>
  <c r="E57" i="40"/>
  <c r="E62" i="39"/>
  <c r="M8" i="1"/>
  <c r="AP8" i="1"/>
  <c r="AP9" i="1"/>
  <c r="F19" i="21"/>
  <c r="AC19" i="21"/>
  <c r="F17" i="21"/>
  <c r="AB15" i="21"/>
  <c r="W41" i="21"/>
  <c r="H113" i="21"/>
  <c r="H37" i="21"/>
  <c r="F37" i="21"/>
  <c r="AA37" i="21" s="1"/>
  <c r="J37" i="21"/>
  <c r="W37" i="21" s="1"/>
  <c r="AC38" i="21"/>
  <c r="W42" i="21"/>
  <c r="S37" i="21"/>
  <c r="AA43" i="21"/>
  <c r="AC37" i="21"/>
  <c r="S35" i="21"/>
  <c r="W32" i="21"/>
  <c r="U40" i="21"/>
  <c r="AC40" i="21"/>
  <c r="S40" i="21"/>
  <c r="AB38" i="21"/>
  <c r="U35" i="21"/>
  <c r="S32" i="21"/>
  <c r="AA11" i="21"/>
  <c r="W27" i="21"/>
  <c r="AC27" i="21"/>
  <c r="AC29" i="21"/>
  <c r="W29" i="21"/>
  <c r="AA29" i="21"/>
  <c r="U23" i="21"/>
  <c r="S21" i="21"/>
  <c r="AC15" i="21"/>
  <c r="U10" i="21"/>
  <c r="AA9" i="21"/>
  <c r="S9" i="21"/>
  <c r="U9" i="21"/>
  <c r="S40" i="39"/>
  <c r="W40" i="39"/>
  <c r="AC11" i="39"/>
  <c r="S11" i="39"/>
  <c r="U9" i="39"/>
  <c r="AB8" i="39"/>
  <c r="U37" i="39"/>
  <c r="C92" i="9"/>
  <c r="C94" i="9"/>
  <c r="F54" i="9"/>
  <c r="F28" i="15"/>
  <c r="C28" i="15" s="1"/>
  <c r="F31" i="12"/>
  <c r="M18" i="67"/>
  <c r="F30" i="68"/>
  <c r="C24" i="12"/>
  <c r="D68" i="9"/>
  <c r="M18" i="15"/>
  <c r="F32" i="15"/>
  <c r="F60" i="15" s="1"/>
  <c r="F30" i="69"/>
  <c r="F32" i="67"/>
  <c r="F60" i="67" s="1"/>
  <c r="F52" i="9"/>
  <c r="F28" i="67"/>
  <c r="C28" i="67" s="1"/>
  <c r="F30" i="11"/>
  <c r="F53" i="9"/>
  <c r="C21" i="69"/>
  <c r="D22" i="67"/>
  <c r="F29" i="6"/>
  <c r="E29" i="6" s="1"/>
  <c r="K15" i="1" s="1"/>
  <c r="L27" i="6"/>
  <c r="AZ15" i="3"/>
  <c r="BL5" i="3"/>
  <c r="E15" i="6"/>
  <c r="E60" i="40" s="1"/>
  <c r="AZ22" i="3"/>
  <c r="F30" i="6"/>
  <c r="AZ14" i="3"/>
  <c r="E13" i="6"/>
  <c r="E28" i="6"/>
  <c r="G30" i="6"/>
  <c r="G31" i="6" s="1"/>
  <c r="AZ18" i="3"/>
  <c r="BA5" i="3"/>
  <c r="G5" i="3"/>
  <c r="B3" i="3" s="1"/>
  <c r="E311" i="3" s="1"/>
  <c r="E59" i="40"/>
  <c r="D9" i="11"/>
  <c r="C9" i="11" s="1"/>
  <c r="D9" i="69"/>
  <c r="C9" i="69" s="1"/>
  <c r="D9" i="68"/>
  <c r="C9" i="68" s="1"/>
  <c r="B113" i="43"/>
  <c r="K101" i="43"/>
  <c r="N101" i="43"/>
  <c r="G101" i="43"/>
  <c r="C101" i="43"/>
  <c r="J101" i="43"/>
  <c r="N104" i="46"/>
  <c r="H22" i="43"/>
  <c r="D101" i="43"/>
  <c r="I101" i="43"/>
  <c r="G22" i="43"/>
  <c r="F22" i="43"/>
  <c r="F101" i="43"/>
  <c r="E22" i="43"/>
  <c r="L101" i="43"/>
  <c r="H101" i="43"/>
  <c r="M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P6" i="1"/>
  <c r="O9" i="1"/>
  <c r="P9" i="1" s="1"/>
  <c r="O11" i="1"/>
  <c r="P11" i="1" s="1"/>
  <c r="O8" i="1"/>
  <c r="P7" i="1"/>
  <c r="G17" i="43"/>
  <c r="C16" i="43" s="1"/>
  <c r="D5" i="43" s="1"/>
  <c r="C21" i="40"/>
  <c r="C17" i="40"/>
  <c r="C29" i="39"/>
  <c r="B66" i="43"/>
  <c r="B63" i="43"/>
  <c r="B56" i="43"/>
  <c r="B49" i="43"/>
  <c r="B54" i="43"/>
  <c r="C19" i="39"/>
  <c r="C21" i="39"/>
  <c r="C25" i="39"/>
  <c r="E70" i="39"/>
  <c r="F70" i="39"/>
  <c r="G68" i="39"/>
  <c r="G16" i="1"/>
  <c r="F10" i="39" s="1"/>
  <c r="D23" i="67"/>
  <c r="G25" i="12"/>
  <c r="G41" i="11"/>
  <c r="G27" i="12"/>
  <c r="G41" i="68"/>
  <c r="K59" i="34"/>
  <c r="L59" i="34" s="1"/>
  <c r="M59" i="34" s="1"/>
  <c r="N59" i="34" s="1"/>
  <c r="O59" i="34" s="1"/>
  <c r="F7"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D10" i="71"/>
  <c r="C9" i="71"/>
  <c r="Y11" i="71"/>
  <c r="Z11" i="71" s="1"/>
  <c r="Y10" i="71"/>
  <c r="AA11" i="71"/>
  <c r="AB3" i="71"/>
  <c r="B11" i="71"/>
  <c r="B10" i="71" s="1"/>
  <c r="B9" i="71" s="1"/>
  <c r="B8" i="71" s="1"/>
  <c r="B7" i="71" s="1"/>
  <c r="B6" i="71" s="1"/>
  <c r="B5" i="71" s="1"/>
  <c r="X11" i="71"/>
  <c r="AB11" i="71"/>
  <c r="Z10" i="71"/>
  <c r="Y3" i="71"/>
  <c r="Z3" i="71" s="1"/>
  <c r="D11" i="71"/>
  <c r="F11" i="71"/>
  <c r="F10" i="71" s="1"/>
  <c r="F9" i="71" s="1"/>
  <c r="F8" i="71" s="1"/>
  <c r="F7" i="71" s="1"/>
  <c r="F6" i="71" s="1"/>
  <c r="F5" i="71" s="1"/>
  <c r="AF3" i="71"/>
  <c r="P22" i="43" s="1"/>
  <c r="C6" i="67"/>
  <c r="Q71" i="15"/>
  <c r="B6" i="70"/>
  <c r="J57" i="15"/>
  <c r="J55" i="15" s="1"/>
  <c r="J58" i="15" s="1"/>
  <c r="Q50" i="15" s="1"/>
  <c r="I54" i="15"/>
  <c r="K1" i="73"/>
  <c r="B20" i="31"/>
  <c r="B21" i="31" s="1"/>
  <c r="I1" i="73"/>
  <c r="B39" i="1" s="1"/>
  <c r="F51" i="67"/>
  <c r="F65" i="67"/>
  <c r="J57" i="67"/>
  <c r="J55" i="67" s="1"/>
  <c r="J58" i="67" s="1"/>
  <c r="Q50" i="67" s="1"/>
  <c r="L56" i="67"/>
  <c r="I54" i="67"/>
  <c r="F51" i="15"/>
  <c r="B7" i="70"/>
  <c r="F69" i="67"/>
  <c r="F66" i="67"/>
  <c r="B11" i="70"/>
  <c r="N59" i="15"/>
  <c r="L58" i="15"/>
  <c r="B8" i="70"/>
  <c r="F66" i="15"/>
  <c r="Q71" i="67"/>
  <c r="F64" i="15"/>
  <c r="F70" i="67"/>
  <c r="C27" i="67"/>
  <c r="F71" i="67"/>
  <c r="C27" i="15"/>
  <c r="F65" i="15"/>
  <c r="B9" i="70"/>
  <c r="N59" i="67"/>
  <c r="L59" i="67"/>
  <c r="L58" i="67"/>
  <c r="M7" i="67"/>
  <c r="J6" i="67" s="1"/>
  <c r="F50" i="67"/>
  <c r="F68" i="67"/>
  <c r="F64" i="67"/>
  <c r="F68" i="15"/>
  <c r="M29" i="84"/>
  <c r="F43" i="84"/>
  <c r="C16" i="85"/>
  <c r="F7" i="15"/>
  <c r="F43" i="15"/>
  <c r="M29" i="15"/>
  <c r="C16" i="67"/>
  <c r="G1" i="73"/>
  <c r="C14" i="67"/>
  <c r="C17" i="67"/>
  <c r="F71" i="15" l="1"/>
  <c r="F31" i="15"/>
  <c r="F50" i="15"/>
  <c r="C6" i="15"/>
  <c r="M7" i="15"/>
  <c r="J6" i="15" s="1"/>
  <c r="F71" i="84"/>
  <c r="M10" i="1"/>
  <c r="O12" i="1"/>
  <c r="P12" i="1" s="1"/>
  <c r="F59" i="85"/>
  <c r="C49" i="85"/>
  <c r="M17" i="85"/>
  <c r="J6" i="85"/>
  <c r="M13" i="1"/>
  <c r="C33" i="85"/>
  <c r="C32" i="85"/>
  <c r="F11" i="85"/>
  <c r="M11" i="85"/>
  <c r="J10" i="85" s="1"/>
  <c r="J5" i="85" s="1"/>
  <c r="F11" i="84"/>
  <c r="M11" i="84"/>
  <c r="J10" i="84" s="1"/>
  <c r="J5" i="84" s="1"/>
  <c r="AC29" i="39"/>
  <c r="U29" i="39"/>
  <c r="AB29" i="39"/>
  <c r="W25" i="39"/>
  <c r="AC25" i="39"/>
  <c r="AB11" i="39"/>
  <c r="U11" i="39"/>
  <c r="H16" i="1"/>
  <c r="Q16" i="1"/>
  <c r="F27" i="69" s="1"/>
  <c r="C47" i="69" s="1"/>
  <c r="D45" i="69" s="1"/>
  <c r="E56" i="40"/>
  <c r="E286" i="3"/>
  <c r="E361" i="3"/>
  <c r="C36" i="69"/>
  <c r="E262" i="3"/>
  <c r="E16" i="6"/>
  <c r="AZ5" i="3"/>
  <c r="AY6" i="3" s="1"/>
  <c r="F27" i="6"/>
  <c r="F31" i="6" s="1"/>
  <c r="E56" i="39"/>
  <c r="E53" i="3"/>
  <c r="C33" i="21"/>
  <c r="AA19" i="21"/>
  <c r="S19" i="21"/>
  <c r="AA17" i="21"/>
  <c r="S17" i="21"/>
  <c r="U37" i="21"/>
  <c r="AB37" i="21"/>
  <c r="F48" i="68"/>
  <c r="C30" i="68"/>
  <c r="C48" i="68"/>
  <c r="C30" i="11"/>
  <c r="C48" i="11"/>
  <c r="F48" i="69"/>
  <c r="C30" i="69"/>
  <c r="C48" i="69"/>
  <c r="C29" i="69"/>
  <c r="D27" i="69" s="1"/>
  <c r="U6" i="3"/>
  <c r="E89" i="3"/>
  <c r="E385" i="3"/>
  <c r="AB6" i="3"/>
  <c r="E567" i="3"/>
  <c r="E585" i="3"/>
  <c r="E224" i="3"/>
  <c r="E236" i="3"/>
  <c r="E423" i="3"/>
  <c r="E569" i="3"/>
  <c r="E335" i="3"/>
  <c r="E570" i="3"/>
  <c r="E227" i="3"/>
  <c r="E305" i="3"/>
  <c r="Z6" i="3"/>
  <c r="E575" i="3"/>
  <c r="E193" i="3"/>
  <c r="E45" i="3"/>
  <c r="E269" i="3"/>
  <c r="E136" i="3"/>
  <c r="E296" i="3"/>
  <c r="AI6" i="3"/>
  <c r="E229" i="3"/>
  <c r="E239" i="3"/>
  <c r="E528" i="3"/>
  <c r="E387" i="3"/>
  <c r="M6" i="3"/>
  <c r="E514" i="3"/>
  <c r="E165" i="3"/>
  <c r="E461" i="3"/>
  <c r="E347" i="3"/>
  <c r="E530" i="3"/>
  <c r="R6" i="3"/>
  <c r="E542" i="3"/>
  <c r="E499" i="3"/>
  <c r="AD6" i="3"/>
  <c r="E312" i="3"/>
  <c r="E133" i="3"/>
  <c r="E177" i="3"/>
  <c r="E277" i="3"/>
  <c r="E120" i="3"/>
  <c r="E122" i="3"/>
  <c r="E148" i="3"/>
  <c r="E156" i="3"/>
  <c r="E196" i="3"/>
  <c r="E244" i="3"/>
  <c r="E382" i="3"/>
  <c r="E578" i="3"/>
  <c r="E518" i="3"/>
  <c r="E151" i="3"/>
  <c r="E396" i="3"/>
  <c r="E516" i="3"/>
  <c r="E503" i="3"/>
  <c r="E183" i="3"/>
  <c r="E261" i="3"/>
  <c r="E320" i="3"/>
  <c r="E407" i="3"/>
  <c r="V6" i="3"/>
  <c r="E551" i="3"/>
  <c r="E559" i="3"/>
  <c r="E358" i="3"/>
  <c r="E128" i="3"/>
  <c r="E205" i="3"/>
  <c r="E352" i="3"/>
  <c r="E510" i="3"/>
  <c r="E545" i="3"/>
  <c r="E508" i="3"/>
  <c r="E343" i="3"/>
  <c r="E175" i="3"/>
  <c r="E576" i="3"/>
  <c r="E379" i="3"/>
  <c r="E327" i="3"/>
  <c r="E105" i="3"/>
  <c r="E173" i="3"/>
  <c r="E116" i="3"/>
  <c r="E197" i="3"/>
  <c r="E238" i="3"/>
  <c r="E223" i="3"/>
  <c r="E85" i="3"/>
  <c r="E140" i="3"/>
  <c r="E157" i="3"/>
  <c r="E181" i="3"/>
  <c r="E228" i="3"/>
  <c r="E188" i="3"/>
  <c r="E99" i="3"/>
  <c r="E191" i="3"/>
  <c r="E159" i="3"/>
  <c r="E245" i="3"/>
  <c r="E301" i="3"/>
  <c r="E263" i="3"/>
  <c r="E303" i="3"/>
  <c r="E350" i="3"/>
  <c r="E402" i="3"/>
  <c r="E586" i="3"/>
  <c r="AN6" i="3"/>
  <c r="E495" i="3"/>
  <c r="E353" i="3"/>
  <c r="E201" i="3"/>
  <c r="E247" i="3"/>
  <c r="E431" i="3"/>
  <c r="E579" i="3"/>
  <c r="E509" i="3"/>
  <c r="E302" i="3"/>
  <c r="E17" i="3"/>
  <c r="E213" i="3"/>
  <c r="E565" i="3"/>
  <c r="E304" i="3"/>
  <c r="E237" i="3"/>
  <c r="E380" i="3"/>
  <c r="E338" i="3"/>
  <c r="E439" i="3"/>
  <c r="E418" i="3"/>
  <c r="E538" i="3"/>
  <c r="E506" i="3"/>
  <c r="E561" i="3"/>
  <c r="E523" i="3"/>
  <c r="AR6" i="3"/>
  <c r="S6" i="3"/>
  <c r="E533" i="3"/>
  <c r="E390" i="3"/>
  <c r="E270" i="3"/>
  <c r="E293" i="3"/>
  <c r="E124" i="3"/>
  <c r="E246" i="3"/>
  <c r="E280" i="3"/>
  <c r="E336" i="3"/>
  <c r="E399" i="3"/>
  <c r="X6" i="3"/>
  <c r="AA6" i="3"/>
  <c r="E583" i="3"/>
  <c r="E328" i="3"/>
  <c r="E426" i="3"/>
  <c r="E153" i="3"/>
  <c r="E501" i="3"/>
  <c r="E319" i="3"/>
  <c r="F27" i="11"/>
  <c r="C47" i="11" s="1"/>
  <c r="D45" i="11" s="1"/>
  <c r="E65" i="39"/>
  <c r="J10" i="40"/>
  <c r="AC10" i="40" s="1"/>
  <c r="E58" i="40"/>
  <c r="E63" i="39"/>
  <c r="E30" i="6"/>
  <c r="K14" i="1"/>
  <c r="E3" i="6"/>
  <c r="E114" i="3"/>
  <c r="E415" i="3"/>
  <c r="E395" i="3"/>
  <c r="E260" i="3"/>
  <c r="E550" i="3"/>
  <c r="O6" i="3"/>
  <c r="E574" i="3"/>
  <c r="E359" i="3"/>
  <c r="E285" i="3"/>
  <c r="E97" i="3"/>
  <c r="E314" i="3"/>
  <c r="E511" i="3"/>
  <c r="E16" i="3"/>
  <c r="AK6" i="3"/>
  <c r="E434" i="3"/>
  <c r="E306" i="3"/>
  <c r="E321" i="3"/>
  <c r="E231" i="3"/>
  <c r="E298" i="3"/>
  <c r="E216" i="3"/>
  <c r="E169" i="3"/>
  <c r="E185" i="3"/>
  <c r="E61" i="3"/>
  <c r="E135" i="3"/>
  <c r="E290" i="3"/>
  <c r="E161" i="3"/>
  <c r="E117" i="3"/>
  <c r="E207" i="3"/>
  <c r="E252" i="3"/>
  <c r="E271" i="3"/>
  <c r="E204" i="3"/>
  <c r="E145" i="3"/>
  <c r="E164" i="3"/>
  <c r="E107" i="3"/>
  <c r="E313" i="3"/>
  <c r="E330" i="3"/>
  <c r="E519" i="3"/>
  <c r="K6" i="3"/>
  <c r="E532" i="3"/>
  <c r="Q6"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69" i="3"/>
  <c r="E278" i="3"/>
  <c r="E563" i="3"/>
  <c r="E172" i="3"/>
  <c r="E445" i="3"/>
  <c r="E535" i="3"/>
  <c r="E388" i="3"/>
  <c r="E555" i="3"/>
  <c r="E410" i="3"/>
  <c r="E337" i="3"/>
  <c r="E143" i="3"/>
  <c r="E397" i="3"/>
  <c r="E568" i="3"/>
  <c r="I6" i="3"/>
  <c r="E536" i="3"/>
  <c r="E549" i="3"/>
  <c r="E453" i="3"/>
  <c r="E368" i="3"/>
  <c r="E294" i="3"/>
  <c r="E215" i="3"/>
  <c r="E230" i="3"/>
  <c r="E189" i="3"/>
  <c r="E130" i="3"/>
  <c r="E134" i="3"/>
  <c r="E254" i="3"/>
  <c r="E91" i="3"/>
  <c r="E221" i="3"/>
  <c r="E180" i="3"/>
  <c r="E149" i="3"/>
  <c r="E77" i="3"/>
  <c r="E212" i="3"/>
  <c r="E253" i="3"/>
  <c r="E167" i="3"/>
  <c r="E199" i="3"/>
  <c r="E141" i="3"/>
  <c r="E369" i="3"/>
  <c r="E393" i="3"/>
  <c r="E525" i="3"/>
  <c r="E493" i="3"/>
  <c r="E534" i="3"/>
  <c r="E564" i="3"/>
  <c r="AG6" i="3"/>
  <c r="E552" i="3"/>
  <c r="E515" i="3"/>
  <c r="E502" i="3"/>
  <c r="AO6" i="3"/>
  <c r="E421" i="3"/>
  <c r="E411" i="3"/>
  <c r="E442" i="3"/>
  <c r="E448" i="3"/>
  <c r="E464" i="3"/>
  <c r="E478" i="3"/>
  <c r="E485" i="3"/>
  <c r="E548" i="3"/>
  <c r="P6" i="3"/>
  <c r="E414" i="3"/>
  <c r="E400" i="3"/>
  <c r="E432" i="3"/>
  <c r="E443" i="3"/>
  <c r="E477" i="3"/>
  <c r="E345" i="3"/>
  <c r="E367"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E466" i="3"/>
  <c r="E487" i="3"/>
  <c r="E541" i="3"/>
  <c r="E398" i="3"/>
  <c r="E430" i="3"/>
  <c r="E416" i="3"/>
  <c r="E449" i="3"/>
  <c r="E459" i="3"/>
  <c r="E255" i="3"/>
  <c r="E374"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9"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84"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9" i="3"/>
  <c r="E329" i="3"/>
  <c r="AJ6" i="3"/>
  <c r="N6" i="3"/>
  <c r="E322" i="3"/>
  <c r="E282" i="3"/>
  <c r="E268" i="3"/>
  <c r="E553" i="3"/>
  <c r="E526" i="3"/>
  <c r="E366" i="3"/>
  <c r="E217" i="3"/>
  <c r="E125" i="3"/>
  <c r="D22" i="43"/>
  <c r="M109" i="43"/>
  <c r="M102" i="43"/>
  <c r="M106" i="43"/>
  <c r="M103" i="43"/>
  <c r="M104" i="43"/>
  <c r="M107" i="43"/>
  <c r="M105" i="43"/>
  <c r="L109" i="43"/>
  <c r="L102" i="43"/>
  <c r="L105" i="43"/>
  <c r="L104" i="43"/>
  <c r="L106" i="43"/>
  <c r="L107" i="43"/>
  <c r="L103" i="43"/>
  <c r="F104" i="43"/>
  <c r="F107" i="43"/>
  <c r="F106" i="43"/>
  <c r="F105" i="43"/>
  <c r="F109" i="43"/>
  <c r="F102" i="43"/>
  <c r="F103" i="43"/>
  <c r="I109" i="43"/>
  <c r="I102" i="43"/>
  <c r="I106" i="43"/>
  <c r="I103" i="43"/>
  <c r="I104" i="43"/>
  <c r="I107" i="43"/>
  <c r="I105" i="43"/>
  <c r="J105" i="43"/>
  <c r="J103" i="43"/>
  <c r="J109" i="43"/>
  <c r="J104" i="43"/>
  <c r="J107" i="43"/>
  <c r="J102" i="43"/>
  <c r="J106" i="43"/>
  <c r="G103" i="43"/>
  <c r="G106" i="43"/>
  <c r="G105" i="43"/>
  <c r="G102" i="43"/>
  <c r="G107" i="43"/>
  <c r="G104" i="43"/>
  <c r="G109" i="43"/>
  <c r="K103" i="43"/>
  <c r="K107" i="43"/>
  <c r="K104" i="43"/>
  <c r="K105" i="43"/>
  <c r="K109" i="43"/>
  <c r="K102" i="43"/>
  <c r="K106" i="43"/>
  <c r="E102" i="43"/>
  <c r="E106" i="43"/>
  <c r="E103" i="43"/>
  <c r="E109" i="43"/>
  <c r="E104" i="43"/>
  <c r="E107" i="43"/>
  <c r="E105" i="43"/>
  <c r="H102" i="43"/>
  <c r="H103" i="43"/>
  <c r="H104" i="43"/>
  <c r="H107" i="43"/>
  <c r="H106" i="43"/>
  <c r="H105" i="43"/>
  <c r="H109" i="43"/>
  <c r="D109" i="43"/>
  <c r="D103" i="43"/>
  <c r="D104" i="43"/>
  <c r="D107" i="43"/>
  <c r="D105" i="43"/>
  <c r="D106" i="43"/>
  <c r="D102" i="43"/>
  <c r="C106" i="43"/>
  <c r="C105" i="43"/>
  <c r="C104" i="43"/>
  <c r="C107" i="43"/>
  <c r="C103" i="43"/>
  <c r="C102" i="43"/>
  <c r="C109" i="43"/>
  <c r="N102" i="43"/>
  <c r="N103" i="43"/>
  <c r="N106" i="43"/>
  <c r="N104" i="43"/>
  <c r="N109" i="43"/>
  <c r="N105" i="43"/>
  <c r="N107" i="43"/>
  <c r="I118" i="43"/>
  <c r="J118" i="43" s="1"/>
  <c r="K118" i="43" s="1"/>
  <c r="L118" i="43" s="1"/>
  <c r="M118" i="43" s="1"/>
  <c r="G118" i="43"/>
  <c r="H118" i="43" s="1"/>
  <c r="B116" i="43"/>
  <c r="C116" i="43" s="1"/>
  <c r="B118" i="43"/>
  <c r="C118" i="43" s="1"/>
  <c r="I117" i="43"/>
  <c r="J117" i="43" s="1"/>
  <c r="K117" i="43" s="1"/>
  <c r="L117" i="43" s="1"/>
  <c r="M117" i="43" s="1"/>
  <c r="B115" i="43"/>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P8" i="1"/>
  <c r="C13" i="12" s="1"/>
  <c r="H10" i="39"/>
  <c r="U10" i="39" s="1"/>
  <c r="F10" i="40"/>
  <c r="S10" i="40" s="1"/>
  <c r="J10" i="39"/>
  <c r="AC10" i="39" s="1"/>
  <c r="H10" i="40"/>
  <c r="AB10" i="40" s="1"/>
  <c r="C5" i="43"/>
  <c r="C35" i="43"/>
  <c r="E35" i="43" s="1"/>
  <c r="C36" i="43"/>
  <c r="C34" i="43"/>
  <c r="G34" i="43" s="1"/>
  <c r="I34" i="43" s="1"/>
  <c r="C38" i="43"/>
  <c r="E38" i="43" s="1"/>
  <c r="C37" i="43"/>
  <c r="E37" i="43" s="1"/>
  <c r="C33" i="43"/>
  <c r="G33" i="43" s="1"/>
  <c r="I33" i="43" s="1"/>
  <c r="C39" i="43"/>
  <c r="E39" i="43" s="1"/>
  <c r="H7" i="36"/>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D9" i="71"/>
  <c r="C8" i="71"/>
  <c r="M17" i="67"/>
  <c r="M17" i="15"/>
  <c r="F59" i="15"/>
  <c r="P24" i="43"/>
  <c r="B66" i="40" s="1"/>
  <c r="P21" i="43"/>
  <c r="C49" i="67"/>
  <c r="P25" i="43"/>
  <c r="P23" i="43"/>
  <c r="B71" i="39" s="1"/>
  <c r="G38" i="43"/>
  <c r="I38" i="43" s="1"/>
  <c r="E33" i="43"/>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C16" i="15"/>
  <c r="C16" i="84"/>
  <c r="O13" i="1" l="1"/>
  <c r="P13" i="1" s="1"/>
  <c r="J19" i="85"/>
  <c r="J18" i="85"/>
  <c r="O10" i="1"/>
  <c r="P10" i="1" s="1"/>
  <c r="F24" i="84"/>
  <c r="F24" i="85"/>
  <c r="J26" i="85"/>
  <c r="J24" i="85"/>
  <c r="C53" i="85"/>
  <c r="C48" i="85" s="1"/>
  <c r="C10" i="85"/>
  <c r="C5" i="85" s="1"/>
  <c r="C24" i="84"/>
  <c r="G39" i="43"/>
  <c r="I39" i="43" s="1"/>
  <c r="J26" i="84"/>
  <c r="J24" i="84"/>
  <c r="C53" i="84"/>
  <c r="C48" i="84" s="1"/>
  <c r="C10" i="84"/>
  <c r="C5" i="84" s="1"/>
  <c r="F28" i="12"/>
  <c r="E34" i="43"/>
  <c r="F45" i="69"/>
  <c r="F27" i="68"/>
  <c r="F45" i="68" s="1"/>
  <c r="E27" i="6"/>
  <c r="C47" i="68"/>
  <c r="D45" i="68" s="1"/>
  <c r="H6" i="3"/>
  <c r="E66" i="39"/>
  <c r="F33" i="21"/>
  <c r="H33" i="21"/>
  <c r="J33" i="21"/>
  <c r="AC6" i="3"/>
  <c r="G37" i="43"/>
  <c r="I37" i="43" s="1"/>
  <c r="U10" i="40"/>
  <c r="G35" i="43"/>
  <c r="I35" i="43" s="1"/>
  <c r="AA10" i="40"/>
  <c r="W10" i="39"/>
  <c r="M14" i="1"/>
  <c r="K16" i="1"/>
  <c r="C34" i="69"/>
  <c r="AB10" i="39"/>
  <c r="D3" i="34"/>
  <c r="D3" i="33"/>
  <c r="D19" i="11"/>
  <c r="C19" i="11" s="1"/>
  <c r="C20" i="11" s="1"/>
  <c r="D37" i="11"/>
  <c r="D14" i="12"/>
  <c r="M18" i="9"/>
  <c r="B118" i="9" s="1"/>
  <c r="B14" i="74" s="1"/>
  <c r="B1" i="74" s="1"/>
  <c r="E6" i="6"/>
  <c r="L18" i="9"/>
  <c r="D3" i="21"/>
  <c r="C17" i="4"/>
  <c r="B4" i="52" s="1"/>
  <c r="B43" i="72" s="1"/>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103" i="3"/>
  <c r="AY67" i="3"/>
  <c r="AY50" i="3"/>
  <c r="AY196" i="3"/>
  <c r="AY160" i="3"/>
  <c r="AY139" i="3"/>
  <c r="AY289" i="3"/>
  <c r="AY7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123" i="3"/>
  <c r="AY204" i="3"/>
  <c r="AY252" i="3"/>
  <c r="AY363" i="3"/>
  <c r="AY489" i="3"/>
  <c r="AY412" i="3"/>
  <c r="AY43" i="3"/>
  <c r="AY229" i="3"/>
  <c r="AY379" i="3"/>
  <c r="AY326" i="3"/>
  <c r="AY436" i="3"/>
  <c r="AY557" i="3"/>
  <c r="AY540" i="3"/>
  <c r="AY105" i="3"/>
  <c r="AY69" i="3"/>
  <c r="AY52"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83" i="3"/>
  <c r="AY261" i="3"/>
  <c r="AY284" i="3"/>
  <c r="AY209" i="3"/>
  <c r="AY319" i="3"/>
  <c r="AY455" i="3"/>
  <c r="AY497" i="3"/>
  <c r="AY116" i="3"/>
  <c r="AY212" i="3"/>
  <c r="AY343" i="3"/>
  <c r="AY478" i="3"/>
  <c r="AY417" i="3"/>
  <c r="AY573" i="3"/>
  <c r="AY539" i="3"/>
  <c r="AY100" i="3"/>
  <c r="AY84"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15" i="43"/>
  <c r="D113" i="43" s="1"/>
  <c r="S5" i="43"/>
  <c r="T5" i="43" s="1"/>
  <c r="V5" i="43" s="1"/>
  <c r="S4" i="43"/>
  <c r="C23" i="43"/>
  <c r="C21" i="43" s="1"/>
  <c r="C29" i="43" s="1"/>
  <c r="S2" i="43"/>
  <c r="T2" i="43" s="1"/>
  <c r="V2" i="43" s="1"/>
  <c r="C26" i="43" s="1"/>
  <c r="S6" i="43"/>
  <c r="T6" i="43" s="1"/>
  <c r="V6" i="43" s="1"/>
  <c r="S7" i="43"/>
  <c r="T7" i="43" s="1"/>
  <c r="V7" i="43" s="1"/>
  <c r="S3" i="43"/>
  <c r="T3" i="43" s="1"/>
  <c r="V3" i="43" s="1"/>
  <c r="T14" i="43"/>
  <c r="V14" i="43" s="1"/>
  <c r="T11" i="43"/>
  <c r="V11" i="43" s="1"/>
  <c r="T15" i="43"/>
  <c r="V15" i="43" s="1"/>
  <c r="T10" i="43"/>
  <c r="V10" i="43" s="1"/>
  <c r="T16" i="43"/>
  <c r="V16" i="43" s="1"/>
  <c r="T8" i="43"/>
  <c r="V8" i="43" s="1"/>
  <c r="T12" i="43"/>
  <c r="V12" i="43" s="1"/>
  <c r="T9" i="43"/>
  <c r="V9" i="43" s="1"/>
  <c r="T4" i="43"/>
  <c r="V4" i="43" s="1"/>
  <c r="T13" i="43"/>
  <c r="V13" i="43" s="1"/>
  <c r="E36" i="43"/>
  <c r="G36" i="43"/>
  <c r="I36"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66" i="85" l="1"/>
  <c r="C60" i="85"/>
  <c r="C24" i="85"/>
  <c r="C38" i="85"/>
  <c r="C38" i="84"/>
  <c r="C66" i="84"/>
  <c r="C60" i="84"/>
  <c r="K24" i="6"/>
  <c r="K21" i="6"/>
  <c r="K23" i="6"/>
  <c r="K26" i="6"/>
  <c r="K25" i="6"/>
  <c r="K20" i="6"/>
  <c r="K22" i="6"/>
  <c r="E31" i="6"/>
  <c r="K19" i="6"/>
  <c r="E6" i="3"/>
  <c r="AB33" i="21"/>
  <c r="U33" i="21"/>
  <c r="AC33" i="21"/>
  <c r="W33" i="21"/>
  <c r="AA33" i="21"/>
  <c r="S33" i="21"/>
  <c r="C35" i="69"/>
  <c r="C38" i="69"/>
  <c r="O14" i="1"/>
  <c r="M16" i="1"/>
  <c r="N16" i="1" s="1"/>
  <c r="C28" i="11" s="1"/>
  <c r="C27" i="11" s="1"/>
  <c r="C7" i="74"/>
  <c r="C8" i="74"/>
  <c r="D19" i="6"/>
  <c r="D26" i="6"/>
  <c r="C18" i="4"/>
  <c r="D8" i="6"/>
  <c r="D23" i="6"/>
  <c r="D14" i="6"/>
  <c r="M19" i="9"/>
  <c r="C118" i="9" s="1"/>
  <c r="C14" i="74" s="1"/>
  <c r="B2" i="74" s="1"/>
  <c r="D25" i="6"/>
  <c r="D15" i="6"/>
  <c r="D22" i="6"/>
  <c r="D21" i="6"/>
  <c r="D24" i="6"/>
  <c r="D20" i="6"/>
  <c r="D5" i="6"/>
  <c r="D12" i="6"/>
  <c r="D11" i="6"/>
  <c r="D13" i="6"/>
  <c r="D28" i="6"/>
  <c r="E61" i="40"/>
  <c r="D6" i="6"/>
  <c r="D9" i="6"/>
  <c r="D10" i="6"/>
  <c r="L19" i="9"/>
  <c r="D29" i="6"/>
  <c r="D10" i="11"/>
  <c r="C10" i="11" s="1"/>
  <c r="D20" i="12"/>
  <c r="C20" i="12" s="1"/>
  <c r="C18" i="12" s="1"/>
  <c r="D10" i="69"/>
  <c r="D10" i="68"/>
  <c r="D17" i="12"/>
  <c r="C17" i="12" s="1"/>
  <c r="C30" i="43"/>
  <c r="E30" i="43" s="1"/>
  <c r="C27" i="43" s="1"/>
  <c r="E29" i="43"/>
  <c r="D6" i="71"/>
  <c r="C5" i="71"/>
  <c r="D5" i="7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B2" i="43"/>
  <c r="C60" i="15"/>
  <c r="C66" i="15"/>
  <c r="C26" i="69"/>
  <c r="D22" i="69" s="1"/>
  <c r="C44" i="69"/>
  <c r="D41" i="69" s="1"/>
  <c r="C44" i="68"/>
  <c r="D41" i="68" s="1"/>
  <c r="C44" i="11"/>
  <c r="D41" i="11" s="1"/>
  <c r="C24" i="11"/>
  <c r="C38" i="67"/>
  <c r="C38" i="15"/>
  <c r="C66" i="67"/>
  <c r="C60" i="67"/>
  <c r="C23" i="67"/>
  <c r="C29" i="67" s="1"/>
  <c r="E6" i="76"/>
  <c r="B6" i="76"/>
  <c r="M20" i="6" l="1"/>
  <c r="I20" i="6" s="1"/>
  <c r="S7" i="1"/>
  <c r="M26" i="6"/>
  <c r="I26" i="6" s="1"/>
  <c r="S13" i="1"/>
  <c r="M21" i="6"/>
  <c r="I21" i="6" s="1"/>
  <c r="S8" i="1"/>
  <c r="S6" i="1"/>
  <c r="M19" i="6"/>
  <c r="K27" i="6"/>
  <c r="S9" i="1"/>
  <c r="M22" i="6"/>
  <c r="I22" i="6" s="1"/>
  <c r="M25" i="6"/>
  <c r="I25" i="6" s="1"/>
  <c r="S12" i="1"/>
  <c r="M23" i="6"/>
  <c r="I23" i="6" s="1"/>
  <c r="S10" i="1"/>
  <c r="M24" i="6"/>
  <c r="I24" i="6" s="1"/>
  <c r="S11" i="1"/>
  <c r="B23" i="1"/>
  <c r="B24" i="1"/>
  <c r="F11" i="12" s="1"/>
  <c r="C29" i="68"/>
  <c r="D27" i="68" s="1"/>
  <c r="C29" i="11"/>
  <c r="D27" i="11" s="1"/>
  <c r="F34" i="11"/>
  <c r="D30" i="6"/>
  <c r="D16" i="6"/>
  <c r="F50" i="11"/>
  <c r="F50" i="68"/>
  <c r="L16" i="1"/>
  <c r="P14" i="1"/>
  <c r="P16" i="1" s="1"/>
  <c r="C11" i="12" s="1"/>
  <c r="O16" i="1"/>
  <c r="C10" i="68"/>
  <c r="D19" i="68"/>
  <c r="C10" i="69"/>
  <c r="C8" i="69" s="1"/>
  <c r="C5" i="69" s="1"/>
  <c r="D19" i="69"/>
  <c r="D7" i="74"/>
  <c r="D8" i="74"/>
  <c r="A7" i="51"/>
  <c r="B7" i="72" s="1"/>
  <c r="C4" i="52"/>
  <c r="B45" i="72" s="1"/>
  <c r="A10" i="51"/>
  <c r="B9" i="72" s="1"/>
  <c r="D27" i="6"/>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19" i="15"/>
  <c r="J59" i="15"/>
  <c r="C36" i="67"/>
  <c r="C33" i="67"/>
  <c r="J14" i="67"/>
  <c r="C13" i="67"/>
  <c r="J19" i="67"/>
  <c r="C57" i="67"/>
  <c r="C61" i="67" s="1"/>
  <c r="Q49" i="67"/>
  <c r="J59" i="67"/>
  <c r="C17" i="85"/>
  <c r="C17" i="15"/>
  <c r="C17" i="84"/>
  <c r="E13" i="70" l="1"/>
  <c r="E10" i="70"/>
  <c r="E12" i="70"/>
  <c r="S24" i="6"/>
  <c r="H24" i="6"/>
  <c r="R24" i="6" s="1"/>
  <c r="R11" i="1" s="1"/>
  <c r="S23" i="6"/>
  <c r="H23" i="6"/>
  <c r="R23" i="6" s="1"/>
  <c r="R10" i="1" s="1"/>
  <c r="S25" i="6"/>
  <c r="H25" i="6"/>
  <c r="R25" i="6" s="1"/>
  <c r="R12" i="1" s="1"/>
  <c r="AR9" i="1"/>
  <c r="T9" i="1"/>
  <c r="AQ9" i="1"/>
  <c r="I19" i="6"/>
  <c r="M27" i="6"/>
  <c r="T8" i="1"/>
  <c r="AR8" i="1"/>
  <c r="AQ8" i="1"/>
  <c r="AR13" i="1"/>
  <c r="T13" i="1"/>
  <c r="AQ13" i="1"/>
  <c r="AQ7" i="1"/>
  <c r="T7" i="1"/>
  <c r="AR7" i="1"/>
  <c r="AQ11" i="1"/>
  <c r="T11" i="1"/>
  <c r="AR11" i="1"/>
  <c r="T10" i="1"/>
  <c r="AQ10" i="1"/>
  <c r="AR10" i="1"/>
  <c r="AQ12" i="1"/>
  <c r="AR12" i="1"/>
  <c r="T12" i="1"/>
  <c r="S22" i="6"/>
  <c r="H22" i="6"/>
  <c r="R22" i="6" s="1"/>
  <c r="R9" i="1" s="1"/>
  <c r="AR6" i="1"/>
  <c r="AQ6" i="1"/>
  <c r="T6" i="1"/>
  <c r="S16" i="1"/>
  <c r="S21" i="6"/>
  <c r="H21" i="6"/>
  <c r="R21" i="6" s="1"/>
  <c r="R8" i="1" s="1"/>
  <c r="S26" i="6"/>
  <c r="H26" i="6"/>
  <c r="R26" i="6" s="1"/>
  <c r="R13" i="1" s="1"/>
  <c r="S20" i="6"/>
  <c r="H20" i="6"/>
  <c r="R20" i="6" s="1"/>
  <c r="C34" i="11"/>
  <c r="C35" i="11" s="1"/>
  <c r="F50" i="69"/>
  <c r="F34" i="68"/>
  <c r="C36" i="68" s="1"/>
  <c r="J53" i="15"/>
  <c r="J60" i="15" s="1"/>
  <c r="M59" i="15"/>
  <c r="L59" i="15" s="1"/>
  <c r="J53" i="67"/>
  <c r="M59" i="67"/>
  <c r="C29" i="12"/>
  <c r="D28" i="12" s="1"/>
  <c r="C26" i="12"/>
  <c r="D25" i="12" s="1"/>
  <c r="C23" i="11"/>
  <c r="C26" i="68"/>
  <c r="D22" i="68" s="1"/>
  <c r="C26" i="11"/>
  <c r="D22" i="11" s="1"/>
  <c r="C25" i="11"/>
  <c r="C36" i="11"/>
  <c r="C37" i="11"/>
  <c r="C14" i="12"/>
  <c r="D31" i="6"/>
  <c r="I5" i="6" s="1"/>
  <c r="C15" i="12"/>
  <c r="C12" i="12"/>
  <c r="C23" i="69"/>
  <c r="C19" i="68"/>
  <c r="D37" i="68"/>
  <c r="C19" i="69"/>
  <c r="C24" i="69" s="1"/>
  <c r="D37" i="69"/>
  <c r="C37" i="69" s="1"/>
  <c r="C33" i="69" s="1"/>
  <c r="B3" i="76"/>
  <c r="K70" i="39"/>
  <c r="L68" i="39"/>
  <c r="I63" i="40"/>
  <c r="H65" i="40"/>
  <c r="I58" i="21"/>
  <c r="J58" i="21" s="1"/>
  <c r="K58" i="21" s="1"/>
  <c r="L58" i="21" s="1"/>
  <c r="M58" i="21" s="1"/>
  <c r="N58" i="21" s="1"/>
  <c r="O58" i="21" s="1"/>
  <c r="H7" i="21" s="1"/>
  <c r="J7" i="21"/>
  <c r="F7" i="21"/>
  <c r="J48" i="35"/>
  <c r="J13" i="67"/>
  <c r="J23" i="67" s="1"/>
  <c r="J22" i="67"/>
  <c r="C64" i="67"/>
  <c r="C56" i="67"/>
  <c r="C65" i="67" s="1"/>
  <c r="C75" i="67"/>
  <c r="Q70" i="67"/>
  <c r="C37" i="67"/>
  <c r="C14" i="85"/>
  <c r="C14" i="84"/>
  <c r="C14" i="15"/>
  <c r="F35" i="85"/>
  <c r="M21" i="84"/>
  <c r="F35" i="84"/>
  <c r="M21" i="85"/>
  <c r="C18" i="15" l="1"/>
  <c r="C15" i="15"/>
  <c r="C15" i="84"/>
  <c r="C18" i="84"/>
  <c r="C19" i="84"/>
  <c r="C15" i="85"/>
  <c r="C18" i="85"/>
  <c r="C19" i="85" s="1"/>
  <c r="E2" i="70"/>
  <c r="F63" i="85"/>
  <c r="C62" i="85" s="1"/>
  <c r="C34" i="85"/>
  <c r="C31" i="85" s="1"/>
  <c r="J20" i="85"/>
  <c r="J17" i="85" s="1"/>
  <c r="F63" i="84"/>
  <c r="C62" i="84" s="1"/>
  <c r="C34" i="84"/>
  <c r="C31" i="84" s="1"/>
  <c r="J20" i="84"/>
  <c r="J17" i="84" s="1"/>
  <c r="Q74" i="15"/>
  <c r="Q61" i="15"/>
  <c r="C38" i="11"/>
  <c r="C33" i="11" s="1"/>
  <c r="C42" i="11" s="1"/>
  <c r="T16" i="1"/>
  <c r="H19" i="6"/>
  <c r="I27" i="6"/>
  <c r="S19" i="6"/>
  <c r="S27" i="6" s="1"/>
  <c r="I6" i="6"/>
  <c r="C37" i="68"/>
  <c r="C34" i="68"/>
  <c r="C38" i="68" s="1"/>
  <c r="Q48" i="15"/>
  <c r="C22" i="11"/>
  <c r="C31" i="11" s="1"/>
  <c r="F1" i="67"/>
  <c r="Q52" i="67"/>
  <c r="L56" i="15"/>
  <c r="F1" i="15"/>
  <c r="Q52" i="15"/>
  <c r="J60" i="67"/>
  <c r="C16" i="12"/>
  <c r="C21" i="12" s="1"/>
  <c r="C39" i="69"/>
  <c r="C43" i="69" s="1"/>
  <c r="C42" i="69"/>
  <c r="C24" i="68"/>
  <c r="C20" i="69"/>
  <c r="L70" i="39"/>
  <c r="M68" i="39"/>
  <c r="U7" i="21"/>
  <c r="AB7" i="21"/>
  <c r="T48" i="21" s="1"/>
  <c r="G48" i="21" s="1"/>
  <c r="S7" i="21"/>
  <c r="AA7" i="21"/>
  <c r="R48" i="21" s="1"/>
  <c r="J63" i="40"/>
  <c r="I65" i="40"/>
  <c r="K48" i="35"/>
  <c r="L48" i="35" s="1"/>
  <c r="M48" i="35" s="1"/>
  <c r="N48" i="35" s="1"/>
  <c r="O48" i="35" s="1"/>
  <c r="H7" i="35" s="1"/>
  <c r="J7" i="35"/>
  <c r="AC7" i="21"/>
  <c r="V48" i="21" s="1"/>
  <c r="I48" i="21" s="1"/>
  <c r="W7" i="21"/>
  <c r="F35" i="15"/>
  <c r="F41" i="84"/>
  <c r="F35" i="67"/>
  <c r="M21" i="15"/>
  <c r="AE10" i="1"/>
  <c r="F41" i="15"/>
  <c r="M21" i="67"/>
  <c r="C19" i="15" l="1"/>
  <c r="C20" i="15" s="1"/>
  <c r="C26" i="15" s="1"/>
  <c r="C20" i="85"/>
  <c r="C26" i="85" s="1"/>
  <c r="C20" i="84"/>
  <c r="C26" i="84" s="1"/>
  <c r="F69" i="84"/>
  <c r="J29" i="84"/>
  <c r="F69" i="15"/>
  <c r="J29" i="15"/>
  <c r="H27" i="6"/>
  <c r="R19" i="6"/>
  <c r="C35" i="68"/>
  <c r="C33" i="68" s="1"/>
  <c r="Q48" i="67"/>
  <c r="L46" i="67"/>
  <c r="C41" i="69"/>
  <c r="C39" i="11"/>
  <c r="C43" i="11" s="1"/>
  <c r="C41" i="11" s="1"/>
  <c r="C34" i="67"/>
  <c r="C31" i="67" s="1"/>
  <c r="C30" i="67" s="1"/>
  <c r="C39" i="67" s="1"/>
  <c r="F63" i="67"/>
  <c r="C62" i="67" s="1"/>
  <c r="C59" i="67" s="1"/>
  <c r="C58" i="67" s="1"/>
  <c r="C67" i="67" s="1"/>
  <c r="C68" i="67" s="1"/>
  <c r="C71" i="67" s="1"/>
  <c r="J20" i="15"/>
  <c r="J17" i="15" s="1"/>
  <c r="J20" i="67"/>
  <c r="J17" i="67" s="1"/>
  <c r="J16" i="67" s="1"/>
  <c r="J25" i="67" s="1"/>
  <c r="C34" i="15"/>
  <c r="C31" i="15" s="1"/>
  <c r="F63" i="15"/>
  <c r="C62" i="15" s="1"/>
  <c r="C22" i="12"/>
  <c r="C46" i="69"/>
  <c r="C45" i="69" s="1"/>
  <c r="C28" i="69"/>
  <c r="C27" i="69" s="1"/>
  <c r="C25" i="69"/>
  <c r="C22" i="69" s="1"/>
  <c r="M70" i="39"/>
  <c r="N68" i="39"/>
  <c r="W7" i="35"/>
  <c r="AC7" i="35"/>
  <c r="V38" i="35" s="1"/>
  <c r="I38" i="35" s="1"/>
  <c r="J65" i="40"/>
  <c r="K63" i="40"/>
  <c r="I52" i="21"/>
  <c r="J52" i="21" s="1"/>
  <c r="U7" i="35"/>
  <c r="AB7" i="35"/>
  <c r="T38" i="35" s="1"/>
  <c r="G38" i="35" s="1"/>
  <c r="R49" i="21"/>
  <c r="E48" i="21"/>
  <c r="G52" i="21"/>
  <c r="H52" i="21" s="1"/>
  <c r="G53" i="21"/>
  <c r="H53" i="21" s="1"/>
  <c r="F7" i="35"/>
  <c r="F41" i="85"/>
  <c r="L51" i="67"/>
  <c r="C23" i="84" l="1"/>
  <c r="C29" i="84" s="1"/>
  <c r="C36" i="84" s="1"/>
  <c r="C13" i="84"/>
  <c r="J14" i="84"/>
  <c r="C23" i="85"/>
  <c r="C29" i="85" s="1"/>
  <c r="C23" i="15"/>
  <c r="C29" i="15" s="1"/>
  <c r="J29" i="85"/>
  <c r="F69" i="85"/>
  <c r="R7" i="1"/>
  <c r="R27" i="6"/>
  <c r="R6" i="1"/>
  <c r="C46" i="11"/>
  <c r="C45" i="11" s="1"/>
  <c r="C49" i="11" s="1"/>
  <c r="C51" i="11" s="1"/>
  <c r="C52" i="11" s="1"/>
  <c r="B2" i="11" s="1"/>
  <c r="B3" i="11" s="1"/>
  <c r="C39" i="68"/>
  <c r="C43" i="68" s="1"/>
  <c r="C42" i="68"/>
  <c r="C49" i="69"/>
  <c r="C51" i="69" s="1"/>
  <c r="C31" i="69"/>
  <c r="L57" i="15"/>
  <c r="L60" i="15" s="1"/>
  <c r="L57" i="67"/>
  <c r="L60" i="67" s="1"/>
  <c r="Q57" i="67" s="1"/>
  <c r="Q67" i="67"/>
  <c r="C80" i="67"/>
  <c r="C79" i="67" s="1"/>
  <c r="C40" i="67"/>
  <c r="Q69" i="67"/>
  <c r="Q68" i="67" s="1"/>
  <c r="O68" i="39"/>
  <c r="O70" i="39" s="1"/>
  <c r="N70" i="39"/>
  <c r="F7" i="39"/>
  <c r="S7" i="35"/>
  <c r="AA7" i="35"/>
  <c r="R38" i="35" s="1"/>
  <c r="C49" i="21"/>
  <c r="B2" i="21" s="1"/>
  <c r="C48" i="21"/>
  <c r="E52" i="21"/>
  <c r="F52" i="21" s="1"/>
  <c r="E53" i="21"/>
  <c r="F53" i="21" s="1"/>
  <c r="G42" i="35"/>
  <c r="H42" i="35" s="1"/>
  <c r="G43" i="35"/>
  <c r="H43" i="35" s="1"/>
  <c r="I53" i="21"/>
  <c r="J53" i="21" s="1"/>
  <c r="K65" i="40"/>
  <c r="L63" i="40"/>
  <c r="I42" i="35"/>
  <c r="J42" i="35" s="1"/>
  <c r="Q49" i="84" l="1"/>
  <c r="C57" i="84"/>
  <c r="J14" i="15"/>
  <c r="C36" i="15"/>
  <c r="C13" i="15"/>
  <c r="C57" i="15"/>
  <c r="Q49" i="15"/>
  <c r="J13" i="84"/>
  <c r="J23" i="84" s="1"/>
  <c r="J22" i="84"/>
  <c r="J16" i="84" s="1"/>
  <c r="J25" i="84" s="1"/>
  <c r="C75" i="84"/>
  <c r="C37" i="84"/>
  <c r="C30" i="84" s="1"/>
  <c r="C39" i="84" s="1"/>
  <c r="Q70" i="84"/>
  <c r="C56" i="84"/>
  <c r="C65" i="84" s="1"/>
  <c r="C36" i="85"/>
  <c r="C13" i="85"/>
  <c r="C57" i="85"/>
  <c r="J14" i="85"/>
  <c r="Q49" i="85"/>
  <c r="C64" i="84"/>
  <c r="C61" i="84"/>
  <c r="C59" i="84" s="1"/>
  <c r="C58" i="84" s="1"/>
  <c r="C67" i="84" s="1"/>
  <c r="C68" i="84" s="1"/>
  <c r="Q57" i="15"/>
  <c r="L46" i="15"/>
  <c r="C46" i="68"/>
  <c r="C45" i="68" s="1"/>
  <c r="R16" i="1"/>
  <c r="C41" i="68"/>
  <c r="C52" i="69"/>
  <c r="B2" i="69" s="1"/>
  <c r="B3" i="69" s="1"/>
  <c r="B3" i="21"/>
  <c r="C6" i="12" s="1"/>
  <c r="C8" i="12"/>
  <c r="Q66" i="15"/>
  <c r="Q66" i="67"/>
  <c r="D2" i="67"/>
  <c r="C45" i="67"/>
  <c r="C46" i="67" s="1"/>
  <c r="C43" i="67"/>
  <c r="Q47" i="67"/>
  <c r="Q53" i="67" s="1"/>
  <c r="Q65" i="67"/>
  <c r="Q56" i="67"/>
  <c r="Q62" i="67" s="1"/>
  <c r="C83" i="67"/>
  <c r="C82" i="67" s="1"/>
  <c r="C56" i="11"/>
  <c r="C57" i="11" s="1"/>
  <c r="H7" i="39"/>
  <c r="J7" i="39"/>
  <c r="AA7" i="39"/>
  <c r="R47" i="39" s="1"/>
  <c r="S7" i="39"/>
  <c r="R39" i="35"/>
  <c r="E38" i="35"/>
  <c r="M63" i="40"/>
  <c r="L65" i="40"/>
  <c r="L51" i="84"/>
  <c r="Q67" i="84" l="1"/>
  <c r="C80" i="84"/>
  <c r="C79" i="84" s="1"/>
  <c r="Q69" i="84"/>
  <c r="Q68" i="84" s="1"/>
  <c r="C40" i="84"/>
  <c r="J22" i="85"/>
  <c r="J13" i="85"/>
  <c r="J23" i="85" s="1"/>
  <c r="Q70" i="85"/>
  <c r="C56" i="85"/>
  <c r="C65" i="85" s="1"/>
  <c r="C75" i="85"/>
  <c r="C37" i="85"/>
  <c r="C61" i="15"/>
  <c r="C59" i="15" s="1"/>
  <c r="C64" i="15"/>
  <c r="C71" i="84"/>
  <c r="C46" i="84"/>
  <c r="C61" i="85"/>
  <c r="C59" i="85" s="1"/>
  <c r="C58" i="85" s="1"/>
  <c r="C67" i="85" s="1"/>
  <c r="C68" i="85" s="1"/>
  <c r="C64" i="85"/>
  <c r="C30" i="85"/>
  <c r="C39" i="85" s="1"/>
  <c r="Q70" i="15"/>
  <c r="C75" i="15"/>
  <c r="C56" i="15"/>
  <c r="C65" i="15" s="1"/>
  <c r="C37" i="15"/>
  <c r="C30" i="15" s="1"/>
  <c r="C39" i="15" s="1"/>
  <c r="J13" i="15"/>
  <c r="J23" i="15" s="1"/>
  <c r="J22" i="15"/>
  <c r="J16" i="15" s="1"/>
  <c r="J25" i="15" s="1"/>
  <c r="C49" i="68"/>
  <c r="C51" i="68" s="1"/>
  <c r="C57" i="69"/>
  <c r="C56" i="69" s="1"/>
  <c r="E6" i="12"/>
  <c r="E8" i="12" s="1"/>
  <c r="F6" i="12"/>
  <c r="F8" i="12" s="1"/>
  <c r="D6" i="12"/>
  <c r="D8" i="12" s="1"/>
  <c r="Q75" i="67"/>
  <c r="B3" i="67"/>
  <c r="B2" i="67"/>
  <c r="E47" i="39"/>
  <c r="W7" i="39"/>
  <c r="AC7" i="39"/>
  <c r="V47" i="39" s="1"/>
  <c r="I47" i="39" s="1"/>
  <c r="U7" i="39"/>
  <c r="AB7" i="39"/>
  <c r="T47" i="39" s="1"/>
  <c r="G47" i="39" s="1"/>
  <c r="C39" i="35"/>
  <c r="B2" i="35" s="1"/>
  <c r="B3" i="35" s="1"/>
  <c r="C38" i="35"/>
  <c r="N63" i="40"/>
  <c r="M65" i="40"/>
  <c r="E43" i="35"/>
  <c r="F43" i="35" s="1"/>
  <c r="E42" i="35"/>
  <c r="F42" i="35" s="1"/>
  <c r="I43" i="35"/>
  <c r="J43" i="35" s="1"/>
  <c r="L51" i="85"/>
  <c r="L51" i="15"/>
  <c r="Q67" i="15" l="1"/>
  <c r="Q67" i="85"/>
  <c r="C40" i="15"/>
  <c r="Q69" i="15"/>
  <c r="Q68" i="15" s="1"/>
  <c r="C80" i="15"/>
  <c r="C79" i="15" s="1"/>
  <c r="C80" i="85"/>
  <c r="C79" i="85" s="1"/>
  <c r="C40" i="85"/>
  <c r="Q69" i="85"/>
  <c r="Q68" i="85" s="1"/>
  <c r="C58" i="15"/>
  <c r="C67" i="15" s="1"/>
  <c r="C68" i="15" s="1"/>
  <c r="J16" i="85"/>
  <c r="J25" i="85" s="1"/>
  <c r="Q47" i="84"/>
  <c r="Q53" i="84" s="1"/>
  <c r="Q65" i="84"/>
  <c r="Q75" i="84" s="1"/>
  <c r="C43" i="84"/>
  <c r="B2" i="84"/>
  <c r="Q56" i="84"/>
  <c r="Q62" i="84" s="1"/>
  <c r="C83" i="84"/>
  <c r="C82" i="84" s="1"/>
  <c r="C71" i="85"/>
  <c r="R48" i="39"/>
  <c r="C48" i="39" s="1"/>
  <c r="E52" i="39"/>
  <c r="F52" i="39" s="1"/>
  <c r="E51" i="39"/>
  <c r="F51" i="39" s="1"/>
  <c r="G51" i="39"/>
  <c r="H51" i="39" s="1"/>
  <c r="G52" i="39"/>
  <c r="H52" i="39" s="1"/>
  <c r="I51" i="39"/>
  <c r="J51" i="39" s="1"/>
  <c r="I52" i="39"/>
  <c r="J52" i="39" s="1"/>
  <c r="O63" i="40"/>
  <c r="O65" i="40" s="1"/>
  <c r="N65" i="40"/>
  <c r="AO13" i="1"/>
  <c r="B13" i="70" l="1"/>
  <c r="B2" i="85"/>
  <c r="Q56" i="85"/>
  <c r="Q62" i="85" s="1"/>
  <c r="C83" i="85"/>
  <c r="C82" i="85" s="1"/>
  <c r="Q47" i="85"/>
  <c r="Q53" i="85" s="1"/>
  <c r="Q65" i="85"/>
  <c r="Q75" i="85" s="1"/>
  <c r="C43" i="85"/>
  <c r="C46" i="85"/>
  <c r="J8" i="12"/>
  <c r="B3" i="84"/>
  <c r="J6" i="12" s="1"/>
  <c r="C71" i="15"/>
  <c r="C46" i="15"/>
  <c r="Q56" i="15"/>
  <c r="Q62" i="15" s="1"/>
  <c r="Q47" i="15"/>
  <c r="Q53" i="15" s="1"/>
  <c r="C43" i="15"/>
  <c r="Q65" i="15"/>
  <c r="Q75" i="15" s="1"/>
  <c r="C83" i="15"/>
  <c r="C82" i="15" s="1"/>
  <c r="B2" i="15"/>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AO12" i="1"/>
  <c r="AO10" i="1"/>
  <c r="B10" i="70" l="1"/>
  <c r="B2" i="70" s="1"/>
  <c r="B3" i="70" s="1"/>
  <c r="B12" i="70"/>
  <c r="G8" i="12"/>
  <c r="B3" i="15"/>
  <c r="G6" i="12" s="1"/>
  <c r="H6" i="12" s="1"/>
  <c r="H8" i="12" s="1"/>
  <c r="I8" i="12"/>
  <c r="B3" i="85"/>
  <c r="I6" i="12" s="1"/>
  <c r="F66" i="39"/>
  <c r="B2" i="39" s="1"/>
  <c r="C6" i="68" s="1"/>
  <c r="U7" i="40"/>
  <c r="AB7" i="40"/>
  <c r="T42" i="40" s="1"/>
  <c r="G42" i="40" s="1"/>
  <c r="AA7" i="40"/>
  <c r="R42" i="40" s="1"/>
  <c r="S7" i="40"/>
  <c r="AC7" i="40"/>
  <c r="V42" i="40" s="1"/>
  <c r="I42" i="40" s="1"/>
  <c r="W7" i="40"/>
  <c r="C4" i="12" l="1"/>
  <c r="B3" i="39"/>
  <c r="I46" i="40"/>
  <c r="J46" i="40" s="1"/>
  <c r="R43" i="40"/>
  <c r="E42" i="40"/>
  <c r="G47" i="40"/>
  <c r="H47" i="40" s="1"/>
  <c r="G46" i="40"/>
  <c r="H46" i="40" s="1"/>
  <c r="C31" i="12" l="1"/>
  <c r="C23" i="12"/>
  <c r="C7" i="68"/>
  <c r="C5" i="68" s="1"/>
  <c r="C42" i="40"/>
  <c r="C43" i="40"/>
  <c r="E47" i="40"/>
  <c r="F47" i="40" s="1"/>
  <c r="E46" i="40"/>
  <c r="F46" i="40" s="1"/>
  <c r="I47" i="40"/>
  <c r="J47" i="40" s="1"/>
  <c r="C27" i="12" l="1"/>
  <c r="C25" i="12" s="1"/>
  <c r="C30" i="12"/>
  <c r="C28" i="12" s="1"/>
  <c r="C23" i="68"/>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C28" i="68"/>
  <c r="C27" i="68" s="1"/>
  <c r="C22" i="68"/>
  <c r="D19" i="9"/>
  <c r="D102" i="9" l="1"/>
  <c r="D21" i="9"/>
  <c r="B3" i="12"/>
  <c r="C31" i="68"/>
  <c r="C52" i="68" s="1"/>
  <c r="B2" i="68" s="1"/>
  <c r="D20" i="9"/>
  <c r="C19" i="9"/>
  <c r="D103" i="9" l="1"/>
  <c r="C57" i="68"/>
  <c r="C56" i="68" s="1"/>
  <c r="G19" i="9"/>
  <c r="G21" i="9" s="1"/>
  <c r="C102" i="9"/>
  <c r="D22" i="9"/>
  <c r="C21" i="9"/>
  <c r="B3" i="68"/>
  <c r="C20" i="9"/>
  <c r="G20" i="9" l="1"/>
  <c r="C32" i="9" s="1"/>
  <c r="C35" i="9" s="1"/>
  <c r="C103" i="9"/>
  <c r="D35" i="9" l="1"/>
  <c r="H118" i="9"/>
  <c r="C104" i="9" s="1"/>
  <c r="C34" i="9"/>
  <c r="F118" i="9"/>
  <c r="D34" i="9"/>
  <c r="H4" i="52" l="1"/>
  <c r="I118" i="9"/>
  <c r="I4" i="52" s="1"/>
  <c r="D14" i="74"/>
  <c r="F14" i="74" s="1"/>
  <c r="H119" i="9"/>
  <c r="H5" i="52" s="1"/>
  <c r="H101" i="9"/>
  <c r="H107" i="9" s="1"/>
  <c r="D118" i="9"/>
  <c r="F4" i="52"/>
  <c r="B51" i="72" s="1"/>
  <c r="F119" i="9"/>
  <c r="F5" i="52" s="1"/>
  <c r="B53" i="72" s="1"/>
  <c r="G118" i="9"/>
  <c r="G4" i="52" s="1"/>
  <c r="B52" i="72" s="1"/>
  <c r="E118" i="9"/>
  <c r="E4" i="52" s="1"/>
  <c r="B48" i="72" s="1"/>
  <c r="M48" i="9"/>
  <c r="H102" i="9" l="1"/>
  <c r="D7" i="53" s="1"/>
  <c r="B21" i="72" s="1"/>
  <c r="D5" i="53"/>
  <c r="D6" i="53" s="1"/>
  <c r="B22" i="72" s="1"/>
  <c r="E14" i="74"/>
  <c r="D45" i="9"/>
  <c r="D52" i="9" s="1"/>
  <c r="B5" i="74"/>
  <c r="C5" i="74" s="1"/>
  <c r="C105" i="9"/>
  <c r="D4" i="52"/>
  <c r="B47" i="72" s="1"/>
  <c r="D119" i="9"/>
  <c r="D5" i="52" s="1"/>
  <c r="B49" i="72" s="1"/>
  <c r="B20" i="72"/>
  <c r="H108" i="9"/>
  <c r="D15" i="53" s="1"/>
  <c r="B31" i="72" s="1"/>
  <c r="D13" i="53"/>
  <c r="D122" i="9"/>
  <c r="D5" i="74"/>
  <c r="D55" i="9" l="1"/>
  <c r="M53" i="9" s="1"/>
  <c r="D53" i="9"/>
  <c r="C85" i="9"/>
  <c r="C78" i="9"/>
  <c r="C73" i="9" s="1"/>
  <c r="C64" i="9"/>
  <c r="C63" i="9" s="1"/>
  <c r="C67" i="9" s="1"/>
  <c r="C68" i="9" s="1"/>
  <c r="D54" i="9" s="1"/>
  <c r="C72" i="9"/>
  <c r="C93" i="9"/>
  <c r="C86" i="9" s="1"/>
  <c r="C95" i="9" s="1"/>
  <c r="C96" i="9" s="1"/>
  <c r="E96" i="9" s="1"/>
  <c r="E97" i="9" s="1"/>
  <c r="C79" i="9"/>
  <c r="C80" i="9" s="1"/>
  <c r="E80" i="9" s="1"/>
  <c r="E81" i="9" s="1"/>
  <c r="D14" i="53"/>
  <c r="B32" i="72" s="1"/>
  <c r="B30" i="72"/>
  <c r="D8" i="52"/>
  <c r="G14" i="74"/>
  <c r="B6" i="74" s="1"/>
  <c r="D123" i="9"/>
  <c r="D9" i="52" s="1"/>
  <c r="D59" i="9" l="1"/>
  <c r="M55" i="9" s="1"/>
  <c r="C81" i="9"/>
  <c r="C97" i="9"/>
  <c r="D58" i="9" s="1"/>
  <c r="D56" i="9" s="1"/>
  <c r="M54" i="9" s="1"/>
  <c r="N57" i="9" s="1"/>
  <c r="D6" i="74"/>
  <c r="C6" i="74"/>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<sst xmlns="http://schemas.openxmlformats.org/spreadsheetml/2006/main" count="16648" uniqueCount="4758">
  <si>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</si>
  <si>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</si>
  <si>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</si>
  <si>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</si>
  <si>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</si>
  <si>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</si>
  <si>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</si>
  <si>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</si>
  <si>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</si>
  <si>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</si>
  <si>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</si>
  <si>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</si>
  <si>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</si>
  <si>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</si>
  <si>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</si>
  <si>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</si>
  <si>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</si>
  <si>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</si>
  <si>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</si>
  <si>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</si>
  <si>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</si>
  <si>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</si>
  <si>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</si>
  <si>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</si>
  <si>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</si>
  <si>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</si>
  <si>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</si>
  <si>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</si>
  <si>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</si>
  <si>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</si>
  <si>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</si>
  <si>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</si>
  <si>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</si>
  <si>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</si>
  <si>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</si>
  <si>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</si>
  <si>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</si>
  <si>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</si>
  <si>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</si>
  <si>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</si>
  <si>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</si>
  <si>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</si>
  <si>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</si>
  <si>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</si>
  <si>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</si>
  <si>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</si>
  <si>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</si>
  <si>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</si>
  <si>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</si>
  <si>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</si>
  <si>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</si>
  <si>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</si>
  <si>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</si>
  <si>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</si>
  <si>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</si>
  <si>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</si>
  <si>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</si>
  <si>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</si>
  <si>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</si>
  <si>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</si>
  <si>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</si>
  <si>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</si>
  <si>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</si>
  <si>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</si>
  <si>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</si>
  <si>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</si>
  <si>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</si>
  <si>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</si>
  <si>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</si>
  <si>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</si>
  <si>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</si>
  <si>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</si>
  <si>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</si>
  <si>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</si>
  <si>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</si>
  <si>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</si>
  <si>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</si>
  <si>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</si>
  <si>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</si>
  <si>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</si>
  <si>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</si>
  <si>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</si>
  <si>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</si>
  <si>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</si>
  <si>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</si>
  <si>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</si>
  <si>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</si>
  <si>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</si>
  <si>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</si>
  <si>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</si>
  <si>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</si>
  <si>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</si>
  <si>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</si>
  <si>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</si>
  <si>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</si>
  <si>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</si>
  <si>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</si>
  <si>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</si>
  <si>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</si>
  <si>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</si>
  <si>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</si>
  <si>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</si>
  <si>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</si>
  <si>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</si>
  <si>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</si>
  <si>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</si>
  <si>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</si>
  <si>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</si>
  <si>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</si>
  <si>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</si>
  <si>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</si>
  <si>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</si>
  <si>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</si>
  <si>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</si>
  <si>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</si>
  <si>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</si>
  <si>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</si>
  <si>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</si>
  <si>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</si>
  <si>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</si>
  <si>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</si>
  <si>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</si>
  <si>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</si>
  <si>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</si>
  <si>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</si>
  <si>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</si>
  <si>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</si>
  <si>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</si>
  <si>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</si>
  <si>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</si>
  <si>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</si>
  <si>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</si>
  <si>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</si>
  <si>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</si>
  <si>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</si>
  <si>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</si>
  <si>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</si>
  <si>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</si>
  <si>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</si>
  <si>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</si>
  <si>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</si>
  <si>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</si>
  <si>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</si>
  <si>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</si>
  <si>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</si>
  <si>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</si>
  <si>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</si>
  <si>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</si>
  <si>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</si>
  <si>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</si>
  <si>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</si>
  <si>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</si>
  <si>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</si>
  <si>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</si>
  <si>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</si>
  <si>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</si>
  <si>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</si>
  <si>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</si>
  <si>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</si>
  <si>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</si>
  <si>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</si>
  <si>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</si>
  <si>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</si>
  <si>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</si>
  <si>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</si>
  <si>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</si>
  <si>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</si>
  <si>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</si>
  <si>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</si>
  <si>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</si>
  <si>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</si>
  <si>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</si>
  <si>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</si>
  <si>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</si>
  <si>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</si>
  <si>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</si>
  <si>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</si>
  <si>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</si>
  <si>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</si>
  <si>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</si>
  <si>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</si>
  <si>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</si>
  <si>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</si>
  <si>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</si>
  <si>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</si>
  <si>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</si>
  <si>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</si>
  <si>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</si>
  <si>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</si>
  <si>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</si>
  <si>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</si>
  <si>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</si>
  <si>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</si>
  <si>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</si>
  <si>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</si>
  <si>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</si>
  <si>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</si>
  <si>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</si>
  <si>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</si>
  <si>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</si>
  <si>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</si>
  <si>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</si>
  <si>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</si>
  <si>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</si>
  <si>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</si>
  <si>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</si>
  <si>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</si>
  <si>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</si>
  <si>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</si>
  <si>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</si>
  <si>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</si>
  <si>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</si>
  <si>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</si>
  <si>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</si>
  <si>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</si>
  <si>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</si>
  <si>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</si>
  <si>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</si>
  <si>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</si>
  <si>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</si>
  <si>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</si>
  <si>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</si>
  <si>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</si>
  <si>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</si>
  <si>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</si>
  <si>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</si>
  <si>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</si>
  <si>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</si>
  <si>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</si>
  <si>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</si>
  <si>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</si>
  <si>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</si>
  <si>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</si>
  <si>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</si>
  <si>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</si>
  <si>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</si>
  <si>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</si>
  <si>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</si>
  <si>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</si>
  <si>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</si>
  <si>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</si>
  <si>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</si>
  <si>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</si>
  <si>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</si>
  <si>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</si>
  <si>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</si>
  <si>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</si>
  <si>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</si>
  <si>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</si>
  <si>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</si>
  <si>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</si>
  <si>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</si>
  <si>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</si>
  <si>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</si>
  <si>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</si>
  <si>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</si>
  <si>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</si>
  <si>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</si>
  <si>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</si>
  <si>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</si>
  <si>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</si>
  <si>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</si>
  <si>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</si>
  <si>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</si>
  <si>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</si>
  <si>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</si>
  <si>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</si>
  <si>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</si>
  <si>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</si>
  <si>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</si>
  <si>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</si>
  <si>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</si>
  <si>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</si>
  <si>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</si>
  <si>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</si>
  <si>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</si>
  <si>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</si>
  <si>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</si>
  <si>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</si>
  <si>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</si>
  <si>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</si>
  <si>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</si>
  <si>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</si>
  <si>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</si>
  <si>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</si>
  <si>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</si>
  <si>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</si>
  <si>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</si>
  <si>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</si>
  <si>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</si>
  <si>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</si>
  <si>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</si>
  <si>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</si>
  <si>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</si>
  <si>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</si>
  <si>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</si>
  <si>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</si>
  <si>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</si>
  <si>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</si>
  <si>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</si>
  <si>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</si>
  <si>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</si>
  <si>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</si>
  <si>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</si>
  <si>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</si>
  <si>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</si>
  <si>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</si>
  <si>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</si>
  <si>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</si>
  <si>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</si>
  <si>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</si>
  <si>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</si>
  <si>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</si>
  <si>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</si>
  <si>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</si>
  <si>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</si>
  <si>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</si>
  <si>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</si>
  <si>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</si>
  <si>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</si>
  <si>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</si>
  <si>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</si>
  <si>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</si>
  <si>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</si>
  <si>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</si>
  <si>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</si>
  <si>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</si>
  <si>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</si>
  <si>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</si>
  <si>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</si>
  <si>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</si>
  <si>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</si>
  <si>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</si>
  <si>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</si>
  <si>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</si>
  <si>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</si>
  <si>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</si>
  <si>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</si>
  <si>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</si>
  <si>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</si>
  <si>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</si>
  <si>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</si>
  <si>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</si>
  <si>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</si>
  <si>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</si>
  <si>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</si>
  <si>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</si>
  <si>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</si>
  <si>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</si>
  <si>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</si>
  <si>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</si>
  <si>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</si>
  <si>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</si>
  <si>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</si>
  <si>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</si>
  <si>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</si>
  <si>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</si>
  <si>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</si>
  <si>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</si>
  <si>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</si>
  <si>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</si>
  <si>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</si>
  <si>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</si>
  <si>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</si>
  <si>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</si>
  <si>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</si>
  <si>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</si>
  <si>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</si>
  <si>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</si>
  <si>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</si>
  <si>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</si>
  <si>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</si>
  <si>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</si>
  <si>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</si>
  <si>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</si>
  <si>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</si>
  <si>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</si>
  <si>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</si>
  <si>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</si>
  <si>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</si>
  <si>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</si>
  <si>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</si>
  <si>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</si>
  <si>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</si>
  <si>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</si>
  <si>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</si>
  <si>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</si>
  <si>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</si>
  <si>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</si>
  <si>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</si>
  <si>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</si>
  <si>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</si>
  <si>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</si>
  <si>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</si>
  <si>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</si>
  <si>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</si>
  <si>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</si>
  <si>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</si>
  <si>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</si>
  <si>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</si>
  <si>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</si>
  <si>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</si>
  <si>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</si>
  <si>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</si>
  <si>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</si>
  <si>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</si>
  <si>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</si>
  <si>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</si>
  <si>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</si>
  <si>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</si>
  <si>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</si>
  <si>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</si>
  <si>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</si>
  <si>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</si>
  <si>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</si>
  <si>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</si>
  <si>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</si>
  <si>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</si>
  <si>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</si>
  <si>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</si>
  <si>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</si>
  <si>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</si>
  <si>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</si>
  <si>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</si>
  <si>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</si>
  <si>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</si>
  <si>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</si>
  <si>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</si>
  <si>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</si>
  <si>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</si>
  <si>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</si>
  <si>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</si>
  <si>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</si>
  <si>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</si>
  <si>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</si>
  <si>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</si>
  <si>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</si>
  <si>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</si>
  <si>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</si>
  <si>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</si>
  <si>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</si>
  <si>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</si>
  <si>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</si>
  <si>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</si>
  <si>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</si>
  <si>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</si>
  <si>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</si>
  <si>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</si>
  <si>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</si>
  <si>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</si>
  <si>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</si>
  <si>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</si>
  <si>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</si>
  <si>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</si>
  <si>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</si>
  <si>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</si>
  <si>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</si>
  <si>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</si>
  <si>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</si>
  <si>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</si>
  <si>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</si>
  <si>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</si>
  <si>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</si>
  <si>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</si>
  <si>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</si>
  <si>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</si>
  <si>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</si>
  <si>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</si>
  <si>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</si>
  <si>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</si>
  <si>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</si>
  <si>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</si>
  <si>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</si>
  <si>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</si>
  <si>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</si>
  <si>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</si>
  <si>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</si>
  <si>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</si>
  <si>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</si>
  <si>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</si>
  <si>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</si>
  <si>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</si>
  <si>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</si>
  <si>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</si>
  <si>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</si>
  <si>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</si>
  <si>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</si>
  <si>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</si>
  <si>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</si>
  <si>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</si>
  <si>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</si>
  <si>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</si>
  <si>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</si>
  <si>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</si>
  <si>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</si>
  <si>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</si>
  <si>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</si>
  <si>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</si>
  <si>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</si>
  <si>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</si>
  <si>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</si>
  <si>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</si>
  <si>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</si>
  <si>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</si>
  <si>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</si>
  <si>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</si>
  <si>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</si>
  <si>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</si>
  <si>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</si>
  <si>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</si>
  <si>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</si>
  <si>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</si>
  <si>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</si>
  <si>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</si>
  <si>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</si>
  <si>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</si>
  <si>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</si>
  <si>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</si>
  <si>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</si>
  <si>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</si>
  <si>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</si>
  <si>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</si>
  <si>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</si>
  <si>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</si>
  <si>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</si>
  <si>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</si>
  <si>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</si>
  <si>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</si>
  <si>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</si>
  <si>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</si>
  <si>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</si>
  <si>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</si>
  <si>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</si>
  <si>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</si>
  <si>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</si>
  <si>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</si>
  <si>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</si>
  <si>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</si>
  <si>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</si>
  <si>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</si>
  <si>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</si>
  <si>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</si>
  <si>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</si>
  <si>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</si>
  <si>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</si>
  <si>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</si>
  <si>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</si>
  <si>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</si>
  <si>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</si>
  <si>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</si>
  <si>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</si>
  <si>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</si>
  <si>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</si>
  <si>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</si>
  <si>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</si>
  <si>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</si>
  <si>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</si>
  <si>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</si>
  <si>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</si>
  <si>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</si>
  <si>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</si>
  <si>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</si>
  <si>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</si>
  <si>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</si>
  <si>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</si>
  <si>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</si>
  <si>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</si>
  <si>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</si>
  <si>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</si>
  <si>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</si>
  <si>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</si>
  <si>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</si>
  <si>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</si>
  <si>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</si>
  <si>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</si>
  <si>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</si>
  <si>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</si>
  <si>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</si>
  <si>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</si>
  <si>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</si>
  <si>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</si>
  <si>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</si>
  <si>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</si>
  <si>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</si>
  <si>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</si>
  <si>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</si>
  <si>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</si>
  <si>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</si>
  <si>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</si>
  <si>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</si>
  <si>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</si>
  <si>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</si>
  <si>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</si>
  <si>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</si>
  <si>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</si>
  <si>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</si>
  <si>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</si>
  <si>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</si>
  <si>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</si>
  <si>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</si>
  <si>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</si>
  <si>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</si>
  <si>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</si>
  <si>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</si>
  <si>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</si>
  <si>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</si>
  <si>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</si>
  <si>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</si>
  <si>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</si>
  <si>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</si>
  <si>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</si>
  <si>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</si>
  <si>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</si>
  <si>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</si>
  <si>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</si>
  <si>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</si>
  <si>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</si>
  <si>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</si>
  <si>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</si>
  <si>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</si>
  <si>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</si>
  <si>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</si>
  <si>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</si>
  <si>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</si>
  <si>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</si>
  <si>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</si>
  <si>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</si>
  <si>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</si>
  <si>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</si>
  <si>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</si>
  <si>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</si>
  <si>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</si>
  <si>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</si>
  <si>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</si>
  <si>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</si>
  <si>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</si>
  <si>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</si>
  <si>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</si>
  <si>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</si>
  <si>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</si>
  <si>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</si>
  <si>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</si>
  <si>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</si>
  <si>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</si>
  <si>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</si>
  <si>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</si>
  <si>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</si>
  <si>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</si>
  <si>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</si>
  <si>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</si>
  <si>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</si>
  <si>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</si>
  <si>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</si>
  <si>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</si>
  <si>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</si>
  <si>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</si>
  <si>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</si>
  <si>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</si>
  <si>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</si>
  <si>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</si>
  <si>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</si>
  <si>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</si>
  <si>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</si>
  <si>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</si>
  <si>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</si>
  <si>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</si>
  <si>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</si>
  <si>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</si>
  <si>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</si>
  <si>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</si>
  <si>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</si>
  <si>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</si>
  <si>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</si>
  <si>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</si>
  <si>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</si>
  <si>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</si>
  <si>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</si>
  <si>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</si>
  <si>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</si>
  <si>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</si>
  <si>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</si>
  <si>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</si>
  <si>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</si>
  <si>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</si>
  <si>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</si>
  <si>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</si>
  <si>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</si>
  <si>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</si>
  <si>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</si>
  <si>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</si>
  <si>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</si>
  <si>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</si>
  <si>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</si>
  <si>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</si>
  <si>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</si>
  <si>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</si>
  <si>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</si>
  <si>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</si>
  <si>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</si>
  <si>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</si>
  <si>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</si>
  <si>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</si>
  <si>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</si>
  <si>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</si>
  <si>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</si>
  <si>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</si>
  <si>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</si>
  <si>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</si>
  <si>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</si>
  <si>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</si>
  <si>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</si>
  <si>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</si>
  <si>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</si>
  <si>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</si>
  <si>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</si>
  <si>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</si>
  <si>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</si>
  <si>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</si>
  <si>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</si>
  <si>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</si>
  <si>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</si>
  <si>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</si>
  <si>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</si>
  <si>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</si>
  <si>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</si>
  <si>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</si>
  <si>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</si>
  <si>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</si>
  <si>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</si>
  <si>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</si>
  <si>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</si>
  <si>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</si>
  <si>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</si>
  <si>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</si>
  <si>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</si>
  <si>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</si>
  <si>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</si>
  <si>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</si>
  <si>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</si>
  <si>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</si>
  <si>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</si>
  <si>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</si>
  <si>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</si>
  <si>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</si>
  <si>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</si>
  <si>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</si>
  <si>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</si>
  <si>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</si>
  <si>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</si>
  <si>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</si>
  <si>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</si>
  <si>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</si>
  <si>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</si>
  <si>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</si>
  <si>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</si>
  <si>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</si>
  <si>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</si>
  <si>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</si>
  <si>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</si>
  <si>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</si>
  <si>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</si>
  <si>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</si>
  <si>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</si>
  <si>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</si>
  <si>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</si>
  <si>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</si>
  <si>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</si>
  <si>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</si>
  <si>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</si>
  <si>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</si>
  <si>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</si>
  <si>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</si>
  <si>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</si>
  <si>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</si>
  <si>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</si>
  <si>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</si>
  <si>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</si>
  <si>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</si>
  <si>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</si>
  <si>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</si>
  <si>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</si>
  <si>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</si>
  <si>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</si>
  <si>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</si>
  <si>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</si>
  <si>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</si>
  <si>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</si>
  <si>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</si>
  <si>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</si>
  <si>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</si>
  <si>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</si>
  <si>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</si>
  <si>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</si>
  <si>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</si>
  <si>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</si>
  <si>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</si>
  <si>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</si>
  <si>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</si>
  <si>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</si>
  <si>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</si>
  <si>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</si>
  <si>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</si>
  <si>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</si>
  <si>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</si>
  <si>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</si>
  <si>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</si>
  <si>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</si>
  <si>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</si>
  <si>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</si>
  <si>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</si>
  <si>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</si>
  <si>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</si>
  <si>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</si>
  <si>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</si>
  <si>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</si>
  <si>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</si>
  <si>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</si>
  <si>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</si>
  <si>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</si>
  <si>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</si>
  <si>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</si>
  <si>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</si>
  <si>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</si>
  <si>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</si>
  <si>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</si>
  <si>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</si>
  <si>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</si>
  <si>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</si>
  <si>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</si>
  <si>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</si>
  <si>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</si>
  <si>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</si>
  <si>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</si>
  <si>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</si>
  <si>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</si>
  <si>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</si>
  <si>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</si>
  <si>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</si>
  <si>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</si>
  <si>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</si>
  <si>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</si>
  <si>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</si>
  <si>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</si>
  <si>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</si>
  <si>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</si>
  <si>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</si>
  <si>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</si>
  <si>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</si>
  <si>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</si>
  <si>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</si>
  <si>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</si>
  <si>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</si>
  <si>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</si>
  <si>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</si>
  <si>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</si>
  <si>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</si>
  <si>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</si>
  <si>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</si>
  <si>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</si>
  <si>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</si>
  <si>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</si>
  <si>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</si>
  <si>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</si>
  <si>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</si>
  <si>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</si>
  <si>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</si>
  <si>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</si>
  <si>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</si>
  <si>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</si>
  <si>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</si>
  <si>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</si>
  <si>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</si>
  <si>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</si>
  <si>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</si>
  <si>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</si>
  <si>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</si>
  <si>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</si>
  <si>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</si>
  <si>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</si>
  <si>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</si>
  <si>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</si>
  <si>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</si>
  <si>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</si>
  <si>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</si>
  <si>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</si>
  <si>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</si>
  <si>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</si>
  <si>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</si>
  <si>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</si>
  <si>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</si>
  <si>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</si>
  <si>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</si>
  <si>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</si>
  <si>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</si>
  <si>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</si>
  <si>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</si>
  <si>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</si>
  <si>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</si>
  <si>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</si>
  <si>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</si>
  <si>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</si>
  <si>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</si>
  <si>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</si>
  <si>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</si>
  <si>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</si>
  <si>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</si>
  <si>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</si>
  <si>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</si>
  <si>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</si>
  <si>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</si>
  <si>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</si>
  <si>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</si>
  <si>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</si>
  <si>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</si>
  <si>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</si>
  <si>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</si>
  <si>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</si>
  <si>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</si>
  <si>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</si>
  <si>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</si>
  <si>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</si>
  <si>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</si>
  <si>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</si>
  <si>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</si>
  <si>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</si>
  <si>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</si>
  <si>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</si>
  <si>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</si>
  <si>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</si>
  <si>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</si>
  <si>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</si>
  <si>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</si>
  <si>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</si>
  <si>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</si>
  <si>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</si>
  <si>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</si>
  <si>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</si>
  <si>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</si>
  <si>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</si>
  <si>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</si>
  <si>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</si>
  <si>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</si>
  <si>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</si>
  <si>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</si>
  <si>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</si>
  <si>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</si>
  <si>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</si>
  <si>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</si>
  <si>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</si>
  <si>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</si>
  <si>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</si>
  <si>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</si>
  <si>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</si>
  <si>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</si>
  <si>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</si>
  <si>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</si>
  <si>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</si>
  <si>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</si>
  <si>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</si>
  <si>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</si>
  <si>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</si>
  <si>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</si>
  <si>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</si>
  <si>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</si>
  <si>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</si>
  <si>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</si>
  <si>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</si>
  <si>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</si>
  <si>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</si>
  <si>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</si>
  <si>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</si>
  <si>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</si>
  <si>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</si>
  <si>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</si>
  <si>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</si>
  <si>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</si>
  <si>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</si>
  <si>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</si>
  <si>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</si>
  <si>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</si>
  <si>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</si>
  <si>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</si>
  <si>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</si>
  <si>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</si>
  <si>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</si>
  <si>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</si>
  <si>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</si>
  <si>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</si>
  <si>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</si>
  <si>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</si>
  <si>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</si>
  <si>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</si>
  <si>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</si>
  <si>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</si>
  <si>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</si>
  <si>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</si>
  <si>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</si>
  <si>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</si>
  <si>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</si>
  <si>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</si>
  <si>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</si>
  <si>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</si>
  <si>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</si>
  <si>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</si>
  <si>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</si>
  <si>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</si>
  <si>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</si>
  <si>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</si>
  <si>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</si>
  <si>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</si>
  <si>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</si>
  <si>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</si>
  <si>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</si>
  <si>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</si>
  <si>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</si>
  <si>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</si>
  <si>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</si>
  <si>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</si>
  <si>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</si>
  <si>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</si>
  <si>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</si>
  <si>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</si>
  <si>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</si>
  <si>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</si>
  <si>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</si>
  <si>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</si>
  <si>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</si>
  <si>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</si>
  <si>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</si>
  <si>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</si>
  <si>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</si>
  <si>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</si>
  <si>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</si>
  <si>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</si>
  <si>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</si>
  <si>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</si>
  <si>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</si>
  <si>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</si>
  <si>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</si>
  <si>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</si>
  <si>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</si>
  <si>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</si>
  <si>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</si>
  <si>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</si>
  <si>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</si>
  <si>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</si>
  <si>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</si>
  <si>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</si>
  <si>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</si>
  <si>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</si>
  <si>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</si>
  <si>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</si>
  <si>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</si>
  <si>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</si>
  <si>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</si>
  <si>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</si>
  <si>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</si>
  <si>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</si>
  <si>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</si>
  <si>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</si>
  <si>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</si>
  <si>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</si>
  <si>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</si>
  <si>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</si>
  <si>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</si>
  <si>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</si>
  <si>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</si>
  <si>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</si>
  <si>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</si>
  <si>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</si>
  <si>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</si>
  <si>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</si>
  <si>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</si>
  <si>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</si>
  <si>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</si>
  <si>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</si>
  <si>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</si>
  <si>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</si>
  <si>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</si>
  <si>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</si>
  <si>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</si>
  <si>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</si>
  <si>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</si>
  <si>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</si>
  <si>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</si>
  <si>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</si>
  <si>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</si>
  <si>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</si>
  <si>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</si>
  <si>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</si>
  <si>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</si>
  <si>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</si>
  <si>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</si>
  <si>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</si>
  <si>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</si>
  <si>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</si>
  <si>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</si>
  <si>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</si>
  <si>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</si>
  <si>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</si>
  <si>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</si>
  <si>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</si>
  <si>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</si>
  <si>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</si>
  <si>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</si>
  <si>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</si>
  <si>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</si>
  <si>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</si>
  <si>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</si>
  <si>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</si>
  <si>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</si>
  <si>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</si>
  <si>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</si>
  <si>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</si>
  <si>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</si>
  <si>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</si>
  <si>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</si>
  <si>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</si>
  <si>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</si>
  <si>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</si>
  <si>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</si>
  <si>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</si>
  <si>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</si>
  <si>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</si>
  <si>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</si>
  <si>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</si>
  <si>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</si>
  <si>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</si>
  <si>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</si>
  <si>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</si>
  <si>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</si>
  <si>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</si>
  <si>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</si>
  <si>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</si>
  <si>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</si>
  <si>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</si>
  <si>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</si>
  <si>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</si>
  <si>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</si>
  <si>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</si>
  <si>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</si>
  <si>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</si>
  <si>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</si>
  <si>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</si>
  <si>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</si>
  <si>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</si>
  <si>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</si>
  <si>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</si>
  <si>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</si>
  <si>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</si>
  <si>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</si>
  <si>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</si>
  <si>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</si>
  <si>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</si>
  <si>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</si>
  <si>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</si>
  <si>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</si>
  <si>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</si>
  <si>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</si>
  <si>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</si>
  <si>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</si>
  <si>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</si>
  <si>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</si>
  <si>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</si>
  <si>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</si>
  <si>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</si>
  <si>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</si>
  <si>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</si>
  <si>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</si>
  <si>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</si>
  <si>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</si>
  <si>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</si>
  <si>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</si>
  <si>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</si>
  <si>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</si>
  <si>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</si>
  <si>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</si>
  <si>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</si>
  <si>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</si>
  <si>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</si>
  <si>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</si>
  <si>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</si>
  <si>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</si>
  <si>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</si>
  <si>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</si>
  <si>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</si>
  <si>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</si>
  <si>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</si>
  <si>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</si>
  <si>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</si>
  <si>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</si>
  <si>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</si>
  <si>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</si>
  <si>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</si>
  <si>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</si>
  <si>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</si>
  <si>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</si>
  <si>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</si>
  <si>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</si>
  <si>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</si>
  <si>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</si>
  <si>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</si>
  <si>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</si>
  <si>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</si>
  <si>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</si>
  <si>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</si>
  <si>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</si>
  <si>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</si>
  <si>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</si>
  <si>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</si>
  <si>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</si>
  <si>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</si>
  <si>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</si>
  <si>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</si>
  <si>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</si>
  <si>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</si>
  <si>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</si>
  <si>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</si>
  <si>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</si>
  <si>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</si>
  <si>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</si>
  <si>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</si>
  <si>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</si>
  <si>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</si>
  <si>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</si>
  <si>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</si>
  <si>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</si>
  <si>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</si>
  <si>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</si>
  <si>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</si>
  <si>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</si>
  <si>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</si>
  <si>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</si>
  <si>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</si>
  <si>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</si>
  <si>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</si>
  <si>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</si>
  <si>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</si>
  <si>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</si>
  <si>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</si>
  <si>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</si>
  <si>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</si>
  <si>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</si>
  <si>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</si>
  <si>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</si>
  <si>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</si>
  <si>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</si>
  <si>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</si>
  <si>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</si>
  <si>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</si>
  <si>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</si>
  <si>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</si>
  <si>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</si>
  <si>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</si>
  <si>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</si>
  <si>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</si>
  <si>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</si>
  <si>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</si>
  <si>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</si>
  <si>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</si>
  <si>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</si>
  <si>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</si>
  <si>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</si>
  <si>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</si>
  <si>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</si>
  <si>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</si>
  <si>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</si>
  <si>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</si>
  <si>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</si>
  <si>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</si>
  <si>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</si>
  <si>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</si>
  <si>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</si>
  <si>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</si>
  <si>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</si>
  <si>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</si>
  <si>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</si>
  <si>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</si>
  <si>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</si>
  <si>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</si>
  <si>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</si>
  <si>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</si>
  <si>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</si>
  <si>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</si>
  <si>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</si>
  <si>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</si>
  <si>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</si>
  <si>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</si>
  <si>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</si>
  <si>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</si>
  <si>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</si>
  <si>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</si>
  <si>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</si>
  <si>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</si>
  <si>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</si>
  <si>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</si>
  <si>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</si>
  <si>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</si>
  <si>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</si>
  <si>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</si>
  <si>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</si>
  <si>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</si>
  <si>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</si>
  <si>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</si>
  <si>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</si>
  <si>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</si>
  <si>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</si>
  <si>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</si>
  <si>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</si>
  <si>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</si>
  <si>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</si>
  <si>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</si>
  <si>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</si>
  <si>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</si>
  <si>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</si>
  <si>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</si>
  <si>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</si>
  <si>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</si>
  <si>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</si>
  <si>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</si>
  <si>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</si>
  <si>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</si>
  <si>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</si>
  <si>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</si>
  <si>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</si>
  <si>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</si>
  <si>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</si>
  <si>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</si>
  <si>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</si>
  <si>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</si>
  <si>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</si>
  <si>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</si>
  <si>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</si>
  <si>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</si>
  <si>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</si>
  <si>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</si>
  <si>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</si>
  <si>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</si>
  <si>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</si>
  <si>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</si>
  <si>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</si>
  <si>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</si>
  <si>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</si>
  <si>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</si>
  <si>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</si>
  <si>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</si>
  <si>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</si>
  <si>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</si>
  <si>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</si>
  <si>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</si>
  <si>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</si>
  <si>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</si>
  <si>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</si>
  <si>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</si>
  <si>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</si>
  <si>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</si>
  <si>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</si>
  <si>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</si>
  <si>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</si>
  <si>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</si>
  <si>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</si>
  <si>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</si>
  <si>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</si>
  <si>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</si>
  <si>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</si>
  <si>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</si>
  <si>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</si>
  <si>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</si>
  <si>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</si>
  <si>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</si>
  <si>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</si>
  <si>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</si>
  <si>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</si>
  <si>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</si>
  <si>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</si>
  <si>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</si>
  <si>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</si>
  <si>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</si>
  <si>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</si>
  <si>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</si>
  <si>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</si>
  <si>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</si>
  <si>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</si>
  <si>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</si>
  <si>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</si>
  <si>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</si>
  <si>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</si>
  <si>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</si>
  <si>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</si>
  <si>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</si>
  <si>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</si>
  <si>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</si>
  <si>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</si>
  <si>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</si>
  <si>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</si>
  <si>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</si>
  <si>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</si>
  <si>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</si>
  <si>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</si>
  <si>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</si>
  <si>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</si>
  <si>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</si>
  <si>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</si>
  <si>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</si>
  <si>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</si>
  <si>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</si>
  <si>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</si>
  <si>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</si>
  <si>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</si>
  <si>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</si>
  <si>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</si>
  <si>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</si>
  <si>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</si>
  <si>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</si>
  <si>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</si>
  <si>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</si>
  <si>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</si>
  <si>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</si>
  <si>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</si>
  <si>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</si>
  <si>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</si>
  <si>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</si>
  <si>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</si>
  <si>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</si>
  <si>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</si>
  <si>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</si>
  <si>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</si>
  <si>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</si>
  <si>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</si>
  <si>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</si>
  <si>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</si>
  <si>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</si>
  <si>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</si>
  <si>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</si>
  <si>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</si>
  <si>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</si>
  <si>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</si>
  <si>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</si>
  <si>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</si>
  <si>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</si>
  <si>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</si>
  <si>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</si>
  <si>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</si>
  <si>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</si>
  <si>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</si>
  <si>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</si>
  <si>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</si>
  <si>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</si>
  <si>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</si>
  <si>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</si>
  <si>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</si>
  <si>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</si>
  <si>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</si>
  <si>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</si>
  <si>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</si>
  <si>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</si>
  <si>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</si>
  <si>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</si>
  <si>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</si>
  <si>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</si>
  <si>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</si>
  <si>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</si>
  <si>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</si>
  <si>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</si>
  <si>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</si>
  <si>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</si>
  <si>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</si>
  <si>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</si>
  <si>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</si>
  <si>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</si>
  <si>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</si>
  <si>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</si>
  <si>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</si>
  <si>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</si>
  <si>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</si>
  <si>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</si>
  <si>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</si>
  <si>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</si>
  <si>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</si>
  <si>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</si>
  <si>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</si>
  <si>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</si>
  <si>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</si>
  <si>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</si>
  <si>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</si>
  <si>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</si>
  <si>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</si>
  <si>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</si>
  <si>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</si>
  <si>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</si>
  <si>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</si>
  <si>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</si>
  <si>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</si>
  <si>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</si>
  <si>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</si>
  <si>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</si>
  <si>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</si>
  <si>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</si>
  <si>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</si>
  <si>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</si>
  <si>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</si>
  <si>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</si>
  <si>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</si>
  <si>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</si>
  <si>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</si>
  <si>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</si>
  <si>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</si>
  <si>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</si>
  <si>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</si>
  <si>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</si>
  <si>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</si>
  <si>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</si>
  <si>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</si>
  <si>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</si>
  <si>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</si>
  <si>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</si>
  <si>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</si>
  <si>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</si>
  <si>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</si>
  <si>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</si>
  <si>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</si>
  <si>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</si>
  <si>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</si>
  <si>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</si>
  <si>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</si>
  <si>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</si>
  <si>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</si>
  <si>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</si>
  <si>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</si>
  <si>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</si>
  <si>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</si>
  <si>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</si>
  <si>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</si>
  <si>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</si>
  <si>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</si>
  <si>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</si>
  <si>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</si>
  <si>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</si>
  <si>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</si>
  <si>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</si>
  <si>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</si>
  <si>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</si>
  <si>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</si>
  <si>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</si>
  <si>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</si>
  <si>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</si>
  <si>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</si>
  <si>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</si>
  <si>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</si>
  <si>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</si>
  <si>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</si>
  <si>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</si>
  <si>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</si>
  <si>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</si>
  <si>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</si>
  <si>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</si>
  <si>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</si>
  <si>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</si>
  <si>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</si>
  <si>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</si>
  <si>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</si>
  <si>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</si>
  <si>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</si>
  <si>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</si>
  <si>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</si>
  <si>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</si>
  <si>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</si>
  <si>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</si>
  <si>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</si>
  <si>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</si>
  <si>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</si>
  <si>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</si>
  <si>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</si>
  <si>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</si>
  <si>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</si>
  <si>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</si>
  <si>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</si>
  <si>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</si>
  <si>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</si>
  <si>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</si>
  <si>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</si>
  <si>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</si>
  <si>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</si>
  <si>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</si>
  <si>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</si>
  <si>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</si>
  <si>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</si>
  <si>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</si>
  <si>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</si>
  <si>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</si>
  <si>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</si>
  <si>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</si>
  <si>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</si>
  <si>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</si>
  <si>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</si>
  <si>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</si>
  <si>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</si>
  <si>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</si>
  <si>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</si>
  <si>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</si>
  <si>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</si>
  <si>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</si>
  <si>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</si>
  <si>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</si>
  <si>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</si>
  <si>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</si>
  <si>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</si>
  <si>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</si>
  <si>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</si>
  <si>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</si>
  <si>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</si>
  <si>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</si>
  <si>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</si>
  <si>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</si>
  <si>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</si>
  <si>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</si>
  <si>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</si>
  <si>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</si>
  <si>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</si>
  <si>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</si>
  <si>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</si>
  <si>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</si>
  <si>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</si>
  <si>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</si>
  <si>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</si>
  <si>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</si>
  <si>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</si>
  <si>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</si>
  <si>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</si>
  <si>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</si>
  <si>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</si>
  <si>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</si>
  <si>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</si>
  <si>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</si>
  <si>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</si>
  <si>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</si>
  <si>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</si>
  <si>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</si>
  <si>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</si>
  <si>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</si>
  <si>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</si>
  <si>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</si>
  <si>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</si>
  <si>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</si>
  <si>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</si>
  <si>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</si>
  <si>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</si>
  <si>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</si>
  <si>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</si>
  <si>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</si>
  <si>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</si>
  <si>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</si>
  <si>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</si>
  <si>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</si>
  <si>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</si>
  <si>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</si>
  <si>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</si>
  <si>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</si>
  <si>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</si>
  <si>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</si>
  <si>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</si>
  <si>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</si>
  <si>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</si>
  <si>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</si>
  <si>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</si>
  <si>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</si>
  <si>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</si>
  <si>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</si>
  <si>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</si>
  <si>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</si>
  <si>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</si>
  <si>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</si>
  <si>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</si>
  <si>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</si>
  <si>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</si>
  <si>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</si>
  <si>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</si>
  <si>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</si>
  <si>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</si>
  <si>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</si>
  <si>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</si>
  <si>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</si>
  <si>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</si>
  <si>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</si>
  <si>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</si>
  <si>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</si>
  <si>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</si>
  <si>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</si>
  <si>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</si>
  <si>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</si>
  <si>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</si>
  <si>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</si>
  <si>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</si>
  <si>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</si>
  <si>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</si>
  <si>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</si>
  <si>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</si>
  <si>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</si>
  <si>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</si>
  <si>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</si>
  <si>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</si>
  <si>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</si>
  <si>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</si>
  <si>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</si>
  <si>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</si>
  <si>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</si>
  <si>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</si>
  <si>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</si>
  <si>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</si>
  <si>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</si>
  <si>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</si>
  <si>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</si>
  <si>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</si>
  <si>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</si>
  <si>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</si>
  <si>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</si>
  <si>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</si>
  <si>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</si>
  <si>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</si>
  <si>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</si>
  <si>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</si>
  <si>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</si>
  <si>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</si>
  <si>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</si>
  <si>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</si>
  <si>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</si>
  <si>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</si>
  <si>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</si>
  <si>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</si>
  <si>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</si>
  <si>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</si>
  <si>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</si>
  <si>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</si>
  <si>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</si>
  <si>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</si>
  <si>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</si>
  <si>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</si>
  <si>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</si>
  <si>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</si>
  <si>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</si>
  <si>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</si>
  <si>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</si>
  <si>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</si>
  <si>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</si>
  <si>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</si>
  <si>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</si>
  <si>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</si>
  <si>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</si>
  <si>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</si>
  <si>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</si>
  <si>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</si>
  <si>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</si>
  <si>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</si>
  <si>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</si>
  <si>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</si>
  <si>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</si>
  <si>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</si>
  <si>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</si>
  <si>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</si>
  <si>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</si>
  <si>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</si>
  <si>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</si>
  <si>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</si>
  <si>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</si>
  <si>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</si>
  <si>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</si>
  <si>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</si>
  <si>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</si>
  <si>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</si>
  <si>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</si>
  <si>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</si>
  <si>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</si>
  <si>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</si>
  <si>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</si>
  <si>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</si>
  <si>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</si>
  <si>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</si>
  <si>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</si>
  <si>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</si>
  <si>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</si>
  <si>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</si>
  <si>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</si>
  <si>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</si>
  <si>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</si>
  <si>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</si>
  <si>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</si>
  <si>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</si>
  <si>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</si>
  <si>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</si>
  <si>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</si>
  <si>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</si>
  <si>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</si>
  <si>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</si>
  <si>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</si>
  <si>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</si>
  <si>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</si>
  <si>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</si>
  <si>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</si>
  <si>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</si>
  <si>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</si>
  <si>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</si>
  <si>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</si>
  <si>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</si>
  <si>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</si>
  <si>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</si>
  <si>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</si>
  <si>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</si>
  <si>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</si>
  <si>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</si>
  <si>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</si>
  <si>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</si>
  <si>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</si>
  <si>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</si>
  <si>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</si>
  <si>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</si>
  <si>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</si>
  <si>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</si>
  <si>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</si>
  <si>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</si>
  <si>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</si>
  <si>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</si>
  <si>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</si>
  <si>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</si>
  <si>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</si>
  <si>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</si>
  <si>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</si>
  <si>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</si>
  <si>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</si>
  <si>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</si>
  <si>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</si>
  <si>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</si>
  <si>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</si>
  <si>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</si>
  <si>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</si>
  <si>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</si>
  <si>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</si>
  <si>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</si>
  <si>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</si>
  <si>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</si>
  <si>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</si>
  <si>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</si>
  <si>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</si>
  <si>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</si>
  <si>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</si>
  <si>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</si>
  <si>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</si>
  <si>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</si>
  <si>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</si>
  <si>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</si>
  <si>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</si>
  <si>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</si>
  <si>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</si>
  <si>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</si>
  <si>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</si>
  <si>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</si>
  <si>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</si>
  <si>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</si>
  <si>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</si>
  <si>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</si>
  <si>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</si>
  <si>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</si>
  <si>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</si>
  <si>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</si>
  <si>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</si>
  <si>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</si>
  <si>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</si>
  <si>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</si>
  <si>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</si>
  <si>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</si>
  <si>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</si>
  <si>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</si>
  <si>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</si>
  <si>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</si>
  <si>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</si>
  <si>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</si>
  <si>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</si>
  <si>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</si>
  <si>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</si>
  <si>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</si>
  <si>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</si>
  <si>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</si>
  <si>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</si>
  <si>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</si>
  <si>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</si>
  <si>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</si>
  <si>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</si>
  <si>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</si>
  <si>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</si>
  <si>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</si>
  <si>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</si>
  <si>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</si>
  <si>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</si>
  <si>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</si>
  <si>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</si>
  <si>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</si>
  <si>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</si>
  <si>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</si>
  <si>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</si>
  <si>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</si>
  <si>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</si>
  <si>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</si>
  <si>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</si>
  <si>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</si>
  <si>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</si>
  <si>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</si>
  <si>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</si>
  <si>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</si>
  <si>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</si>
  <si>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</si>
  <si>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</si>
  <si>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</si>
  <si>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</si>
  <si>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</si>
  <si>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</si>
  <si>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</si>
  <si>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</si>
  <si>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</si>
  <si>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</si>
  <si>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</si>
  <si>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</si>
  <si>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</si>
  <si>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</si>
  <si>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</si>
  <si>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</si>
  <si>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</si>
  <si>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</si>
  <si>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</si>
  <si>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</si>
  <si>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</si>
  <si>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</si>
  <si>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</si>
  <si>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</si>
  <si>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</si>
  <si>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</si>
  <si>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</si>
  <si>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</si>
  <si>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</si>
  <si>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</si>
  <si>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</si>
  <si>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</si>
  <si>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</si>
  <si>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</si>
  <si>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</si>
  <si>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</si>
  <si>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</si>
  <si>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</si>
  <si>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</si>
  <si>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</si>
  <si>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</si>
  <si>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</si>
  <si>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</si>
  <si>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</si>
  <si>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</si>
  <si>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</si>
  <si>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</si>
  <si>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</si>
  <si>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</si>
  <si>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</si>
  <si>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</si>
  <si>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</si>
  <si>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</si>
  <si>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</si>
  <si>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</si>
  <si>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</si>
  <si>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</si>
  <si>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</si>
  <si>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</si>
  <si>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</si>
  <si>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</si>
  <si>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</si>
  <si>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</si>
  <si>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</si>
  <si>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</si>
  <si>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</si>
  <si>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</si>
  <si>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</si>
  <si>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</si>
  <si>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</si>
  <si>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</si>
  <si>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</si>
  <si>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</si>
  <si>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</si>
  <si>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</si>
  <si>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</si>
  <si>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</si>
  <si>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</si>
  <si>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</si>
  <si>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</si>
  <si>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</si>
  <si>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</si>
  <si>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</si>
  <si>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</si>
  <si>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</si>
  <si>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</si>
  <si>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</si>
  <si>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</si>
  <si>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</si>
  <si>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</si>
  <si>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</si>
  <si>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</si>
  <si>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</si>
  <si>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</si>
  <si>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</si>
  <si>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</si>
  <si>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</si>
  <si>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</si>
  <si>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</si>
  <si>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</si>
  <si>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</si>
  <si>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</si>
  <si>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</si>
  <si>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</si>
  <si>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</si>
  <si>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</si>
  <si>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</si>
  <si>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</si>
  <si>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</si>
  <si>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</si>
  <si>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</si>
  <si>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</si>
  <si>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</si>
  <si>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</si>
  <si>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</si>
  <si>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</si>
  <si>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</si>
  <si>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</si>
  <si>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</si>
  <si>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</si>
  <si>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</si>
  <si>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</si>
  <si>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</si>
  <si>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</si>
  <si>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</si>
  <si>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</si>
  <si>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</si>
  <si>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</si>
  <si>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</si>
  <si>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</si>
  <si>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</si>
  <si>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</si>
  <si>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</si>
  <si>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</si>
  <si>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</si>
  <si>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</si>
  <si>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</si>
  <si>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</si>
  <si>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</si>
  <si>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</si>
  <si>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</si>
  <si>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</si>
  <si>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</si>
  <si>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</si>
  <si>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</si>
  <si>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</si>
  <si>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</si>
  <si>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</si>
  <si>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</si>
  <si>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</si>
  <si>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</si>
  <si>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</si>
  <si>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</si>
  <si>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</si>
  <si>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</si>
  <si>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</si>
  <si>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</si>
  <si>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</si>
  <si>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</si>
  <si>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</si>
  <si>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</si>
  <si>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</si>
  <si>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</si>
  <si>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</si>
  <si>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</si>
  <si>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</si>
  <si>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</si>
  <si>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</si>
  <si>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</si>
  <si>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</si>
  <si>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</si>
  <si>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</si>
  <si>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</si>
  <si>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</si>
  <si>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</si>
  <si>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</si>
  <si>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</si>
  <si>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</si>
  <si>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</si>
  <si>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</si>
  <si>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</si>
  <si>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</si>
  <si>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</si>
  <si>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</si>
  <si>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</si>
  <si>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</si>
  <si>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</si>
  <si>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</si>
  <si>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</si>
  <si>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</si>
  <si>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</si>
  <si>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</si>
  <si>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</si>
  <si>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</si>
  <si>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</si>
  <si>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</si>
  <si>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</si>
  <si>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</si>
  <si>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</si>
  <si>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</si>
  <si>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</si>
  <si>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</si>
  <si>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</si>
  <si>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</si>
  <si>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</si>
  <si>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</si>
  <si>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</si>
  <si>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</si>
  <si>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</si>
  <si>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</si>
  <si>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</si>
  <si>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</si>
  <si>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</si>
  <si>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</si>
  <si>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</si>
  <si>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</si>
  <si>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</si>
  <si>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</si>
  <si>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</si>
  <si>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</si>
  <si>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</si>
  <si>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</si>
  <si>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</si>
  <si>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</si>
  <si>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</si>
  <si>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</si>
  <si>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</si>
  <si>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</si>
  <si>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</si>
  <si>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</si>
  <si>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</si>
  <si>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</si>
  <si>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</si>
  <si>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</si>
  <si>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</si>
  <si>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</si>
  <si>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</si>
  <si>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</si>
  <si>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</si>
  <si>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</si>
  <si>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</si>
  <si>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</si>
  <si>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</si>
  <si>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</si>
  <si>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</si>
  <si>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</si>
  <si>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</si>
  <si>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</si>
  <si>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</si>
  <si>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</si>
  <si>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</si>
  <si>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</si>
  <si>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</si>
  <si>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</si>
  <si>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</si>
  <si>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</si>
  <si>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</si>
  <si>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</si>
  <si>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</si>
  <si>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</si>
  <si>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</si>
  <si>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</si>
  <si>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</si>
  <si>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</si>
  <si>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</si>
  <si>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</si>
  <si>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</si>
  <si>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</si>
  <si>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</si>
  <si>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</si>
  <si>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</si>
  <si>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</si>
  <si>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</si>
  <si>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</si>
  <si>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</si>
  <si>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</si>
  <si>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</si>
  <si>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</si>
  <si>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</si>
  <si>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</si>
  <si>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</si>
  <si>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</si>
  <si>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</si>
  <si>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</si>
  <si>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</si>
  <si>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</si>
  <si>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</si>
  <si>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</si>
  <si>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</si>
  <si>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</si>
  <si>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</si>
  <si>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</si>
  <si>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</si>
  <si>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</si>
  <si>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</si>
  <si>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</si>
  <si>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</si>
  <si>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</si>
  <si>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</si>
  <si>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</si>
  <si>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</si>
  <si>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</si>
  <si>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</si>
  <si>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</si>
  <si>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</si>
  <si>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</si>
  <si>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</si>
  <si>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</si>
  <si>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</si>
  <si>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</si>
  <si>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</si>
  <si>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</si>
  <si>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</si>
  <si>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</si>
  <si>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</si>
  <si>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</si>
  <si>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</si>
  <si>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</si>
  <si>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</si>
  <si>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</si>
  <si>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</si>
  <si>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</si>
  <si>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</si>
  <si>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</si>
  <si>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</si>
  <si>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</si>
  <si>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</si>
  <si>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</si>
  <si>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</si>
  <si>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</si>
  <si>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</si>
  <si>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</si>
  <si>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</si>
  <si>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</si>
  <si>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</si>
  <si>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</si>
  <si>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</si>
  <si>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</si>
  <si>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</si>
  <si>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</si>
  <si>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</si>
  <si>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</si>
  <si>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</si>
  <si>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</si>
  <si>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</si>
  <si>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</si>
  <si>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</si>
  <si>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</si>
  <si>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</si>
  <si>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</si>
  <si>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</si>
  <si>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</si>
  <si>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</si>
  <si>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</si>
  <si>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</si>
  <si>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</si>
  <si>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</si>
  <si>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</si>
  <si>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</si>
  <si>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</si>
  <si>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</si>
  <si>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</si>
  <si>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</si>
  <si>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</si>
  <si>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</si>
  <si>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</si>
  <si>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</si>
  <si>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</si>
  <si>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</si>
  <si>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</si>
  <si>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</si>
  <si>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</si>
  <si>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</si>
  <si>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</si>
  <si>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</si>
  <si>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</si>
  <si>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</si>
  <si>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</si>
  <si>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</si>
  <si>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</si>
  <si>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</si>
  <si>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</si>
  <si>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</si>
  <si>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</si>
  <si>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</si>
  <si>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</si>
  <si>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</si>
  <si>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</si>
  <si>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</si>
  <si>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</si>
  <si>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</si>
  <si>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</si>
  <si>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</si>
  <si>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</si>
  <si>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</si>
  <si>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</si>
  <si>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</si>
  <si>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</si>
  <si>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</si>
  <si>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</si>
  <si>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</si>
  <si>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</si>
  <si>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</si>
  <si>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</si>
  <si>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</si>
  <si>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</si>
  <si>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</si>
  <si>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</si>
  <si>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</si>
  <si>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</si>
  <si>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</si>
  <si>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</si>
  <si>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</si>
  <si>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</si>
  <si>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</si>
  <si>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</si>
  <si>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</si>
  <si>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</si>
  <si>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</si>
  <si>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</si>
  <si>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</si>
  <si>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</si>
  <si>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</si>
  <si>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</si>
  <si>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</si>
  <si>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</si>
  <si>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</si>
  <si>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</si>
  <si>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</si>
  <si>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</si>
  <si>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</si>
  <si>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</si>
  <si>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</si>
  <si>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</si>
  <si>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</si>
  <si>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</si>
  <si>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</si>
  <si>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</si>
  <si>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</si>
  <si>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</si>
  <si>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</si>
  <si>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</si>
  <si>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</si>
  <si>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</si>
  <si>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</si>
  <si>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</si>
  <si>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</si>
  <si>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</si>
  <si>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</si>
  <si>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</si>
  <si>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</si>
  <si>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</si>
  <si>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</si>
  <si>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</si>
  <si>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</si>
  <si>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</si>
  <si>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</si>
  <si>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</si>
  <si>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</si>
  <si>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</si>
  <si>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</si>
  <si>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</si>
  <si>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</si>
  <si>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</si>
  <si>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</si>
  <si>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</si>
  <si>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</si>
  <si>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</si>
  <si>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</si>
  <si>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</si>
  <si>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</si>
  <si>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</si>
  <si>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</si>
  <si>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</si>
  <si>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</si>
  <si>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</si>
  <si>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</si>
  <si>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</si>
  <si>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</si>
  <si>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</si>
  <si>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</si>
  <si>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</si>
  <si>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</si>
  <si>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</si>
  <si>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</si>
  <si>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</si>
  <si>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</si>
  <si>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</si>
  <si>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</si>
  <si>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</si>
  <si>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</si>
  <si>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</si>
  <si>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</si>
  <si>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</si>
  <si>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</si>
  <si>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</si>
  <si>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</si>
  <si>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</si>
  <si>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</si>
  <si>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</si>
  <si>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</si>
  <si>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</si>
  <si>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</si>
  <si>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</si>
  <si>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</si>
  <si>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</si>
  <si>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</si>
  <si>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</si>
  <si>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</si>
  <si>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</si>
  <si>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</si>
  <si>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</si>
  <si>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</si>
  <si>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</si>
  <si>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</si>
  <si>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</si>
  <si>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</si>
  <si>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</si>
  <si>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</si>
  <si>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</si>
  <si>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</si>
  <si>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</si>
  <si>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</si>
  <si>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</si>
  <si>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</si>
  <si>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</si>
  <si>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</si>
  <si>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</si>
  <si>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</si>
  <si>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</si>
  <si>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</si>
  <si>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</si>
  <si>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</si>
  <si>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</si>
  <si>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</si>
  <si>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</si>
  <si>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</si>
  <si>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</si>
  <si>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</si>
  <si>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</si>
  <si>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</si>
  <si>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</si>
  <si>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</si>
  <si>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</si>
  <si>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</si>
  <si>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</si>
  <si>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</si>
  <si>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</si>
  <si>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</si>
  <si>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</si>
  <si>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</si>
  <si>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</si>
  <si>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</si>
  <si>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</si>
  <si>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</si>
  <si>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</si>
  <si>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</si>
  <si>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</si>
  <si>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</si>
  <si>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</si>
  <si>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</si>
  <si>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</si>
  <si>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</si>
  <si>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</si>
  <si>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</si>
  <si>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</si>
  <si>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</si>
  <si>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</si>
  <si>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</si>
  <si>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</si>
  <si>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</si>
  <si>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</si>
  <si>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</si>
  <si>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</si>
  <si>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</si>
  <si>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</si>
  <si>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</si>
  <si>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</si>
  <si>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</si>
  <si>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</si>
  <si>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</si>
  <si>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</si>
  <si>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</si>
  <si>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</si>
  <si>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</si>
  <si>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</si>
  <si>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</si>
  <si>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</si>
  <si>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</si>
  <si>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</si>
  <si>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</si>
  <si>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</si>
  <si>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</si>
  <si>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</si>
  <si>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</si>
  <si>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</si>
  <si>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</si>
  <si>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</si>
  <si>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</si>
  <si>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</si>
  <si>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</si>
  <si>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</si>
  <si>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</si>
  <si>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</si>
  <si>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</si>
  <si>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</si>
  <si>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</si>
  <si>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</si>
  <si>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</si>
  <si>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</si>
  <si>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</si>
  <si>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</si>
  <si>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</si>
  <si>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</si>
  <si>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</si>
  <si>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</si>
  <si>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</si>
  <si>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</si>
  <si>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</si>
  <si>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</si>
  <si>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</si>
  <si>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</si>
  <si>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</si>
  <si>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</si>
  <si>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</si>
  <si>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</si>
  <si>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</si>
  <si>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</si>
  <si>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</si>
  <si>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</si>
  <si>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</si>
  <si>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</si>
  <si>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</si>
  <si>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</si>
  <si>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</si>
  <si>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</si>
  <si>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</si>
  <si>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</si>
  <si>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</si>
  <si>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</si>
  <si>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</si>
  <si>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</si>
  <si>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</si>
  <si>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</si>
  <si>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</si>
  <si>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</si>
  <si>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</si>
  <si>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</si>
  <si>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</si>
  <si>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</si>
  <si>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</si>
  <si>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</si>
  <si>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</si>
  <si>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</si>
  <si>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</si>
  <si>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</si>
  <si>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</si>
  <si>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</si>
  <si>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</si>
  <si>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</si>
  <si>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</si>
  <si>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</si>
  <si>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</si>
  <si>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</si>
  <si>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</si>
  <si>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</si>
  <si>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</si>
  <si>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</si>
  <si>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</si>
  <si>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</si>
  <si>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</si>
  <si>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</si>
  <si>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</si>
  <si>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</si>
  <si>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</si>
  <si>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</si>
  <si>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</si>
  <si>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</si>
  <si>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</si>
  <si>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</si>
  <si>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</si>
  <si>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</si>
  <si>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</si>
  <si>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</si>
  <si>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</si>
  <si>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</si>
  <si>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</si>
  <si>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</si>
  <si>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</si>
  <si>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</si>
  <si>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</si>
  <si>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</si>
  <si>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</si>
  <si>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</si>
  <si>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</si>
  <si>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</si>
  <si>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</si>
  <si>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</si>
  <si>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</si>
  <si>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</si>
  <si>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</si>
  <si>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</si>
  <si>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</si>
  <si>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</si>
  <si>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</si>
  <si>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</si>
  <si>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</si>
  <si>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</si>
  <si>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</si>
  <si>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</si>
  <si>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</si>
  <si>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</si>
  <si>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</si>
  <si>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</si>
  <si>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</si>
  <si>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</si>
  <si>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</si>
  <si>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</si>
  <si>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</si>
  <si>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</si>
  <si>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</si>
  <si>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</si>
  <si>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</si>
  <si>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</si>
  <si>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</si>
  <si>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</si>
  <si>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</si>
  <si>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</si>
  <si>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</si>
  <si>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</si>
  <si>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</si>
  <si>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</si>
  <si>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</si>
  <si>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</si>
  <si>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</si>
  <si>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</si>
  <si>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</si>
  <si>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</si>
  <si>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</si>
  <si>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</si>
  <si>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</si>
  <si>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</si>
  <si>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</si>
  <si>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</si>
  <si>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</si>
  <si>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</si>
  <si>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</si>
  <si>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</si>
  <si>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</si>
  <si>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</si>
  <si>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</si>
  <si>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</si>
  <si>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</si>
  <si>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</si>
  <si>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</si>
  <si>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</si>
  <si>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</si>
  <si>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</si>
  <si>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</si>
  <si>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</si>
  <si>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</si>
  <si>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</si>
  <si>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</si>
  <si>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</si>
  <si>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</si>
  <si>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</si>
  <si>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</si>
  <si>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</si>
  <si>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</si>
  <si>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</si>
  <si>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</si>
  <si>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</si>
  <si>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</si>
  <si>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</si>
  <si>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</si>
  <si>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</si>
  <si>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</si>
  <si>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</si>
  <si>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</si>
  <si>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</si>
  <si>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</si>
  <si>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</si>
  <si>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</si>
  <si>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</si>
  <si>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</si>
  <si>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</si>
  <si>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</si>
  <si>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</si>
  <si>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</si>
  <si>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</si>
  <si>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</si>
  <si>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</si>
  <si>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</si>
  <si>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</si>
  <si>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</si>
  <si>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</si>
  <si>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</si>
  <si>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</si>
  <si>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</si>
  <si>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</si>
  <si>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</si>
  <si>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</si>
  <si>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</si>
  <si>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</si>
  <si>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</si>
  <si>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</si>
  <si>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</si>
  <si>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</si>
  <si>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</si>
  <si>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</si>
  <si>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</si>
  <si>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</si>
  <si>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</si>
  <si>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</si>
  <si>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</si>
  <si>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</si>
  <si>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</si>
  <si>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</si>
  <si>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</si>
  <si>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</si>
  <si>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</si>
  <si>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</si>
  <si>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</si>
  <si>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</si>
  <si>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</si>
  <si>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</si>
  <si>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</si>
  <si>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</si>
  <si>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</si>
  <si>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</si>
  <si>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</si>
  <si>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</si>
  <si>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</si>
  <si>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</si>
  <si>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</si>
  <si>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</si>
  <si>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</si>
  <si>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</si>
  <si>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</si>
  <si>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</si>
  <si>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</si>
  <si>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</si>
  <si>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</si>
  <si>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</si>
  <si>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</si>
  <si>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</si>
  <si>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</si>
  <si>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</si>
  <si>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</si>
  <si>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</si>
  <si>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</si>
  <si>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</si>
  <si>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</si>
  <si>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</si>
  <si>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</si>
  <si>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</si>
  <si>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</si>
  <si>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</si>
  <si>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</si>
  <si>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</si>
  <si>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</si>
  <si>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</si>
  <si>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</si>
  <si>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</si>
  <si>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</si>
  <si>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</si>
  <si>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</si>
  <si>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</si>
  <si>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</si>
  <si>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</si>
  <si>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</si>
  <si>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</si>
  <si>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</si>
  <si>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</si>
  <si>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</si>
  <si>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</si>
  <si>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</si>
  <si>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</si>
  <si>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</si>
  <si>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</si>
  <si>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</si>
  <si>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</si>
  <si>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</si>
  <si>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</si>
  <si>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</si>
  <si>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</si>
  <si>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</si>
  <si>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</si>
  <si>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</si>
  <si>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</si>
  <si>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</si>
  <si>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</si>
  <si>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</si>
  <si>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</si>
  <si>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</si>
  <si>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</si>
  <si>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</si>
  <si>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</si>
  <si>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</si>
  <si>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</si>
  <si>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</si>
  <si>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</si>
  <si>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</si>
  <si>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</si>
  <si>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</si>
  <si>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</si>
  <si>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</si>
  <si>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</si>
  <si>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</si>
  <si>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</si>
  <si>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</si>
  <si>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</si>
  <si>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</si>
  <si>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</si>
  <si>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</si>
  <si>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</si>
  <si>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</si>
  <si>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</si>
  <si>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</si>
  <si>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</si>
  <si>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</si>
  <si>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</si>
  <si>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</si>
  <si>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</si>
  <si>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</si>
  <si>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</si>
  <si>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</si>
  <si>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</si>
  <si>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</si>
  <si>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</si>
  <si>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</si>
  <si>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</si>
  <si>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</si>
  <si>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</si>
  <si>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</si>
  <si>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</si>
  <si>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</si>
  <si>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</si>
  <si>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</si>
  <si>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</si>
  <si>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</si>
  <si>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</si>
  <si>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</si>
  <si>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</si>
  <si>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</si>
  <si>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</si>
  <si>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</si>
  <si>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</si>
  <si>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</si>
  <si>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</si>
  <si>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</si>
  <si>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</si>
  <si>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</si>
  <si>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</si>
  <si>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</si>
  <si>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</si>
  <si>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</si>
  <si>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</si>
  <si>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</si>
  <si>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</si>
  <si>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</si>
  <si>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</si>
  <si>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</si>
  <si>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</si>
  <si>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</si>
  <si>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</si>
  <si>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</si>
  <si>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</si>
  <si>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</si>
  <si>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</si>
  <si>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</si>
  <si>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</si>
  <si>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</si>
  <si>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</si>
  <si>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</si>
  <si>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</si>
  <si>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</si>
  <si>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</si>
  <si>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</si>
  <si>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</si>
  <si>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</si>
  <si>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</si>
  <si>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</si>
  <si>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</si>
  <si>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</si>
  <si>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</si>
  <si>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</si>
  <si>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</si>
  <si>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</si>
  <si>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</si>
  <si>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</si>
  <si>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</si>
  <si>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</si>
  <si>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</si>
  <si>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</si>
  <si>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</si>
  <si>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</si>
  <si>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</si>
  <si>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</si>
  <si>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</si>
  <si>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</si>
  <si>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</si>
  <si>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</si>
  <si>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</si>
  <si>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</si>
  <si>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</si>
  <si>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</si>
  <si>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</si>
  <si>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</si>
  <si>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</si>
  <si>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</si>
  <si>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</si>
  <si>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</si>
  <si>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</si>
  <si>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</si>
  <si>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</si>
  <si>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</si>
  <si>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</si>
  <si>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</si>
  <si>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</si>
  <si>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</si>
  <si>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</si>
  <si>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</si>
  <si>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</si>
  <si>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</si>
  <si>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</si>
  <si>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</si>
  <si>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</si>
  <si>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</si>
  <si>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</si>
  <si>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</si>
  <si>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</si>
  <si>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</si>
  <si>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</si>
  <si>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</si>
  <si>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</si>
  <si>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</si>
  <si>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</si>
  <si>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</si>
  <si>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</si>
  <si>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</si>
  <si>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</si>
  <si>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</si>
  <si>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</si>
  <si>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</si>
  <si>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</si>
  <si>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</si>
  <si>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</si>
  <si>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</si>
  <si>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</si>
  <si>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</si>
  <si>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</si>
  <si>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</si>
  <si>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</si>
  <si>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</si>
  <si>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</si>
  <si>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</si>
  <si>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</si>
  <si>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</si>
  <si>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</si>
  <si>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</si>
  <si>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</si>
  <si>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</si>
  <si>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</si>
  <si>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</si>
  <si>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</si>
  <si>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</si>
  <si>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</si>
  <si>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</si>
  <si>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</si>
  <si>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</si>
  <si>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</si>
  <si>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</si>
  <si>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</si>
  <si>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</si>
  <si>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</si>
  <si>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</si>
  <si>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</si>
  <si>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</si>
  <si>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</si>
  <si>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</si>
  <si>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</si>
  <si>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</si>
  <si>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</si>
  <si>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</si>
  <si>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</si>
  <si>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</si>
  <si>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</si>
  <si>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</si>
  <si>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</si>
  <si>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</si>
  <si>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</si>
  <si>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</si>
  <si>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</si>
  <si>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</si>
  <si>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</si>
  <si>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</si>
  <si>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</si>
  <si>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</si>
  <si>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</si>
  <si>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</si>
  <si>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</si>
  <si>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</si>
  <si>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</si>
  <si>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</si>
  <si>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</si>
  <si>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</si>
  <si>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</si>
  <si>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</si>
  <si>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</si>
  <si>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</si>
  <si>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</si>
  <si>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</si>
  <si>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</si>
  <si>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</si>
  <si>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</si>
  <si>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</si>
  <si>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</si>
  <si>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</si>
  <si>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</si>
  <si>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</si>
  <si>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</si>
  <si>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</si>
  <si>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</si>
  <si>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</si>
  <si>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</si>
  <si>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</si>
  <si>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</si>
  <si>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</si>
  <si>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</si>
  <si>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</si>
  <si>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</si>
  <si>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</si>
  <si>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</si>
  <si>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</si>
  <si>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</si>
  <si>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</si>
  <si>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</si>
  <si>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</si>
  <si>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</si>
  <si>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</si>
  <si>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</si>
  <si>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</si>
  <si>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</si>
  <si>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</si>
  <si>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141" type="noConversion"/>
  </si>
  <si>
    <t>已取证未售</t>
  </si>
  <si>
    <t>高层</t>
  </si>
  <si>
    <t>10号楼（15幢）</t>
    <phoneticPr fontId="4" type="noConversion"/>
  </si>
  <si>
    <t>样板房</t>
  </si>
  <si>
    <t>9号楼（12幢）</t>
  </si>
  <si>
    <t>8号楼（11幢）</t>
  </si>
  <si>
    <t>7号楼（10幢）</t>
  </si>
  <si>
    <t>13号楼（18幢）</t>
  </si>
  <si>
    <t>12号楼（17幢）</t>
  </si>
  <si>
    <t>11号楼（16幢）</t>
  </si>
  <si>
    <t>10号楼（15幢）</t>
  </si>
  <si>
    <t>成交价</t>
  </si>
  <si>
    <t>标准总价2</t>
  </si>
  <si>
    <t>建筑面积2</t>
  </si>
  <si>
    <t>房号2</t>
  </si>
  <si>
    <t>单元2</t>
  </si>
  <si>
    <t>楼栋名称2</t>
  </si>
  <si>
    <t>序号</t>
  </si>
  <si>
    <t>未取证</t>
  </si>
  <si>
    <t>6号楼（8幢）</t>
  </si>
  <si>
    <t>5号楼（7幢）</t>
  </si>
  <si>
    <t>4号楼（4幢）</t>
  </si>
  <si>
    <t>3号楼（3幢）</t>
  </si>
  <si>
    <t>2号楼（2幢）</t>
  </si>
  <si>
    <t>1号楼（1幢）</t>
  </si>
  <si>
    <t>13号楼</t>
  </si>
  <si>
    <t>12号楼</t>
  </si>
  <si>
    <t>11号楼</t>
  </si>
  <si>
    <t>10号楼</t>
  </si>
  <si>
    <t>9号楼</t>
  </si>
  <si>
    <t>8号楼</t>
  </si>
  <si>
    <t>7号楼</t>
  </si>
  <si>
    <t>6号楼</t>
  </si>
  <si>
    <t>5号楼</t>
  </si>
  <si>
    <t>4号楼</t>
  </si>
  <si>
    <t>3号楼</t>
  </si>
  <si>
    <t>车位</t>
  </si>
  <si>
    <t>地下二层1420</t>
  </si>
  <si>
    <t>地下二层车位（1259~1420）</t>
  </si>
  <si>
    <t>地下二层1419</t>
  </si>
  <si>
    <t>地下二层1418</t>
  </si>
  <si>
    <t>地下二层1417</t>
  </si>
  <si>
    <t>地下二层1416</t>
  </si>
  <si>
    <t>地下二层1415</t>
  </si>
  <si>
    <t>地下二层1414</t>
  </si>
  <si>
    <t>地下二层1413</t>
  </si>
  <si>
    <t>地下二层1412</t>
  </si>
  <si>
    <t>地下二层1411</t>
  </si>
  <si>
    <t>地下二层1410</t>
  </si>
  <si>
    <t>地下二层1409</t>
  </si>
  <si>
    <t>地下二层1408</t>
  </si>
  <si>
    <t>地下二层1407</t>
  </si>
  <si>
    <t>地下二层1406</t>
  </si>
  <si>
    <t>地下二层1405</t>
  </si>
  <si>
    <t>地下二层1404</t>
  </si>
  <si>
    <t>地下二层1403</t>
  </si>
  <si>
    <t>地下二层1402</t>
  </si>
  <si>
    <t>地下二层1401</t>
  </si>
  <si>
    <t>地下二层1400</t>
  </si>
  <si>
    <t>地下二层1399</t>
  </si>
  <si>
    <t>地下二层1398</t>
  </si>
  <si>
    <t>地下二层1397</t>
  </si>
  <si>
    <t>地下二层1396</t>
  </si>
  <si>
    <t>地下二层1395</t>
  </si>
  <si>
    <t>地下二层1394</t>
  </si>
  <si>
    <t>地下二层1393</t>
  </si>
  <si>
    <t>地下二层1392</t>
  </si>
  <si>
    <t>地下二层1391</t>
  </si>
  <si>
    <t>地下二层1390</t>
  </si>
  <si>
    <t>地下二层1389</t>
  </si>
  <si>
    <t>地下二层1388</t>
  </si>
  <si>
    <t>地下二层1387</t>
  </si>
  <si>
    <t>地下二层1386</t>
  </si>
  <si>
    <t>地下二层1385</t>
  </si>
  <si>
    <t>地下二层1384</t>
  </si>
  <si>
    <t>地下二层1383</t>
  </si>
  <si>
    <t>地下二层1382</t>
  </si>
  <si>
    <t>地下二层1381</t>
  </si>
  <si>
    <t>地下二层1380</t>
  </si>
  <si>
    <t>地下二层1379</t>
  </si>
  <si>
    <t>地下二层1378</t>
  </si>
  <si>
    <t>地下二层1377</t>
  </si>
  <si>
    <t>地下二层1376</t>
  </si>
  <si>
    <t>地下二层1375</t>
  </si>
  <si>
    <t>地下二层1374</t>
  </si>
  <si>
    <t>地下二层1373</t>
  </si>
  <si>
    <t>地下二层1372</t>
  </si>
  <si>
    <t>地下二层1371</t>
  </si>
  <si>
    <t>地下二层1370</t>
  </si>
  <si>
    <t>地下二层1369</t>
  </si>
  <si>
    <t>地下二层1368</t>
  </si>
  <si>
    <t>地下二层1367</t>
  </si>
  <si>
    <t>地下二层1366</t>
  </si>
  <si>
    <t>地下二层1365</t>
  </si>
  <si>
    <t>地下二层1364</t>
  </si>
  <si>
    <t>地下二层1363</t>
  </si>
  <si>
    <t>地下二层1362</t>
  </si>
  <si>
    <t>地下二层1361</t>
  </si>
  <si>
    <t>地下二层1360</t>
  </si>
  <si>
    <t>地下二层1359</t>
  </si>
  <si>
    <t>地下二层1358</t>
  </si>
  <si>
    <t>地下二层1357</t>
  </si>
  <si>
    <t>地下二层1356</t>
  </si>
  <si>
    <t>地下二层1355</t>
  </si>
  <si>
    <t>地下二层1354</t>
  </si>
  <si>
    <t>地下二层1353</t>
  </si>
  <si>
    <t>地下二层1352</t>
  </si>
  <si>
    <t>地下二层1351</t>
  </si>
  <si>
    <t>地下二层1350</t>
  </si>
  <si>
    <t>地下二层1349</t>
  </si>
  <si>
    <t>地下二层1348</t>
  </si>
  <si>
    <t>地下二层1347</t>
  </si>
  <si>
    <t>地下二层1346</t>
  </si>
  <si>
    <t>地下二层1345</t>
  </si>
  <si>
    <t>地下二层1344</t>
  </si>
  <si>
    <t>地下二层1343</t>
  </si>
  <si>
    <t>地下二层1342</t>
  </si>
  <si>
    <t>地下二层1341</t>
  </si>
  <si>
    <t>地下二层1340</t>
  </si>
  <si>
    <t>地下二层1339</t>
  </si>
  <si>
    <t>地下二层1338</t>
  </si>
  <si>
    <t>地下二层1337</t>
  </si>
  <si>
    <t>地下二层1336</t>
  </si>
  <si>
    <t>地下二层1335</t>
  </si>
  <si>
    <t>地下二层1334</t>
  </si>
  <si>
    <t>地下二层1333</t>
  </si>
  <si>
    <t>地下二层1332</t>
  </si>
  <si>
    <t>地下二层1331</t>
  </si>
  <si>
    <t>地下二层1330</t>
  </si>
  <si>
    <t>地下二层1329</t>
  </si>
  <si>
    <t>地下二层1328</t>
  </si>
  <si>
    <t>地下二层1327</t>
  </si>
  <si>
    <t>地下二层1326</t>
  </si>
  <si>
    <t>地下二层1325</t>
  </si>
  <si>
    <t>地下二层1324</t>
  </si>
  <si>
    <t>地下二层1323</t>
  </si>
  <si>
    <t>地下二层1322</t>
  </si>
  <si>
    <t>地下二层1321</t>
  </si>
  <si>
    <t>地下二层1320</t>
  </si>
  <si>
    <t>地下二层1319</t>
  </si>
  <si>
    <t>地下二层1318</t>
  </si>
  <si>
    <t>地下二层1317</t>
  </si>
  <si>
    <t>地下二层1316</t>
  </si>
  <si>
    <t>地下二层1315</t>
  </si>
  <si>
    <t>地下二层1314</t>
  </si>
  <si>
    <t>地下二层1313</t>
  </si>
  <si>
    <t>地下二层1312</t>
  </si>
  <si>
    <t>地下二层1311</t>
  </si>
  <si>
    <t>地下二层1310</t>
  </si>
  <si>
    <t>地下二层1309</t>
  </si>
  <si>
    <t>地下二层1308</t>
  </si>
  <si>
    <t>地下二层1307</t>
  </si>
  <si>
    <t>地下二层1306</t>
  </si>
  <si>
    <t>地下二层1305</t>
  </si>
  <si>
    <t>地下二层1304</t>
  </si>
  <si>
    <t>地下二层1303</t>
  </si>
  <si>
    <t>地下二层1302</t>
  </si>
  <si>
    <t>地下二层1301</t>
  </si>
  <si>
    <t>地下二层1300</t>
  </si>
  <si>
    <t>地下二层1299</t>
  </si>
  <si>
    <t>地下二层1298</t>
  </si>
  <si>
    <t>地下二层1297</t>
  </si>
  <si>
    <t>地下二层1296</t>
  </si>
  <si>
    <t>地下二层1295</t>
  </si>
  <si>
    <t>地下二层1294</t>
  </si>
  <si>
    <t>地下二层1293</t>
  </si>
  <si>
    <t>地下二层1292</t>
  </si>
  <si>
    <t>地下二层1291</t>
  </si>
  <si>
    <t>地下二层1290</t>
  </si>
  <si>
    <t>地下二层1289</t>
  </si>
  <si>
    <t>地下二层1288</t>
  </si>
  <si>
    <t>地下二层1287</t>
  </si>
  <si>
    <t>地下二层1286</t>
  </si>
  <si>
    <t>地下二层1285</t>
  </si>
  <si>
    <t>地下二层1284</t>
  </si>
  <si>
    <t>地下二层1283</t>
  </si>
  <si>
    <t>地下二层1282</t>
  </si>
  <si>
    <t>地下二层1281</t>
  </si>
  <si>
    <t>地下二层1280</t>
  </si>
  <si>
    <t>地下二层1279</t>
  </si>
  <si>
    <t>地下二层1278</t>
  </si>
  <si>
    <t>地下二层1277</t>
  </si>
  <si>
    <t>地下二层1276</t>
  </si>
  <si>
    <t>地下二层1275</t>
  </si>
  <si>
    <t>地下二层1274</t>
  </si>
  <si>
    <t>地下二层1273</t>
  </si>
  <si>
    <t>地下二层1272</t>
  </si>
  <si>
    <t>地下二层1271</t>
  </si>
  <si>
    <t>地下二层1270</t>
  </si>
  <si>
    <t>地下二层1269</t>
  </si>
  <si>
    <t>地下二层1268</t>
  </si>
  <si>
    <t>地下二层1267</t>
  </si>
  <si>
    <t>地下二层1266</t>
  </si>
  <si>
    <t>地下二层1265</t>
  </si>
  <si>
    <t>地下二层1264</t>
  </si>
  <si>
    <t>地下二层1263</t>
  </si>
  <si>
    <t>地下二层1262</t>
  </si>
  <si>
    <t>地下二层1261</t>
  </si>
  <si>
    <t>地下二层1259</t>
  </si>
  <si>
    <t>地下一层1244</t>
  </si>
  <si>
    <t>地下一层车位（1001~1258）</t>
  </si>
  <si>
    <t>地下一层1243</t>
  </si>
  <si>
    <t>地下一层1242</t>
  </si>
  <si>
    <t>地下一层1241</t>
  </si>
  <si>
    <t>地下一层1240</t>
  </si>
  <si>
    <t>地下一层1239</t>
  </si>
  <si>
    <t>地下一层1061</t>
  </si>
  <si>
    <t>地下一层1060</t>
  </si>
  <si>
    <t>地下一层1059</t>
  </si>
  <si>
    <t>地下一层1058</t>
  </si>
  <si>
    <t>地下一层1057</t>
  </si>
  <si>
    <t>地下一层1056</t>
  </si>
  <si>
    <t>地下一层1055</t>
  </si>
  <si>
    <t>地下一层1054</t>
  </si>
  <si>
    <t>地下一层1053</t>
  </si>
  <si>
    <t>地下一层1052</t>
  </si>
  <si>
    <t>地下一层1051</t>
  </si>
  <si>
    <t>地下一层1050</t>
  </si>
  <si>
    <t>地下一层1049</t>
  </si>
  <si>
    <t>地下一层1048</t>
  </si>
  <si>
    <t>地下一层1047</t>
  </si>
  <si>
    <t>地下一层1046</t>
  </si>
  <si>
    <t>地下一层1045</t>
  </si>
  <si>
    <t>地下一层1044</t>
  </si>
  <si>
    <t>地下一层1043</t>
  </si>
  <si>
    <t>地下一层1042</t>
  </si>
  <si>
    <t>地下一层1041</t>
  </si>
  <si>
    <t>地下一层1029</t>
  </si>
  <si>
    <t>地下一层1028</t>
  </si>
  <si>
    <t>地下一层1027</t>
  </si>
  <si>
    <t>地下一层1026</t>
  </si>
  <si>
    <t>地下一层1025</t>
  </si>
  <si>
    <t>地下一层1024</t>
  </si>
  <si>
    <t>地下一层1023</t>
  </si>
  <si>
    <t>地下一层1022</t>
  </si>
  <si>
    <t>地下一层1021</t>
  </si>
  <si>
    <t>地下一层999</t>
  </si>
  <si>
    <t>地下一层车位（501~1000）</t>
  </si>
  <si>
    <t>地下一层998</t>
  </si>
  <si>
    <t>地下一层997</t>
  </si>
  <si>
    <t>地下一层996</t>
  </si>
  <si>
    <t>地下一层995</t>
  </si>
  <si>
    <t>地下一层994</t>
  </si>
  <si>
    <t>地下一层993</t>
  </si>
  <si>
    <t>地下一层992</t>
  </si>
  <si>
    <t>地下一层971</t>
  </si>
  <si>
    <t>地下一层970</t>
  </si>
  <si>
    <t>地下一层969</t>
  </si>
  <si>
    <t>地下一层968</t>
  </si>
  <si>
    <t>地下一层967</t>
  </si>
  <si>
    <t>地下一层966</t>
  </si>
  <si>
    <t>地下一层965</t>
  </si>
  <si>
    <t>地下一层964</t>
  </si>
  <si>
    <t>地下一层963</t>
  </si>
  <si>
    <t>地下一层942</t>
  </si>
  <si>
    <t>地下一层941</t>
  </si>
  <si>
    <t>地下一层940</t>
  </si>
  <si>
    <t>地下一层939</t>
  </si>
  <si>
    <t>地下一层938</t>
  </si>
  <si>
    <t>地下一层937</t>
  </si>
  <si>
    <t>地下一层936</t>
  </si>
  <si>
    <t>地下一层935</t>
  </si>
  <si>
    <t>地下一层912</t>
  </si>
  <si>
    <t>地下一层911</t>
  </si>
  <si>
    <t>地下一层908</t>
  </si>
  <si>
    <t>地下一层907</t>
  </si>
  <si>
    <t>地下一层906</t>
  </si>
  <si>
    <t>地下一层905</t>
  </si>
  <si>
    <t>地下一层904</t>
  </si>
  <si>
    <t>地下一层903</t>
  </si>
  <si>
    <t>地下一层902</t>
  </si>
  <si>
    <t>地下一层892</t>
  </si>
  <si>
    <t>地下一层891</t>
  </si>
  <si>
    <t>地下一层890</t>
  </si>
  <si>
    <t>地下一层881</t>
  </si>
  <si>
    <t>地下一层880</t>
  </si>
  <si>
    <t>地下一层879</t>
  </si>
  <si>
    <t>地下一层878</t>
  </si>
  <si>
    <t>地下一层877</t>
  </si>
  <si>
    <t>地下一层876</t>
  </si>
  <si>
    <t>地下一层875</t>
  </si>
  <si>
    <t>地下一层874</t>
  </si>
  <si>
    <t>地下一层873</t>
  </si>
  <si>
    <t>地下一层872</t>
  </si>
  <si>
    <t>地下一层871</t>
  </si>
  <si>
    <t>地下一层870</t>
  </si>
  <si>
    <t>地下一层869</t>
  </si>
  <si>
    <t>地下一层868</t>
  </si>
  <si>
    <t>地下一层867</t>
  </si>
  <si>
    <t>地下一层866</t>
  </si>
  <si>
    <t>地下一层865</t>
  </si>
  <si>
    <t>地下一层864</t>
  </si>
  <si>
    <t>地下一层863</t>
  </si>
  <si>
    <t>地下一层862</t>
  </si>
  <si>
    <t>地下一层861</t>
  </si>
  <si>
    <t>地下一层860</t>
  </si>
  <si>
    <t>地下一层859</t>
  </si>
  <si>
    <t>地下一层858</t>
  </si>
  <si>
    <t>地下一层857</t>
  </si>
  <si>
    <t>地下一层856</t>
  </si>
  <si>
    <t>地下一层855</t>
  </si>
  <si>
    <t>地下一层854</t>
  </si>
  <si>
    <t>地下一层853</t>
  </si>
  <si>
    <t>地下一层852</t>
  </si>
  <si>
    <t>地下一层851</t>
  </si>
  <si>
    <t>地下一层850</t>
  </si>
  <si>
    <t>地下一层849</t>
  </si>
  <si>
    <t>地下一层848</t>
  </si>
  <si>
    <t>地下一层847</t>
  </si>
  <si>
    <t>地下一层846</t>
  </si>
  <si>
    <t>地下一层845</t>
  </si>
  <si>
    <t>地下一层844</t>
  </si>
  <si>
    <t>地下一层843</t>
  </si>
  <si>
    <t>地下一层842</t>
  </si>
  <si>
    <t>地下一层841</t>
  </si>
  <si>
    <t>地下一层840</t>
  </si>
  <si>
    <t>地下一层839</t>
  </si>
  <si>
    <t>地下一层838</t>
  </si>
  <si>
    <t>地下一层837</t>
  </si>
  <si>
    <t>地下一层836</t>
  </si>
  <si>
    <t>地下一层835</t>
  </si>
  <si>
    <t>地下一层834</t>
  </si>
  <si>
    <t>地下一层833</t>
  </si>
  <si>
    <t>地下一层832</t>
  </si>
  <si>
    <t>地下一层831</t>
  </si>
  <si>
    <t>地下一层830</t>
  </si>
  <si>
    <t>地下一层829</t>
  </si>
  <si>
    <t>地下一层828</t>
  </si>
  <si>
    <t>地下一层827</t>
  </si>
  <si>
    <t>地下一层826</t>
  </si>
  <si>
    <t>地下一层825</t>
  </si>
  <si>
    <t>地下一层824</t>
  </si>
  <si>
    <t>地下一层822</t>
  </si>
  <si>
    <t>地下一层821</t>
  </si>
  <si>
    <t>地下一层820</t>
  </si>
  <si>
    <t>地下一层819</t>
  </si>
  <si>
    <t>地下一层818</t>
  </si>
  <si>
    <t>地下一层817</t>
  </si>
  <si>
    <t>地下一层816</t>
  </si>
  <si>
    <t>地下一层815</t>
  </si>
  <si>
    <t>地下一层814</t>
  </si>
  <si>
    <t>地下一层813</t>
  </si>
  <si>
    <t>地下一层812</t>
  </si>
  <si>
    <t>地下一层811</t>
  </si>
  <si>
    <t>地下一层810</t>
  </si>
  <si>
    <t>地下一层809</t>
  </si>
  <si>
    <t>地下一层808</t>
  </si>
  <si>
    <t>地下一层807</t>
  </si>
  <si>
    <t>地下一层806</t>
  </si>
  <si>
    <t>地下一层805</t>
  </si>
  <si>
    <t>地下一层804</t>
  </si>
  <si>
    <t>地下一层803</t>
  </si>
  <si>
    <t>地下一层802</t>
  </si>
  <si>
    <t>地下一层801</t>
  </si>
  <si>
    <t>地下一层800</t>
  </si>
  <si>
    <t>地下一层799</t>
  </si>
  <si>
    <t>地下一层798</t>
  </si>
  <si>
    <t>地下一层797</t>
  </si>
  <si>
    <t>地下一层796</t>
  </si>
  <si>
    <t>地下一层795</t>
  </si>
  <si>
    <t>地下一层794</t>
  </si>
  <si>
    <t>地下一层793</t>
  </si>
  <si>
    <t>地下一层792</t>
  </si>
  <si>
    <t>地下一层791</t>
  </si>
  <si>
    <t>地下一层790</t>
  </si>
  <si>
    <t>地下一层789</t>
  </si>
  <si>
    <t>地下一层788</t>
  </si>
  <si>
    <t>地下一层787</t>
  </si>
  <si>
    <t>地下一层786</t>
  </si>
  <si>
    <t>地下一层785</t>
  </si>
  <si>
    <t>地下一层784</t>
  </si>
  <si>
    <t>地下一层783</t>
  </si>
  <si>
    <t>地下一层782</t>
  </si>
  <si>
    <t>地下一层781</t>
  </si>
  <si>
    <t>地下一层780</t>
  </si>
  <si>
    <t>地下一层779</t>
  </si>
  <si>
    <t>地下一层778</t>
  </si>
  <si>
    <t>地下一层777</t>
  </si>
  <si>
    <t>地下一层776</t>
  </si>
  <si>
    <t>地下一层775</t>
  </si>
  <si>
    <t>地下一层774</t>
  </si>
  <si>
    <t>地下一层773</t>
  </si>
  <si>
    <t>地下一层772</t>
  </si>
  <si>
    <t>地下一层771</t>
  </si>
  <si>
    <t>地下一层770</t>
  </si>
  <si>
    <t>地下一层769</t>
  </si>
  <si>
    <t>地下一层768</t>
  </si>
  <si>
    <t>地下一层767</t>
  </si>
  <si>
    <t>地下一层766</t>
  </si>
  <si>
    <t>地下一层765</t>
  </si>
  <si>
    <t>地下一层764</t>
  </si>
  <si>
    <t>地下一层763</t>
  </si>
  <si>
    <t>地下一层762</t>
  </si>
  <si>
    <t>地下一层761</t>
  </si>
  <si>
    <t>地下一层760</t>
  </si>
  <si>
    <t>地下一层759</t>
  </si>
  <si>
    <t>地下一层758</t>
  </si>
  <si>
    <t>地下一层757</t>
  </si>
  <si>
    <t>地下一层756</t>
  </si>
  <si>
    <t>地下一层755</t>
  </si>
  <si>
    <t>地下一层754</t>
  </si>
  <si>
    <t>地下一层753</t>
  </si>
  <si>
    <t>地下一层752</t>
  </si>
  <si>
    <t>地下一层751</t>
  </si>
  <si>
    <t>地下一层750</t>
  </si>
  <si>
    <t>地下一层749</t>
  </si>
  <si>
    <t>地下一层748</t>
  </si>
  <si>
    <t>地下一层747</t>
  </si>
  <si>
    <t>地下一层746</t>
  </si>
  <si>
    <t>地下一层745</t>
  </si>
  <si>
    <t>地下一层744</t>
  </si>
  <si>
    <t>地下一层743</t>
  </si>
  <si>
    <t>地下一层742</t>
  </si>
  <si>
    <t>地下一层741</t>
  </si>
  <si>
    <t>地下一层740</t>
  </si>
  <si>
    <t>地下一层739</t>
  </si>
  <si>
    <t>地下一层738</t>
  </si>
  <si>
    <t>地下一层737</t>
  </si>
  <si>
    <t>地下一层736</t>
  </si>
  <si>
    <t>地下一层735</t>
  </si>
  <si>
    <t>地下一层734</t>
  </si>
  <si>
    <t>地下一层733</t>
  </si>
  <si>
    <t>地下一层732</t>
  </si>
  <si>
    <t>地下一层731</t>
  </si>
  <si>
    <t>地下一层730</t>
  </si>
  <si>
    <t>地下一层729</t>
  </si>
  <si>
    <t>地下一层728</t>
  </si>
  <si>
    <t>地下一层727</t>
  </si>
  <si>
    <t>地下一层726</t>
  </si>
  <si>
    <t>地下一层725</t>
  </si>
  <si>
    <t>地下一层724</t>
  </si>
  <si>
    <t>地下一层723</t>
  </si>
  <si>
    <t>地下一层722</t>
  </si>
  <si>
    <t>地下一层721</t>
  </si>
  <si>
    <t>地下一层720</t>
  </si>
  <si>
    <t>地下一层719</t>
  </si>
  <si>
    <t>地下一层718</t>
  </si>
  <si>
    <t>地下一层717</t>
  </si>
  <si>
    <t>地下一层716</t>
  </si>
  <si>
    <t>地下一层715</t>
  </si>
  <si>
    <t>地下一层714</t>
  </si>
  <si>
    <t>地下一层713</t>
  </si>
  <si>
    <t>地下一层712</t>
  </si>
  <si>
    <t>地下一层711</t>
  </si>
  <si>
    <t>地下一层710</t>
  </si>
  <si>
    <t>地下一层709</t>
  </si>
  <si>
    <t>地下一层708</t>
  </si>
  <si>
    <t>地下一层707</t>
  </si>
  <si>
    <t>地下一层706</t>
  </si>
  <si>
    <t>地下一层705</t>
  </si>
  <si>
    <t>地下一层704</t>
  </si>
  <si>
    <t>地下一层703</t>
  </si>
  <si>
    <t>地下一层702</t>
  </si>
  <si>
    <t>地下一层701</t>
  </si>
  <si>
    <t>地下一层700</t>
  </si>
  <si>
    <t>地下一层699</t>
  </si>
  <si>
    <t>地下一层698</t>
  </si>
  <si>
    <t>地下一层697</t>
  </si>
  <si>
    <t>地下一层696</t>
  </si>
  <si>
    <t>地下一层695</t>
  </si>
  <si>
    <t>地下一层694</t>
  </si>
  <si>
    <t>地下一层693</t>
  </si>
  <si>
    <t>地下一层692</t>
  </si>
  <si>
    <t>地下一层691</t>
  </si>
  <si>
    <t>地下一层690</t>
  </si>
  <si>
    <t>地下一层689</t>
  </si>
  <si>
    <t>地下一层688</t>
  </si>
  <si>
    <t>地下一层687</t>
  </si>
  <si>
    <t>地下一层686</t>
  </si>
  <si>
    <t>地下一层685</t>
  </si>
  <si>
    <t>地下一层684</t>
  </si>
  <si>
    <t>地下一层683</t>
  </si>
  <si>
    <t>地下一层682</t>
  </si>
  <si>
    <t>地下一层681</t>
  </si>
  <si>
    <t>地下一层680</t>
  </si>
  <si>
    <t>地下一层679</t>
  </si>
  <si>
    <t>地下一层678</t>
  </si>
  <si>
    <t>地下一层677</t>
  </si>
  <si>
    <t>地下一层676</t>
  </si>
  <si>
    <t>地下一层675</t>
  </si>
  <si>
    <t>地下一层674</t>
  </si>
  <si>
    <t>地下一层673</t>
  </si>
  <si>
    <t>地下一层672</t>
  </si>
  <si>
    <t>地下一层671</t>
  </si>
  <si>
    <t>地下一层670</t>
  </si>
  <si>
    <t>地下一层669</t>
  </si>
  <si>
    <t>地下一层668</t>
  </si>
  <si>
    <t>地下一层667</t>
  </si>
  <si>
    <t>地下一层666</t>
  </si>
  <si>
    <t>地下一层665</t>
  </si>
  <si>
    <t>地下一层664</t>
  </si>
  <si>
    <t>地下一层663</t>
  </si>
  <si>
    <t>地下一层662</t>
  </si>
  <si>
    <t>地下一层661</t>
  </si>
  <si>
    <t>地下一层660</t>
  </si>
  <si>
    <t>地下一层659</t>
  </si>
  <si>
    <t>地下一层658</t>
  </si>
  <si>
    <t>地下一层657</t>
  </si>
  <si>
    <t>地下一层656</t>
  </si>
  <si>
    <t>地下一层655</t>
  </si>
  <si>
    <t>地下一层654</t>
  </si>
  <si>
    <t>地下一层653</t>
  </si>
  <si>
    <t>地下一层652</t>
  </si>
  <si>
    <t>地下一层651</t>
  </si>
  <si>
    <t>地下一层650</t>
  </si>
  <si>
    <t>地下一层649</t>
  </si>
  <si>
    <t>地下一层648</t>
  </si>
  <si>
    <t>地下一层647</t>
  </si>
  <si>
    <t>地下一层646</t>
  </si>
  <si>
    <t>地下一层645</t>
  </si>
  <si>
    <t>地下一层644</t>
  </si>
  <si>
    <t>地下一层643</t>
  </si>
  <si>
    <t>地下一层642</t>
  </si>
  <si>
    <t>地下一层641</t>
  </si>
  <si>
    <t>地下一层640</t>
  </si>
  <si>
    <t>地下一层639</t>
  </si>
  <si>
    <t>地下一层638</t>
  </si>
  <si>
    <t>地下一层637</t>
  </si>
  <si>
    <t>地下一层636</t>
  </si>
  <si>
    <t>地下一层635</t>
  </si>
  <si>
    <t>地下一层634</t>
  </si>
  <si>
    <t>地下一层633</t>
  </si>
  <si>
    <t>地下一层632</t>
  </si>
  <si>
    <t>地下一层631</t>
  </si>
  <si>
    <t>地下一层630</t>
  </si>
  <si>
    <t>地下一层629</t>
  </si>
  <si>
    <t>地下一层628</t>
  </si>
  <si>
    <t>地下一层627</t>
  </si>
  <si>
    <t>地下一层626</t>
  </si>
  <si>
    <t>地下一层625</t>
  </si>
  <si>
    <t>地下一层624</t>
  </si>
  <si>
    <t>地下一层623</t>
  </si>
  <si>
    <t>地下一层622</t>
  </si>
  <si>
    <t>地下一层621</t>
  </si>
  <si>
    <t>地下一层620</t>
  </si>
  <si>
    <t>地下一层619</t>
  </si>
  <si>
    <t>地下一层618</t>
  </si>
  <si>
    <t>地下一层617</t>
  </si>
  <si>
    <t>地下一层616</t>
  </si>
  <si>
    <t>地下一层615</t>
  </si>
  <si>
    <t>地下一层614</t>
  </si>
  <si>
    <t>地下一层613</t>
  </si>
  <si>
    <t>地下一层612</t>
  </si>
  <si>
    <t>地下一层611</t>
  </si>
  <si>
    <t>地下一层610</t>
  </si>
  <si>
    <t>地下一层609</t>
  </si>
  <si>
    <t>地下一层608</t>
  </si>
  <si>
    <t>地下一层607</t>
  </si>
  <si>
    <t>地下一层606</t>
  </si>
  <si>
    <t>地下一层605</t>
  </si>
  <si>
    <t>地下一层604</t>
  </si>
  <si>
    <t>地下一层603</t>
  </si>
  <si>
    <t>地下一层602</t>
  </si>
  <si>
    <t>地下一层601</t>
  </si>
  <si>
    <t>地下一层600</t>
  </si>
  <si>
    <t>地下一层599</t>
  </si>
  <si>
    <t>地下一层598</t>
  </si>
  <si>
    <t>地下一层597</t>
  </si>
  <si>
    <t>地下一层596</t>
  </si>
  <si>
    <t>地下一层595</t>
  </si>
  <si>
    <t>地下一层594</t>
  </si>
  <si>
    <t>地下一层593</t>
  </si>
  <si>
    <t>地下一层592</t>
  </si>
  <si>
    <t>地下一层591</t>
  </si>
  <si>
    <t>地下一层590</t>
  </si>
  <si>
    <t>地下一层589</t>
  </si>
  <si>
    <t>地下一层588</t>
  </si>
  <si>
    <t>地下一层587</t>
  </si>
  <si>
    <t>地下一层586</t>
  </si>
  <si>
    <t>地下一层585</t>
  </si>
  <si>
    <t>地下一层584</t>
  </si>
  <si>
    <t>地下一层583</t>
  </si>
  <si>
    <t>地下一层582</t>
  </si>
  <si>
    <t>地下一层581</t>
  </si>
  <si>
    <t>地下一层580</t>
  </si>
  <si>
    <t>地下一层579</t>
  </si>
  <si>
    <t>地下一层578</t>
  </si>
  <si>
    <t>地下一层577</t>
  </si>
  <si>
    <t>地下一层576</t>
  </si>
  <si>
    <t>地下一层575</t>
  </si>
  <si>
    <t>地下一层574</t>
  </si>
  <si>
    <t>地下一层573</t>
  </si>
  <si>
    <t>地下一层572</t>
  </si>
  <si>
    <t>地下一层571</t>
  </si>
  <si>
    <t>地下一层570</t>
  </si>
  <si>
    <t>地下一层569</t>
  </si>
  <si>
    <t>地下一层568</t>
  </si>
  <si>
    <t>地下一层567</t>
  </si>
  <si>
    <t>地下一层566</t>
  </si>
  <si>
    <t>地下一层565</t>
  </si>
  <si>
    <t>地下一层564</t>
  </si>
  <si>
    <t>地下一层563</t>
  </si>
  <si>
    <t>地下一层562</t>
  </si>
  <si>
    <t>地下一层561</t>
  </si>
  <si>
    <t>地下一层560</t>
  </si>
  <si>
    <t>地下一层559</t>
  </si>
  <si>
    <t>地下一层558</t>
  </si>
  <si>
    <t>地下一层557</t>
  </si>
  <si>
    <t>地下一层556</t>
  </si>
  <si>
    <t>地下一层555</t>
  </si>
  <si>
    <t>地下一层554</t>
  </si>
  <si>
    <t>地下一层553</t>
  </si>
  <si>
    <t>地下一层552</t>
  </si>
  <si>
    <t>地下一层551</t>
  </si>
  <si>
    <t>地下一层550</t>
  </si>
  <si>
    <t>地下一层549</t>
  </si>
  <si>
    <t>地下一层548</t>
  </si>
  <si>
    <t>地下一层547</t>
  </si>
  <si>
    <t>地下一层546</t>
  </si>
  <si>
    <t>地下一层545</t>
  </si>
  <si>
    <t>地下一层544</t>
  </si>
  <si>
    <t>地下一层543</t>
  </si>
  <si>
    <t>地下一层542</t>
  </si>
  <si>
    <t>地下一层541</t>
  </si>
  <si>
    <t>地下一层540</t>
  </si>
  <si>
    <t>地下一层539</t>
  </si>
  <si>
    <t>地下一层538</t>
  </si>
  <si>
    <t>地下一层537</t>
  </si>
  <si>
    <t>地下一层536</t>
  </si>
  <si>
    <t>地下一层535</t>
  </si>
  <si>
    <t>地下一层534</t>
  </si>
  <si>
    <t>地下一层533</t>
  </si>
  <si>
    <t>地下一层532</t>
  </si>
  <si>
    <t>地下一层531</t>
  </si>
  <si>
    <t>地下一层530</t>
  </si>
  <si>
    <t>地下一层529</t>
  </si>
  <si>
    <t>地下一层528</t>
  </si>
  <si>
    <t>地下一层527</t>
  </si>
  <si>
    <t>地下一层526</t>
  </si>
  <si>
    <t>地下一层525</t>
  </si>
  <si>
    <t>地下一层524</t>
  </si>
  <si>
    <t>地下一层523</t>
  </si>
  <si>
    <t>地下一层522</t>
  </si>
  <si>
    <t>地下一层521</t>
  </si>
  <si>
    <t>地下一层520</t>
  </si>
  <si>
    <t>地下一层519</t>
  </si>
  <si>
    <t>地下一层518</t>
  </si>
  <si>
    <t>地下一层517</t>
  </si>
  <si>
    <t>地下一层516</t>
  </si>
  <si>
    <t>地下一层515</t>
  </si>
  <si>
    <t>地下一层514</t>
  </si>
  <si>
    <t>地下一层513</t>
  </si>
  <si>
    <t>地下一层512</t>
  </si>
  <si>
    <t>地下一层511</t>
  </si>
  <si>
    <t>地下一层510</t>
  </si>
  <si>
    <t>地下一层509</t>
  </si>
  <si>
    <t>地下一层508</t>
  </si>
  <si>
    <t>地下一层507</t>
  </si>
  <si>
    <t>地下一层506</t>
  </si>
  <si>
    <t>地下一层505</t>
  </si>
  <si>
    <t>地下一层504</t>
  </si>
  <si>
    <t>地下一层503</t>
  </si>
  <si>
    <t>地下一层502</t>
  </si>
  <si>
    <t>地下一层501</t>
  </si>
  <si>
    <t>地下一层1000</t>
  </si>
  <si>
    <t>地下一层500</t>
  </si>
  <si>
    <t>地下一层车位（1~500）</t>
  </si>
  <si>
    <t>地下一层499</t>
  </si>
  <si>
    <t>地下一层498</t>
  </si>
  <si>
    <t>地下一层497</t>
  </si>
  <si>
    <t>地下一层496</t>
  </si>
  <si>
    <t>地下一层495</t>
  </si>
  <si>
    <t>地下一层494</t>
  </si>
  <si>
    <t>地下一层493</t>
  </si>
  <si>
    <t>地下一层492</t>
  </si>
  <si>
    <t>地下一层491</t>
  </si>
  <si>
    <t>地下一层490</t>
  </si>
  <si>
    <t>地下一层489</t>
  </si>
  <si>
    <t>地下一层488</t>
  </si>
  <si>
    <t>地下一层487</t>
  </si>
  <si>
    <t>地下一层486</t>
  </si>
  <si>
    <t>地下一层485</t>
  </si>
  <si>
    <t>地下一层484</t>
  </si>
  <si>
    <t>地下一层483</t>
  </si>
  <si>
    <t>地下一层482</t>
  </si>
  <si>
    <t>地下一层481</t>
  </si>
  <si>
    <t>地下一层480</t>
  </si>
  <si>
    <t>地下一层479</t>
  </si>
  <si>
    <t>地下一层478</t>
  </si>
  <si>
    <t>地下一层477</t>
  </si>
  <si>
    <t>地下一层476</t>
  </si>
  <si>
    <t>地下一层475</t>
  </si>
  <si>
    <t>地下一层474</t>
  </si>
  <si>
    <t>地下一层473</t>
  </si>
  <si>
    <t>地下一层472</t>
  </si>
  <si>
    <t>地下一层471</t>
  </si>
  <si>
    <t>地下一层470</t>
  </si>
  <si>
    <t>地下一层469</t>
  </si>
  <si>
    <t>地下一层468</t>
  </si>
  <si>
    <t>地下一层467</t>
  </si>
  <si>
    <t>地下一层466</t>
  </si>
  <si>
    <t>地下一层465</t>
  </si>
  <si>
    <t>地下一层464</t>
  </si>
  <si>
    <t>地下一层463</t>
  </si>
  <si>
    <t>地下一层462</t>
  </si>
  <si>
    <t>地下一层461</t>
  </si>
  <si>
    <t>地下一层460</t>
  </si>
  <si>
    <t>地下一层459</t>
  </si>
  <si>
    <t>地下一层458</t>
  </si>
  <si>
    <t>地下一层457</t>
  </si>
  <si>
    <t>地下一层456</t>
  </si>
  <si>
    <t>地下一层455</t>
  </si>
  <si>
    <t>地下一层454</t>
  </si>
  <si>
    <t>地下一层453</t>
  </si>
  <si>
    <t>地下一层452</t>
  </si>
  <si>
    <t>地下一层451</t>
  </si>
  <si>
    <t>地下一层450</t>
  </si>
  <si>
    <t>地下一层449</t>
  </si>
  <si>
    <t>地下一层448</t>
  </si>
  <si>
    <t>地下一层447</t>
  </si>
  <si>
    <t>地下一层446</t>
  </si>
  <si>
    <t>地下一层445</t>
  </si>
  <si>
    <t>地下一层444</t>
  </si>
  <si>
    <t>地下一层443</t>
  </si>
  <si>
    <t>地下一层442</t>
  </si>
  <si>
    <t>地下一层441</t>
  </si>
  <si>
    <t>地下一层440</t>
  </si>
  <si>
    <t>地下一层439</t>
  </si>
  <si>
    <t>地下一层438</t>
  </si>
  <si>
    <t>地下一层437</t>
  </si>
  <si>
    <t>地下一层436</t>
  </si>
  <si>
    <t>地下一层435</t>
  </si>
  <si>
    <t>地下一层434</t>
  </si>
  <si>
    <t>地下一层433</t>
  </si>
  <si>
    <t>地下一层432</t>
  </si>
  <si>
    <t>地下一层431</t>
  </si>
  <si>
    <t>地下一层430</t>
  </si>
  <si>
    <t>地下一层429</t>
  </si>
  <si>
    <t>地下一层428</t>
  </si>
  <si>
    <t>地下一层427</t>
  </si>
  <si>
    <t>地下一层426</t>
  </si>
  <si>
    <t>地下一层425</t>
  </si>
  <si>
    <t>地下一层424</t>
  </si>
  <si>
    <t>地下一层423</t>
  </si>
  <si>
    <t>地下一层422</t>
  </si>
  <si>
    <t>地下一层421</t>
  </si>
  <si>
    <t>地下一层420</t>
  </si>
  <si>
    <t>地下一层419</t>
  </si>
  <si>
    <t>地下一层418</t>
  </si>
  <si>
    <t>地下一层417</t>
  </si>
  <si>
    <t>地下一层416</t>
  </si>
  <si>
    <t>地下一层415</t>
  </si>
  <si>
    <t>地下一层414</t>
  </si>
  <si>
    <t>地下一层413</t>
  </si>
  <si>
    <t>地下一层412</t>
  </si>
  <si>
    <t>地下一层411</t>
  </si>
  <si>
    <t>地下一层410</t>
  </si>
  <si>
    <t>地下一层409</t>
  </si>
  <si>
    <t>地下一层408</t>
  </si>
  <si>
    <t>地下一层407</t>
  </si>
  <si>
    <t>地下一层406</t>
  </si>
  <si>
    <t>地下一层405</t>
  </si>
  <si>
    <t>地下一层404</t>
  </si>
  <si>
    <t>地下一层403</t>
  </si>
  <si>
    <t>地下一层402</t>
  </si>
  <si>
    <t>地下一层401</t>
  </si>
  <si>
    <t>地下一层400</t>
  </si>
  <si>
    <t>地下一层399</t>
  </si>
  <si>
    <t>地下一层398</t>
  </si>
  <si>
    <t>地下一层397</t>
  </si>
  <si>
    <t>地下一层396</t>
  </si>
  <si>
    <t>地下一层395</t>
  </si>
  <si>
    <t>地下一层394</t>
  </si>
  <si>
    <t>地下一层393</t>
  </si>
  <si>
    <t>地下一层392</t>
  </si>
  <si>
    <t>地下一层391</t>
  </si>
  <si>
    <t>地下一层390</t>
  </si>
  <si>
    <t>地下一层389</t>
  </si>
  <si>
    <t>地下一层388</t>
  </si>
  <si>
    <t>地下一层387</t>
  </si>
  <si>
    <t>地下一层386</t>
  </si>
  <si>
    <t>地下一层385</t>
  </si>
  <si>
    <t>地下一层384</t>
  </si>
  <si>
    <t>地下一层383</t>
  </si>
  <si>
    <t>地下一层382</t>
  </si>
  <si>
    <t>地下一层381</t>
  </si>
  <si>
    <t>地下一层380</t>
  </si>
  <si>
    <t>地下一层379</t>
  </si>
  <si>
    <t>地下一层378</t>
  </si>
  <si>
    <t>地下一层377</t>
  </si>
  <si>
    <t>地下一层376</t>
  </si>
  <si>
    <t>地下一层375</t>
  </si>
  <si>
    <t>地下一层374</t>
  </si>
  <si>
    <t>地下一层373</t>
  </si>
  <si>
    <t>地下一层372</t>
  </si>
  <si>
    <t>地下一层371</t>
  </si>
  <si>
    <t>地下一层370</t>
  </si>
  <si>
    <t>地下一层369</t>
  </si>
  <si>
    <t>地下一层368</t>
  </si>
  <si>
    <t>地下一层367</t>
  </si>
  <si>
    <t>地下一层366</t>
  </si>
  <si>
    <t>地下一层365</t>
  </si>
  <si>
    <t>地下一层364</t>
  </si>
  <si>
    <t>地下一层363</t>
  </si>
  <si>
    <t>地下一层362</t>
  </si>
  <si>
    <t>地下一层361</t>
  </si>
  <si>
    <t>地下一层360</t>
  </si>
  <si>
    <t>地下一层359</t>
  </si>
  <si>
    <t>地下一层358</t>
  </si>
  <si>
    <t>地下一层357</t>
  </si>
  <si>
    <t>地下一层356</t>
  </si>
  <si>
    <t>地下一层355</t>
  </si>
  <si>
    <t>地下一层354</t>
  </si>
  <si>
    <t>地下一层353</t>
  </si>
  <si>
    <t>地下一层352</t>
  </si>
  <si>
    <t>地下一层351</t>
  </si>
  <si>
    <t>地下一层350</t>
  </si>
  <si>
    <t>地下一层349</t>
  </si>
  <si>
    <t>地下一层348</t>
  </si>
  <si>
    <t>地下一层347</t>
  </si>
  <si>
    <t>地下一层346</t>
  </si>
  <si>
    <t>地下一层345</t>
  </si>
  <si>
    <t>地下一层344</t>
  </si>
  <si>
    <t>地下一层343</t>
  </si>
  <si>
    <t>地下一层342</t>
  </si>
  <si>
    <t>地下一层341</t>
  </si>
  <si>
    <t>地下一层340</t>
  </si>
  <si>
    <t>地下一层339</t>
  </si>
  <si>
    <t>地下一层338</t>
  </si>
  <si>
    <t>地下一层337</t>
  </si>
  <si>
    <t>地下一层335</t>
  </si>
  <si>
    <t>地下一层334</t>
  </si>
  <si>
    <t>地下一层333</t>
  </si>
  <si>
    <t>地下一层332</t>
  </si>
  <si>
    <t>地下一层331</t>
  </si>
  <si>
    <t>地下一层330</t>
  </si>
  <si>
    <t>地下一层329</t>
  </si>
  <si>
    <t>地下一层328</t>
  </si>
  <si>
    <t>地下一层327</t>
  </si>
  <si>
    <t>地下一层326</t>
  </si>
  <si>
    <t>地下一层325</t>
  </si>
  <si>
    <t>地下一层324</t>
  </si>
  <si>
    <t>地下一层323</t>
  </si>
  <si>
    <t>地下一层322</t>
  </si>
  <si>
    <t>地下一层321</t>
  </si>
  <si>
    <t>地下一层320</t>
  </si>
  <si>
    <t>地下一层319</t>
  </si>
  <si>
    <t>地下一层318</t>
  </si>
  <si>
    <t>地下一层317</t>
  </si>
  <si>
    <t>地下一层316</t>
  </si>
  <si>
    <t>地下一层315</t>
  </si>
  <si>
    <t>地下一层314</t>
  </si>
  <si>
    <t>地下一层313</t>
  </si>
  <si>
    <t>地下一层312</t>
  </si>
  <si>
    <t>地下一层311</t>
  </si>
  <si>
    <t>地下一层310</t>
  </si>
  <si>
    <t>地下一层309</t>
  </si>
  <si>
    <t>地下一层308</t>
  </si>
  <si>
    <t>地下一层307</t>
  </si>
  <si>
    <t>地下一层306</t>
  </si>
  <si>
    <t>地下一层305</t>
  </si>
  <si>
    <t>地下一层304</t>
  </si>
  <si>
    <t>地下一层303</t>
  </si>
  <si>
    <t>地下一层302</t>
  </si>
  <si>
    <t>地下一层301</t>
  </si>
  <si>
    <t>地下一层300</t>
  </si>
  <si>
    <t>地下一层299</t>
  </si>
  <si>
    <t>地下一层298</t>
  </si>
  <si>
    <t>地下一层297</t>
  </si>
  <si>
    <t>地下一层296</t>
  </si>
  <si>
    <t>地下一层295</t>
  </si>
  <si>
    <t>地下一层294</t>
  </si>
  <si>
    <t>地下一层293</t>
  </si>
  <si>
    <t>地下一层292</t>
  </si>
  <si>
    <t>地下一层291</t>
  </si>
  <si>
    <t>地下一层290</t>
  </si>
  <si>
    <t>地下一层289</t>
  </si>
  <si>
    <t>地下一层288</t>
  </si>
  <si>
    <t>地下一层287</t>
  </si>
  <si>
    <t>地下一层286</t>
  </si>
  <si>
    <t>地下一层285</t>
  </si>
  <si>
    <t>地下一层284</t>
  </si>
  <si>
    <t>地下一层283</t>
  </si>
  <si>
    <t>地下一层282</t>
  </si>
  <si>
    <t>地下一层281</t>
  </si>
  <si>
    <t>地下一层280</t>
  </si>
  <si>
    <t>地下一层279</t>
  </si>
  <si>
    <t>地下一层278</t>
  </si>
  <si>
    <t>地下一层277</t>
  </si>
  <si>
    <t>地下一层276</t>
  </si>
  <si>
    <t>地下一层275</t>
  </si>
  <si>
    <t>地下一层274</t>
  </si>
  <si>
    <t>地下一层273</t>
  </si>
  <si>
    <t>地下一层272</t>
  </si>
  <si>
    <t>地下一层271</t>
  </si>
  <si>
    <t>地下一层270</t>
  </si>
  <si>
    <t>地下一层269</t>
  </si>
  <si>
    <t>地下一层268</t>
  </si>
  <si>
    <t>地下一层267</t>
  </si>
  <si>
    <t>地下一层266</t>
  </si>
  <si>
    <t>地下一层265</t>
  </si>
  <si>
    <t>地下一层264</t>
  </si>
  <si>
    <t>地下一层263</t>
  </si>
  <si>
    <t>地下一层262</t>
  </si>
  <si>
    <t>地下一层261</t>
  </si>
  <si>
    <t>地下一层260</t>
  </si>
  <si>
    <t>地下一层259</t>
  </si>
  <si>
    <t>地下一层258</t>
  </si>
  <si>
    <t>地下一层257</t>
  </si>
  <si>
    <t>地下一层256</t>
  </si>
  <si>
    <t>地下一层255</t>
  </si>
  <si>
    <t>地下一层254</t>
  </si>
  <si>
    <t>地下一层253</t>
  </si>
  <si>
    <t>地下一层252</t>
  </si>
  <si>
    <t>地下一层251</t>
  </si>
  <si>
    <t>地下一层250</t>
  </si>
  <si>
    <t>地下一层249</t>
  </si>
  <si>
    <t>地下一层248</t>
  </si>
  <si>
    <t>地下一层247</t>
  </si>
  <si>
    <t>地下一层246</t>
  </si>
  <si>
    <t>地下一层245</t>
  </si>
  <si>
    <t>地下一层244</t>
  </si>
  <si>
    <t>地下一层243</t>
  </si>
  <si>
    <t>地下一层242</t>
  </si>
  <si>
    <t>地下一层241</t>
  </si>
  <si>
    <t>地下一层240</t>
  </si>
  <si>
    <t>地下一层239</t>
  </si>
  <si>
    <t>地下一层238</t>
  </si>
  <si>
    <t>地下一层237</t>
  </si>
  <si>
    <t>地下一层236</t>
  </si>
  <si>
    <t>地下一层235</t>
  </si>
  <si>
    <t>地下一层234</t>
  </si>
  <si>
    <t>地下一层233</t>
  </si>
  <si>
    <t>地下一层232</t>
  </si>
  <si>
    <t>地下一层231</t>
  </si>
  <si>
    <t>地下一层230</t>
  </si>
  <si>
    <t>地下一层229</t>
  </si>
  <si>
    <t>地下一层228</t>
  </si>
  <si>
    <t>地下一层227</t>
  </si>
  <si>
    <t>地下一层226</t>
  </si>
  <si>
    <t>地下一层225</t>
  </si>
  <si>
    <t>地下一层224</t>
  </si>
  <si>
    <t>地下一层223</t>
  </si>
  <si>
    <t>地下一层222</t>
  </si>
  <si>
    <t>地下一层221</t>
  </si>
  <si>
    <t>地下一层220</t>
  </si>
  <si>
    <t>地下一层219</t>
  </si>
  <si>
    <t>地下一层218</t>
  </si>
  <si>
    <t>地下一层217</t>
  </si>
  <si>
    <t>地下一层216</t>
  </si>
  <si>
    <t>地下一层215</t>
  </si>
  <si>
    <t>地下一层214</t>
  </si>
  <si>
    <t>地下一层213</t>
  </si>
  <si>
    <t>地下一层212</t>
  </si>
  <si>
    <t>地下一层211</t>
  </si>
  <si>
    <t>地下一层210</t>
  </si>
  <si>
    <t>地下一层209</t>
  </si>
  <si>
    <t>地下一层208</t>
  </si>
  <si>
    <t>地下一层207</t>
  </si>
  <si>
    <t>地下一层206</t>
  </si>
  <si>
    <t>地下一层205</t>
  </si>
  <si>
    <t>地下一层204</t>
  </si>
  <si>
    <t>地下一层203</t>
  </si>
  <si>
    <t>地下一层202</t>
  </si>
  <si>
    <t>地下一层201</t>
  </si>
  <si>
    <t>地下一层200</t>
  </si>
  <si>
    <t>地下一层199</t>
  </si>
  <si>
    <t>地下一层198</t>
  </si>
  <si>
    <t>地下一层197</t>
  </si>
  <si>
    <t>地下一层196</t>
  </si>
  <si>
    <t>地下一层195</t>
  </si>
  <si>
    <t>地下一层194</t>
  </si>
  <si>
    <t>地下一层193</t>
  </si>
  <si>
    <t>地下一层192</t>
  </si>
  <si>
    <t>地下一层191</t>
  </si>
  <si>
    <t>地下一层190</t>
  </si>
  <si>
    <t>地下一层189</t>
  </si>
  <si>
    <t>地下一层188</t>
  </si>
  <si>
    <t>地下一层187</t>
  </si>
  <si>
    <t>地下一层186</t>
  </si>
  <si>
    <t>地下一层185</t>
  </si>
  <si>
    <t>地下一层184</t>
  </si>
  <si>
    <t>地下一层183</t>
  </si>
  <si>
    <t>地下一层182</t>
  </si>
  <si>
    <t>地下一层181</t>
  </si>
  <si>
    <t>地下一层180</t>
  </si>
  <si>
    <t>地下一层179</t>
  </si>
  <si>
    <t>地下一层178</t>
  </si>
  <si>
    <t>地下一层177</t>
  </si>
  <si>
    <t>地下一层176</t>
  </si>
  <si>
    <t>地下一层175</t>
  </si>
  <si>
    <t>地下一层174</t>
  </si>
  <si>
    <t>地下一层173</t>
  </si>
  <si>
    <t>地下一层172</t>
  </si>
  <si>
    <t>地下一层171</t>
  </si>
  <si>
    <t>地下一层170</t>
  </si>
  <si>
    <t>地下一层169</t>
  </si>
  <si>
    <t>地下一层168</t>
  </si>
  <si>
    <t>地下一层167</t>
  </si>
  <si>
    <t>地下一层166</t>
  </si>
  <si>
    <t>地下一层165</t>
  </si>
  <si>
    <t>地下一层164</t>
  </si>
  <si>
    <t>地下一层163</t>
  </si>
  <si>
    <t>地下一层162</t>
  </si>
  <si>
    <t>地下一层161</t>
  </si>
  <si>
    <t>地下一层160</t>
  </si>
  <si>
    <t>地下一层159</t>
  </si>
  <si>
    <t>地下一层158</t>
  </si>
  <si>
    <t>地下一层157</t>
  </si>
  <si>
    <t>地下一层156</t>
  </si>
  <si>
    <t>地下一层155</t>
  </si>
  <si>
    <t>地下一层154</t>
  </si>
  <si>
    <t>地下一层153</t>
  </si>
  <si>
    <t>地下一层152</t>
  </si>
  <si>
    <t>地下一层151</t>
  </si>
  <si>
    <t>地下一层150</t>
  </si>
  <si>
    <t>地下一层149</t>
  </si>
  <si>
    <t>地下一层148</t>
  </si>
  <si>
    <t>地下一层147</t>
  </si>
  <si>
    <t>地下一层146</t>
  </si>
  <si>
    <t>地下一层145</t>
  </si>
  <si>
    <t>地下一层144</t>
  </si>
  <si>
    <t>地下一层143</t>
  </si>
  <si>
    <t>地下一层142</t>
  </si>
  <si>
    <t>地下一层141</t>
  </si>
  <si>
    <t>地下一层140</t>
  </si>
  <si>
    <t>地下一层139</t>
  </si>
  <si>
    <t>地下一层138</t>
  </si>
  <si>
    <t>地下一层137</t>
  </si>
  <si>
    <t>地下一层136</t>
  </si>
  <si>
    <t>地下一层135</t>
  </si>
  <si>
    <t>地下一层134</t>
  </si>
  <si>
    <t>地下一层133</t>
  </si>
  <si>
    <t>地下一层132</t>
  </si>
  <si>
    <t>地下一层131</t>
  </si>
  <si>
    <t>地下一层130</t>
  </si>
  <si>
    <t>地下一层129</t>
  </si>
  <si>
    <t>地下一层128</t>
  </si>
  <si>
    <t>地下一层127</t>
  </si>
  <si>
    <t>地下一层126</t>
  </si>
  <si>
    <t>地下一层125</t>
  </si>
  <si>
    <t>地下一层124</t>
  </si>
  <si>
    <t>地下一层123</t>
  </si>
  <si>
    <t>地下一层122</t>
  </si>
  <si>
    <t>地下一层121</t>
  </si>
  <si>
    <t>地下一层120</t>
  </si>
  <si>
    <t>地下一层119</t>
  </si>
  <si>
    <t>地下一层118</t>
  </si>
  <si>
    <t>地下一层117</t>
  </si>
  <si>
    <t>地下一层116</t>
  </si>
  <si>
    <t>地下一层115</t>
  </si>
  <si>
    <t>地下一层114</t>
  </si>
  <si>
    <t>地下一层113</t>
  </si>
  <si>
    <t>地下一层112</t>
  </si>
  <si>
    <t>地下一层111</t>
  </si>
  <si>
    <t>地下一层110</t>
  </si>
  <si>
    <t>地下一层109</t>
  </si>
  <si>
    <t>地下一层108</t>
  </si>
  <si>
    <t>地下一层107</t>
  </si>
  <si>
    <t>地下一层106</t>
  </si>
  <si>
    <t>地下一层105</t>
  </si>
  <si>
    <t>地下一层104</t>
  </si>
  <si>
    <t>地下一层103</t>
  </si>
  <si>
    <t>地下一层102</t>
  </si>
  <si>
    <t>地下一层101</t>
  </si>
  <si>
    <t>地下一层100</t>
  </si>
  <si>
    <t>地下一层099</t>
  </si>
  <si>
    <t>地下一层098</t>
  </si>
  <si>
    <t>地下一层097</t>
  </si>
  <si>
    <t>地下一层096</t>
  </si>
  <si>
    <t>地下一层095</t>
  </si>
  <si>
    <t>地下一层094</t>
  </si>
  <si>
    <t>地下一层093</t>
  </si>
  <si>
    <t>地下一层092</t>
  </si>
  <si>
    <t>地下一层091</t>
  </si>
  <si>
    <t>地下一层090</t>
  </si>
  <si>
    <t>地下一层089</t>
  </si>
  <si>
    <t>地下一层088</t>
  </si>
  <si>
    <t>地下一层087</t>
  </si>
  <si>
    <t>地下一层086</t>
  </si>
  <si>
    <t>地下一层085</t>
  </si>
  <si>
    <t>地下一层084</t>
  </si>
  <si>
    <t>地下一层083</t>
  </si>
  <si>
    <t>地下一层082</t>
  </si>
  <si>
    <t>地下一层081</t>
  </si>
  <si>
    <t>地下一层080</t>
  </si>
  <si>
    <t>地下一层079</t>
  </si>
  <si>
    <t>地下一层078</t>
  </si>
  <si>
    <t>地下一层077</t>
  </si>
  <si>
    <t>地下一层076</t>
  </si>
  <si>
    <t>地下一层075</t>
  </si>
  <si>
    <t>地下一层074</t>
  </si>
  <si>
    <t>地下一层073</t>
  </si>
  <si>
    <t>地下一层072</t>
  </si>
  <si>
    <t>地下一层071</t>
  </si>
  <si>
    <t>地下一层070</t>
  </si>
  <si>
    <t>地下一层069</t>
  </si>
  <si>
    <t>地下一层068</t>
  </si>
  <si>
    <t>地下一层067</t>
  </si>
  <si>
    <t>地下一层066</t>
  </si>
  <si>
    <t>地下一层065</t>
  </si>
  <si>
    <t>地下一层064</t>
  </si>
  <si>
    <t>地下一层063</t>
  </si>
  <si>
    <t>地下一层062</t>
  </si>
  <si>
    <t>地下一层061</t>
  </si>
  <si>
    <t>地下一层060</t>
  </si>
  <si>
    <t>地下一层059</t>
  </si>
  <si>
    <t>地下一层058</t>
  </si>
  <si>
    <t>地下一层057</t>
  </si>
  <si>
    <t>地下一层056</t>
  </si>
  <si>
    <t>地下一层055</t>
  </si>
  <si>
    <t>地下一层054</t>
  </si>
  <si>
    <t>地下一层053</t>
  </si>
  <si>
    <t>地下一层052</t>
  </si>
  <si>
    <t>地下一层051</t>
  </si>
  <si>
    <t>地下一层050</t>
  </si>
  <si>
    <t>地下一层049</t>
  </si>
  <si>
    <t>地下一层048</t>
  </si>
  <si>
    <t>地下一层047</t>
  </si>
  <si>
    <t>地下一层046</t>
  </si>
  <si>
    <t>地下一层045</t>
  </si>
  <si>
    <t>地下一层044</t>
  </si>
  <si>
    <t>地下一层043</t>
  </si>
  <si>
    <t>地下一层042</t>
  </si>
  <si>
    <t>地下一层041</t>
  </si>
  <si>
    <t>地下一层040</t>
  </si>
  <si>
    <t>地下一层039</t>
  </si>
  <si>
    <t>地下一层038</t>
  </si>
  <si>
    <t>地下一层037</t>
  </si>
  <si>
    <t>地下一层036</t>
  </si>
  <si>
    <t>地下一层035</t>
  </si>
  <si>
    <t>地下一层034</t>
  </si>
  <si>
    <t>地下一层033</t>
  </si>
  <si>
    <t>地下一层032</t>
  </si>
  <si>
    <t>地下一层031</t>
  </si>
  <si>
    <t>地下一层030</t>
  </si>
  <si>
    <t>地下一层029</t>
  </si>
  <si>
    <t>地下一层028</t>
  </si>
  <si>
    <t>地下一层027</t>
  </si>
  <si>
    <t>地下一层026</t>
  </si>
  <si>
    <t>地下一层025</t>
  </si>
  <si>
    <t>地下一层024</t>
  </si>
  <si>
    <t>地下一层023</t>
  </si>
  <si>
    <t>地下一层022</t>
  </si>
  <si>
    <t>地下一层021</t>
  </si>
  <si>
    <t>地下一层020</t>
  </si>
  <si>
    <t>地下一层019</t>
  </si>
  <si>
    <t>地下一层018</t>
  </si>
  <si>
    <t>地下一层017</t>
  </si>
  <si>
    <t>地下一层016</t>
  </si>
  <si>
    <t>地下一层015</t>
  </si>
  <si>
    <t>地下一层014</t>
  </si>
  <si>
    <t>地下一层013</t>
  </si>
  <si>
    <t>地下一层012</t>
  </si>
  <si>
    <t>地下一层011</t>
  </si>
  <si>
    <t>地下一层010</t>
  </si>
  <si>
    <t>地下一层009</t>
  </si>
  <si>
    <t>地下一层008</t>
  </si>
  <si>
    <t>地下一层007</t>
  </si>
  <si>
    <t>地下一层006</t>
  </si>
  <si>
    <t>地下一层005</t>
  </si>
  <si>
    <t>地下一层004</t>
  </si>
  <si>
    <t>地下一层003</t>
  </si>
  <si>
    <t>地下一层002</t>
  </si>
  <si>
    <t>地下一层001</t>
  </si>
  <si>
    <t>地下一层1258</t>
  </si>
  <si>
    <t>地下一层1257</t>
  </si>
  <si>
    <t>地下一层1256</t>
  </si>
  <si>
    <t>地下一层1255</t>
  </si>
  <si>
    <t>地下一层1254</t>
  </si>
  <si>
    <t>地下一层1253</t>
  </si>
  <si>
    <t>地下一层1252</t>
  </si>
  <si>
    <t>地下一层1251</t>
  </si>
  <si>
    <t>地下一层1250</t>
  </si>
  <si>
    <t>地下一层1249</t>
  </si>
  <si>
    <t>地下一层1248</t>
  </si>
  <si>
    <t>地下一层1247</t>
  </si>
  <si>
    <t>地下一层1246</t>
  </si>
  <si>
    <t>地下一层1245</t>
  </si>
  <si>
    <t>地下一层1238</t>
  </si>
  <si>
    <t>地下一层1237</t>
  </si>
  <si>
    <t>地下一层1236</t>
  </si>
  <si>
    <t>地下一层1235</t>
  </si>
  <si>
    <t>地下一层1234</t>
  </si>
  <si>
    <t>地下一层1233</t>
  </si>
  <si>
    <t>地下一层1232</t>
  </si>
  <si>
    <t>地下一层1231</t>
  </si>
  <si>
    <t>地下一层1230</t>
  </si>
  <si>
    <t>地下一层1229</t>
  </si>
  <si>
    <t>地下一层1228</t>
  </si>
  <si>
    <t>地下一层1227</t>
  </si>
  <si>
    <t>地下一层1226</t>
  </si>
  <si>
    <t>地下一层1225</t>
  </si>
  <si>
    <t>地下一层1224</t>
  </si>
  <si>
    <t>地下一层1223</t>
  </si>
  <si>
    <t>地下一层1222</t>
  </si>
  <si>
    <t>地下一层1221</t>
  </si>
  <si>
    <t>地下一层1220</t>
  </si>
  <si>
    <t>地下一层1219</t>
  </si>
  <si>
    <t>地下一层1218</t>
  </si>
  <si>
    <t>地下一层1217</t>
  </si>
  <si>
    <t>地下一层1216</t>
  </si>
  <si>
    <t>地下一层1215</t>
  </si>
  <si>
    <t>地下一层1214</t>
  </si>
  <si>
    <t>地下一层1213</t>
  </si>
  <si>
    <t>地下一层1212</t>
  </si>
  <si>
    <t>地下一层1211</t>
  </si>
  <si>
    <t>地下一层1210</t>
  </si>
  <si>
    <t>地下一层1209</t>
  </si>
  <si>
    <t>地下一层1208</t>
  </si>
  <si>
    <t>地下一层1207</t>
  </si>
  <si>
    <t>地下一层1206</t>
  </si>
  <si>
    <t>地下一层1205</t>
  </si>
  <si>
    <t>地下一层1204</t>
  </si>
  <si>
    <t>地下一层1203</t>
  </si>
  <si>
    <t>地下一层1202</t>
  </si>
  <si>
    <t>地下一层1201</t>
  </si>
  <si>
    <t>地下一层1200</t>
  </si>
  <si>
    <t>地下一层1199</t>
  </si>
  <si>
    <t>地下一层1198</t>
  </si>
  <si>
    <t>地下一层1197</t>
  </si>
  <si>
    <t>地下一层1196</t>
  </si>
  <si>
    <t>地下一层1195</t>
  </si>
  <si>
    <t>地下一层1194</t>
  </si>
  <si>
    <t>地下一层1193</t>
  </si>
  <si>
    <t>地下一层1192</t>
  </si>
  <si>
    <t>地下一层1191</t>
  </si>
  <si>
    <t>地下一层1190</t>
  </si>
  <si>
    <t>地下一层1189</t>
  </si>
  <si>
    <t>地下一层1188</t>
  </si>
  <si>
    <t>地下一层1187</t>
  </si>
  <si>
    <t>地下一层1186</t>
  </si>
  <si>
    <t>地下一层1185</t>
  </si>
  <si>
    <t>地下一层1184</t>
  </si>
  <si>
    <t>地下一层1183</t>
  </si>
  <si>
    <t>地下一层1182</t>
  </si>
  <si>
    <t>地下一层1181</t>
  </si>
  <si>
    <t>地下一层1180</t>
  </si>
  <si>
    <t>地下一层1179</t>
  </si>
  <si>
    <t>地下一层1178</t>
  </si>
  <si>
    <t>地下一层1177</t>
  </si>
  <si>
    <t>地下一层1176</t>
  </si>
  <si>
    <t>地下一层1175</t>
  </si>
  <si>
    <t>地下一层1174</t>
  </si>
  <si>
    <t>地下一层1173</t>
  </si>
  <si>
    <t>地下一层1172</t>
  </si>
  <si>
    <t>地下一层1171</t>
  </si>
  <si>
    <t>地下一层1170</t>
  </si>
  <si>
    <t>地下一层1169</t>
  </si>
  <si>
    <t>地下一层1168</t>
  </si>
  <si>
    <t>地下一层1167</t>
  </si>
  <si>
    <t>地下一层1166</t>
  </si>
  <si>
    <t>地下一层1165</t>
  </si>
  <si>
    <t>地下一层1164</t>
  </si>
  <si>
    <t>地下一层1163</t>
  </si>
  <si>
    <t>地下一层1162</t>
  </si>
  <si>
    <t>地下一层1161</t>
  </si>
  <si>
    <t>地下一层1160</t>
  </si>
  <si>
    <t>地下一层1159</t>
  </si>
  <si>
    <t>地下一层1158</t>
  </si>
  <si>
    <t>地下一层1157</t>
  </si>
  <si>
    <t>地下一层1156</t>
  </si>
  <si>
    <t>地下一层1155</t>
  </si>
  <si>
    <t>地下一层1154</t>
  </si>
  <si>
    <t>地下一层1153</t>
  </si>
  <si>
    <t>地下一层1152</t>
  </si>
  <si>
    <t>地下一层1151</t>
  </si>
  <si>
    <t>地下一层1150</t>
  </si>
  <si>
    <t>地下一层1149</t>
  </si>
  <si>
    <t>地下一层1148</t>
  </si>
  <si>
    <t>地下一层1147</t>
  </si>
  <si>
    <t>地下一层1146</t>
  </si>
  <si>
    <t>地下一层1145</t>
  </si>
  <si>
    <t>地下一层1144</t>
  </si>
  <si>
    <t>地下一层1143</t>
  </si>
  <si>
    <t>地下一层1142</t>
  </si>
  <si>
    <t>地下一层1141</t>
  </si>
  <si>
    <t>地下一层1140</t>
  </si>
  <si>
    <t>地下一层1139</t>
  </si>
  <si>
    <t>地下一层1138</t>
  </si>
  <si>
    <t>地下一层1137</t>
  </si>
  <si>
    <t>地下一层1136</t>
  </si>
  <si>
    <t>地下一层1135</t>
  </si>
  <si>
    <t>地下一层1134</t>
  </si>
  <si>
    <t>地下一层1133</t>
  </si>
  <si>
    <t>地下一层1132</t>
  </si>
  <si>
    <t>地下一层1131</t>
  </si>
  <si>
    <t>地下一层1130</t>
  </si>
  <si>
    <t>地下一层1129</t>
  </si>
  <si>
    <t>地下一层1128</t>
  </si>
  <si>
    <t>地下一层1127</t>
  </si>
  <si>
    <t>地下一层1126</t>
  </si>
  <si>
    <t>地下一层1125</t>
  </si>
  <si>
    <t>地下一层1124</t>
  </si>
  <si>
    <t>地下一层1123</t>
  </si>
  <si>
    <t>地下一层1122</t>
  </si>
  <si>
    <t>地下一层1121</t>
  </si>
  <si>
    <t>地下一层1120</t>
  </si>
  <si>
    <t>地下一层1119</t>
  </si>
  <si>
    <t>地下一层1118</t>
  </si>
  <si>
    <t>地下一层1117</t>
  </si>
  <si>
    <t>地下一层1116</t>
  </si>
  <si>
    <t>地下一层1115</t>
  </si>
  <si>
    <t>地下一层1114</t>
  </si>
  <si>
    <t>地下一层1113</t>
  </si>
  <si>
    <t>地下一层1112</t>
  </si>
  <si>
    <t>地下一层1111</t>
  </si>
  <si>
    <t>地下一层1110</t>
  </si>
  <si>
    <t>地下一层1109</t>
  </si>
  <si>
    <t>地下一层1108</t>
  </si>
  <si>
    <t>地下一层1107</t>
  </si>
  <si>
    <t>地下一层1106</t>
  </si>
  <si>
    <t>地下一层1105</t>
  </si>
  <si>
    <t>地下一层1104</t>
  </si>
  <si>
    <t>地下一层1103</t>
  </si>
  <si>
    <t>地下一层1102</t>
  </si>
  <si>
    <t>地下一层1101</t>
  </si>
  <si>
    <t>地下一层1100</t>
  </si>
  <si>
    <t>地下一层1099</t>
  </si>
  <si>
    <t>地下一层1097</t>
  </si>
  <si>
    <t>地下一层1096</t>
  </si>
  <si>
    <t>地下一层1094</t>
  </si>
  <si>
    <t>地下一层1093</t>
  </si>
  <si>
    <t>地下一层1092</t>
  </si>
  <si>
    <t>地下一层1091</t>
  </si>
  <si>
    <t>地下一层1090</t>
  </si>
  <si>
    <t>地下一层1089</t>
  </si>
  <si>
    <t>地下一层1088</t>
  </si>
  <si>
    <t>地下一层1087</t>
  </si>
  <si>
    <t>地下一层1086</t>
  </si>
  <si>
    <t>地下一层1085</t>
  </si>
  <si>
    <t>地下一层1084</t>
  </si>
  <si>
    <t>地下一层1083</t>
  </si>
  <si>
    <t>地下一层1082</t>
  </si>
  <si>
    <t>地下一层1081</t>
  </si>
  <si>
    <t>地下一层1080</t>
  </si>
  <si>
    <t>地下一层1079</t>
  </si>
  <si>
    <t>地下一层1078</t>
  </si>
  <si>
    <t>地下一层1077</t>
  </si>
  <si>
    <t>地下一层1076</t>
  </si>
  <si>
    <t>地下一层1075</t>
  </si>
  <si>
    <t>地下一层1074</t>
  </si>
  <si>
    <t>地下一层1073</t>
  </si>
  <si>
    <t>地下一层1072</t>
  </si>
  <si>
    <t>地下一层1071</t>
  </si>
  <si>
    <t>地下一层1070</t>
  </si>
  <si>
    <t>地下一层1069</t>
  </si>
  <si>
    <t>地下一层1068</t>
  </si>
  <si>
    <t>地下一层1067</t>
  </si>
  <si>
    <t>地下一层1066</t>
  </si>
  <si>
    <t>地下一层1065</t>
  </si>
  <si>
    <t>地下一层1064</t>
  </si>
  <si>
    <t>地下一层1063</t>
  </si>
  <si>
    <t>地下一层1062</t>
  </si>
  <si>
    <t>地下一层1040</t>
  </si>
  <si>
    <t>地下一层1039</t>
  </si>
  <si>
    <t>地下一层1038</t>
  </si>
  <si>
    <t>地下一层1037</t>
  </si>
  <si>
    <t>地下一层1036</t>
  </si>
  <si>
    <t>地下一层1035</t>
  </si>
  <si>
    <t>地下一层1034</t>
  </si>
  <si>
    <t>地下一层1033</t>
  </si>
  <si>
    <t>地下一层1032</t>
  </si>
  <si>
    <t>地下一层1031</t>
  </si>
  <si>
    <t>地下一层1030</t>
  </si>
  <si>
    <t>地下一层1020</t>
  </si>
  <si>
    <t>地下一层1019</t>
  </si>
  <si>
    <t>地下一层1018</t>
  </si>
  <si>
    <t>地下一层1017</t>
  </si>
  <si>
    <t>地下一层1016</t>
  </si>
  <si>
    <t>地下一层1015</t>
  </si>
  <si>
    <t>地下一层1014</t>
  </si>
  <si>
    <t>地下一层1013</t>
  </si>
  <si>
    <t>地下一层1012</t>
  </si>
  <si>
    <t>地下一层1011</t>
  </si>
  <si>
    <t>地下一层1010</t>
  </si>
  <si>
    <t>地下一层1009</t>
  </si>
  <si>
    <t>地下一层1008</t>
  </si>
  <si>
    <t>地下一层1007</t>
  </si>
  <si>
    <t>地下一层1006</t>
  </si>
  <si>
    <t>地下一层1005</t>
  </si>
  <si>
    <t>地下一层1004</t>
  </si>
  <si>
    <t>地下一层1003</t>
  </si>
  <si>
    <t>地下一层1002</t>
  </si>
  <si>
    <t>地下一层1001</t>
  </si>
  <si>
    <t>地下一层991</t>
  </si>
  <si>
    <t>地下一层990</t>
  </si>
  <si>
    <t>地下一层989</t>
  </si>
  <si>
    <t>地下一层988</t>
  </si>
  <si>
    <t>地下一层987</t>
  </si>
  <si>
    <t>地下一层986</t>
  </si>
  <si>
    <t>地下一层985</t>
  </si>
  <si>
    <t>地下一层984</t>
  </si>
  <si>
    <t>地下一层983</t>
  </si>
  <si>
    <t>地下一层982</t>
  </si>
  <si>
    <t>地下一层981</t>
  </si>
  <si>
    <t>地下一层980</t>
  </si>
  <si>
    <t>地下一层979</t>
  </si>
  <si>
    <t>地下一层978</t>
  </si>
  <si>
    <t>地下一层977</t>
  </si>
  <si>
    <t>地下一层976</t>
  </si>
  <si>
    <t>地下一层975</t>
  </si>
  <si>
    <t>地下一层974</t>
  </si>
  <si>
    <t>地下一层973</t>
  </si>
  <si>
    <t>地下一层972</t>
  </si>
  <si>
    <t>地下一层962</t>
  </si>
  <si>
    <t>地下一层961</t>
  </si>
  <si>
    <t>地下一层960</t>
  </si>
  <si>
    <t>地下一层959</t>
  </si>
  <si>
    <t>地下一层958</t>
  </si>
  <si>
    <t>地下一层957</t>
  </si>
  <si>
    <t>地下一层956</t>
  </si>
  <si>
    <t>地下一层955</t>
  </si>
  <si>
    <t>地下一层954</t>
  </si>
  <si>
    <t>地下一层953</t>
  </si>
  <si>
    <t>地下一层952</t>
  </si>
  <si>
    <t>地下一层951</t>
  </si>
  <si>
    <t>地下一层950</t>
  </si>
  <si>
    <t>地下一层949</t>
  </si>
  <si>
    <t>地下一层948</t>
  </si>
  <si>
    <t>地下一层947</t>
  </si>
  <si>
    <t>地下一层946</t>
  </si>
  <si>
    <t>地下一层945</t>
  </si>
  <si>
    <t>地下一层944</t>
  </si>
  <si>
    <t>地下一层943</t>
  </si>
  <si>
    <t>地下一层934</t>
  </si>
  <si>
    <t>地下一层933</t>
  </si>
  <si>
    <t>地下一层932</t>
  </si>
  <si>
    <t>地下一层931</t>
  </si>
  <si>
    <t>地下一层930</t>
  </si>
  <si>
    <t>地下一层929</t>
  </si>
  <si>
    <t>地下一层928</t>
  </si>
  <si>
    <t>地下一层927</t>
  </si>
  <si>
    <t>地下一层926</t>
  </si>
  <si>
    <t>地下一层925</t>
  </si>
  <si>
    <t>地下一层924</t>
  </si>
  <si>
    <t>地下一层923</t>
  </si>
  <si>
    <t>地下一层922</t>
  </si>
  <si>
    <t>地下一层921</t>
  </si>
  <si>
    <t>地下一层920</t>
  </si>
  <si>
    <t>地下一层919</t>
  </si>
  <si>
    <t>地下一层918</t>
  </si>
  <si>
    <t>地下一层917</t>
  </si>
  <si>
    <t>地下一层916</t>
  </si>
  <si>
    <t>地下一层915</t>
  </si>
  <si>
    <t>地下一层914</t>
  </si>
  <si>
    <t>地下一层913</t>
  </si>
  <si>
    <t>地下一层910</t>
  </si>
  <si>
    <t>地下一层909</t>
  </si>
  <si>
    <t>地下一层901</t>
  </si>
  <si>
    <t>地下一层900</t>
  </si>
  <si>
    <t>地下一层899</t>
  </si>
  <si>
    <t>地下一层898</t>
  </si>
  <si>
    <t>地下一层897</t>
  </si>
  <si>
    <t>地下一层896</t>
  </si>
  <si>
    <t>地下一层895</t>
  </si>
  <si>
    <t>地下一层894</t>
  </si>
  <si>
    <t>地下一层893</t>
  </si>
  <si>
    <t>地下一层889</t>
  </si>
  <si>
    <t>地下一层888</t>
  </si>
  <si>
    <t>地下一层887</t>
  </si>
  <si>
    <t>地下一层886</t>
  </si>
  <si>
    <t>地下一层885</t>
  </si>
  <si>
    <t>地下一层884</t>
  </si>
  <si>
    <t>地下一层883</t>
  </si>
  <si>
    <t>商铺</t>
  </si>
  <si>
    <t>香河路61号</t>
  </si>
  <si>
    <t>17号楼</t>
  </si>
  <si>
    <t>香河路59、63号</t>
  </si>
  <si>
    <t>香河路55号</t>
  </si>
  <si>
    <t>香河路53号</t>
  </si>
  <si>
    <t>香河路51号</t>
  </si>
  <si>
    <t>香河路49、57号</t>
  </si>
  <si>
    <t>香河路45、47号</t>
  </si>
  <si>
    <t>香河路39、41号</t>
  </si>
  <si>
    <t>16号楼</t>
  </si>
  <si>
    <t>香河路33、35号</t>
  </si>
  <si>
    <t>香河路31号</t>
  </si>
  <si>
    <t>香河路29号</t>
  </si>
  <si>
    <t>香河路27、37号</t>
  </si>
  <si>
    <t>香河路25号</t>
  </si>
  <si>
    <t>15号楼</t>
  </si>
  <si>
    <t>香河路23号207</t>
  </si>
  <si>
    <t>香河路23号206</t>
  </si>
  <si>
    <t>香河路23号205</t>
  </si>
  <si>
    <t>香河路23号204</t>
  </si>
  <si>
    <t>香河路23号203</t>
  </si>
  <si>
    <t>香河路23号202</t>
  </si>
  <si>
    <t>香河路23号201</t>
  </si>
  <si>
    <t>香河路19、21号</t>
  </si>
  <si>
    <t>香河路17号</t>
  </si>
  <si>
    <t>香河路13、15号</t>
  </si>
  <si>
    <t>香河路11号</t>
  </si>
  <si>
    <t>出让</t>
  </si>
  <si>
    <t>地上</t>
  </si>
  <si>
    <t>是</t>
  </si>
  <si>
    <t>住宅</t>
  </si>
  <si>
    <t>7、10、13</t>
  </si>
  <si>
    <r>
      <t>11</t>
    </r>
    <r>
      <rPr>
        <sz val="11"/>
        <color indexed="8"/>
        <rFont val="宋体"/>
        <family val="3"/>
        <charset val="134"/>
      </rPr>
      <t>、</t>
    </r>
    <r>
      <rPr>
        <sz val="11"/>
        <color indexed="8"/>
        <rFont val="Arial"/>
        <family val="2"/>
      </rPr>
      <t>12</t>
    </r>
    <phoneticPr fontId="8" type="noConversion"/>
  </si>
  <si>
    <r>
      <t>8</t>
    </r>
    <r>
      <rPr>
        <sz val="10"/>
        <color indexed="8"/>
        <rFont val="宋体"/>
        <family val="3"/>
        <charset val="134"/>
      </rPr>
      <t>、</t>
    </r>
    <r>
      <rPr>
        <sz val="10"/>
        <color indexed="8"/>
        <rFont val="Arial"/>
        <family val="2"/>
      </rPr>
      <t>9</t>
    </r>
    <phoneticPr fontId="8" type="noConversion"/>
  </si>
  <si>
    <r>
      <t>7</t>
    </r>
    <r>
      <rPr>
        <sz val="10"/>
        <color indexed="8"/>
        <rFont val="宋体"/>
        <family val="3"/>
        <charset val="134"/>
      </rPr>
      <t>、</t>
    </r>
    <r>
      <rPr>
        <sz val="10"/>
        <color indexed="8"/>
        <rFont val="Arial"/>
        <family val="2"/>
      </rPr>
      <t>10</t>
    </r>
    <r>
      <rPr>
        <sz val="10"/>
        <color indexed="8"/>
        <rFont val="宋体"/>
        <family val="3"/>
        <charset val="134"/>
      </rPr>
      <t>、</t>
    </r>
    <r>
      <rPr>
        <sz val="10"/>
        <color indexed="8"/>
        <rFont val="Arial"/>
        <family val="2"/>
      </rPr>
      <t>13</t>
    </r>
    <phoneticPr fontId="8" type="noConversion"/>
  </si>
  <si>
    <t>1、2、3、4、5、6</t>
  </si>
  <si>
    <t>1、2、3、4、5、6</t>
    <phoneticPr fontId="8" type="noConversion"/>
  </si>
  <si>
    <t>地下车库</t>
    <phoneticPr fontId="4" type="noConversion"/>
  </si>
  <si>
    <t>商业15</t>
    <phoneticPr fontId="4" type="noConversion"/>
  </si>
  <si>
    <r>
      <rPr>
        <sz val="11"/>
        <color indexed="8"/>
        <rFont val="宋体"/>
        <family val="3"/>
        <charset val="134"/>
      </rPr>
      <t>商业</t>
    </r>
    <r>
      <rPr>
        <sz val="11"/>
        <color indexed="8"/>
        <rFont val="Arial"/>
        <family val="2"/>
      </rPr>
      <t>16</t>
    </r>
    <phoneticPr fontId="4" type="noConversion"/>
  </si>
  <si>
    <r>
      <rPr>
        <sz val="11"/>
        <color indexed="8"/>
        <rFont val="宋体"/>
        <family val="3"/>
        <charset val="134"/>
      </rPr>
      <t>商业</t>
    </r>
    <r>
      <rPr>
        <sz val="11"/>
        <color indexed="8"/>
        <rFont val="Arial"/>
        <family val="2"/>
      </rPr>
      <t>17</t>
    </r>
    <phoneticPr fontId="4" type="noConversion"/>
  </si>
  <si>
    <t>地下</t>
  </si>
  <si>
    <t>车库</t>
  </si>
  <si>
    <t>利息：取LPR加浮动点数</t>
  </si>
  <si>
    <t>未包含在土地购买价格中</t>
  </si>
  <si>
    <t>全部缴纳</t>
  </si>
  <si>
    <t>已包含在土地取得成本中</t>
  </si>
  <si>
    <t>江阴市新宏房地产开发有限公司</t>
  </si>
  <si>
    <t>2018-11-13</t>
  </si>
  <si>
    <t>其他普通商品住房用地</t>
  </si>
  <si>
    <t>挂牌</t>
  </si>
  <si>
    <t>≥1.8并且≤2.2</t>
  </si>
  <si>
    <t>住宅用地</t>
  </si>
  <si>
    <t>无锡市</t>
  </si>
  <si>
    <t>江阴市澄江街道行政区域范围内文定路东、人民东路南侧</t>
  </si>
  <si>
    <t>江阴城建产业发展有限公司</t>
  </si>
  <si>
    <t>2018-12-14</t>
  </si>
  <si>
    <t>其他商服用地</t>
  </si>
  <si>
    <t>≥1并且≤1.2</t>
  </si>
  <si>
    <t>商业/办公用地</t>
  </si>
  <si>
    <t>江阴市澄江街道虹桥路东、青果路西、塘前路北侧</t>
  </si>
  <si>
    <t>无锡昌广商务咨询有限公司</t>
  </si>
  <si>
    <t>2019-05-10</t>
  </si>
  <si>
    <t>城镇住宅用地</t>
  </si>
  <si>
    <t>≥1.8并且≤2</t>
  </si>
  <si>
    <t>江阴市澄江街道澄南路东、塘前路南、规划道路北</t>
  </si>
  <si>
    <t>无锡万科企业有限公司</t>
  </si>
  <si>
    <t>2019-06-13</t>
  </si>
  <si>
    <t>≥2.2并且≤2.5</t>
  </si>
  <si>
    <t>江阴市澄江街道规划路东、应天河南、虹桥南路西、芙蓉大道北</t>
  </si>
  <si>
    <t>无锡昌立商务咨询有限公司</t>
  </si>
  <si>
    <t>2019-07-05</t>
  </si>
  <si>
    <t>二类居住用地</t>
  </si>
  <si>
    <t>≥2.2且≤2.50</t>
  </si>
  <si>
    <t>江阴市澄江街道规划路东、西苑路南、通江路西、西横河北</t>
  </si>
  <si>
    <t>≥2.4且≤2.70</t>
  </si>
  <si>
    <t>江阴市澄江街道通渡路东、西苑路南、规划路西、西横河北</t>
  </si>
  <si>
    <t>苏州市梁御置业有限公司</t>
  </si>
  <si>
    <t>2019-07-18</t>
  </si>
  <si>
    <t>≥1.8并且≤2.0</t>
  </si>
  <si>
    <t>江阴市澄江街道范围内大桥路西侧、应天河北侧</t>
  </si>
  <si>
    <t>宁波宁兴房地产开发集团有限公司</t>
  </si>
  <si>
    <t>2019-08-02</t>
  </si>
  <si>
    <t>≥2且≤2.3</t>
  </si>
  <si>
    <t>江阴市澄江街道朝阳关南路东、人民东路南</t>
  </si>
  <si>
    <t>无锡国盛房产开发有限公司(绿地)</t>
  </si>
  <si>
    <t>2019-09-13</t>
  </si>
  <si>
    <t>商住</t>
  </si>
  <si>
    <t>≥2.2且≤2.6</t>
  </si>
  <si>
    <t>综合用地(含住宅)</t>
  </si>
  <si>
    <t>江阴市金桂路东、金科路南、长山大道西侧</t>
  </si>
  <si>
    <t>无锡国盛房产开发有限公司</t>
  </si>
  <si>
    <t>2019-09-18</t>
  </si>
  <si>
    <t>≥1.5060且≤1.7510</t>
  </si>
  <si>
    <t>江阴市云亭街道金桂路东、金云街南、长山大道西、敔山路以北</t>
  </si>
  <si>
    <t>江阴市长江房地产开发有限公司</t>
  </si>
  <si>
    <t>2019-10-24</t>
  </si>
  <si>
    <t>商住用地</t>
  </si>
  <si>
    <t>≥2.2且≤2.5</t>
  </si>
  <si>
    <t>江阴市澄江街道虹桥南路东、应天河南路南、花山路西、芙蓉大道北</t>
  </si>
  <si>
    <t>郑州翰园置业有限公司</t>
  </si>
  <si>
    <t>2019-10-30</t>
  </si>
  <si>
    <t>≥1.8且≤2</t>
  </si>
  <si>
    <t>江阴市澄江街道规划设计院东、通惠路南、五星路北侧</t>
  </si>
  <si>
    <t>江苏长博集团有限公司</t>
  </si>
  <si>
    <t>2019-12-10</t>
  </si>
  <si>
    <t>≥1.40且≤1.50</t>
  </si>
  <si>
    <t>江阴市澄江街道青山路北、通渡路西</t>
  </si>
  <si>
    <t>无锡和诺商务咨询有限公司</t>
  </si>
  <si>
    <t>2020-04-10</t>
  </si>
  <si>
    <t>≥1.6320且≤1.7770</t>
  </si>
  <si>
    <t>江阴市敔山湾美嘉城东侧、金桂路西侧、金云街北侧</t>
  </si>
  <si>
    <t>恒大地产集团南京置业有限公司</t>
  </si>
  <si>
    <t>2020-05-14</t>
  </si>
  <si>
    <t>江阴市澄江街道梅园路东、应天河南、规划路西、芙蓉大道北</t>
  </si>
  <si>
    <t>2020-05-26</t>
  </si>
  <si>
    <t>≥2.3且≤2.4</t>
  </si>
  <si>
    <t>江阴市澄江街道芙蓉大道南、虹桥南路东、立新路北、花山路西侧</t>
  </si>
  <si>
    <t>江阴市新东晨置业有限公司</t>
  </si>
  <si>
    <t>2020-07-21</t>
  </si>
  <si>
    <t>≥1.80且≤1.90</t>
  </si>
  <si>
    <t>江阴市澄江街道通渡路东侧、西园路南侧、西苑路北侧</t>
  </si>
  <si>
    <t>华润置地(常州)有限公司</t>
  </si>
  <si>
    <t>2020-07-24</t>
  </si>
  <si>
    <t>≥1.70且≤1.90</t>
  </si>
  <si>
    <t>江阴市澄江街道通渡路东、规划道路南、规划道路西、毗陵路北侧</t>
  </si>
  <si>
    <t>≥1.671且≤1.97</t>
  </si>
  <si>
    <t>江阴市澄江街道通渡路东、西横河南、通江路西、毗陵路北</t>
  </si>
  <si>
    <t>深圳市海嘉投资有限公司</t>
  </si>
  <si>
    <t>2020-09-08</t>
  </si>
  <si>
    <t>≥1.50且≤1.80</t>
  </si>
  <si>
    <t>江阴市澄江街道中山南路东、环城南路南、观风路西、许嘉路北侧</t>
  </si>
  <si>
    <t>众安集团有限公司</t>
  </si>
  <si>
    <t>2020-10-27</t>
  </si>
  <si>
    <t>≥1.5且≤1.6</t>
  </si>
  <si>
    <t>江阴市澄江街道新华路东、要塞实验小学南、天鹤六村西、钢绳小区北侧</t>
  </si>
  <si>
    <t>常州环宇置业有限公司</t>
  </si>
  <si>
    <t>2021-03-02</t>
  </si>
  <si>
    <t>≥1.5,≤1.7</t>
  </si>
  <si>
    <t>澄地2020-C-40</t>
  </si>
  <si>
    <t>江阴市振新房地产开发有限公司</t>
  </si>
  <si>
    <t>2021-05-12</t>
  </si>
  <si>
    <t>2021-05-11</t>
  </si>
  <si>
    <t>城镇住宅-普通商品住房</t>
  </si>
  <si>
    <t>≥1.05,≤1.15</t>
  </si>
  <si>
    <t>澄地2020-C-41</t>
  </si>
  <si>
    <t>无锡市苏南学校食材配送有限公司</t>
  </si>
  <si>
    <t>2021-05-14</t>
  </si>
  <si>
    <t>仓储用地</t>
  </si>
  <si>
    <t>≥1,≤2.5</t>
  </si>
  <si>
    <t>工业用地</t>
  </si>
  <si>
    <t>澄地2021-G-C-014</t>
  </si>
  <si>
    <t>受让单位</t>
  </si>
  <si>
    <t>溢价率</t>
  </si>
  <si>
    <t>成交楼面价(元/㎡)</t>
  </si>
  <si>
    <t>成交价(万元)</t>
  </si>
  <si>
    <t>起始价(万元)</t>
  </si>
  <si>
    <t>成交日期</t>
  </si>
  <si>
    <t>截止日期</t>
  </si>
  <si>
    <t>集中供地</t>
  </si>
  <si>
    <t>详细规划</t>
  </si>
  <si>
    <t>出让方式</t>
  </si>
  <si>
    <t>容积率</t>
  </si>
  <si>
    <t>规划建筑面积(㎡)</t>
  </si>
  <si>
    <t>建设用地面积(㎡)</t>
  </si>
  <si>
    <t>用地性质</t>
  </si>
  <si>
    <t>城市</t>
  </si>
  <si>
    <t>地块名称</t>
  </si>
  <si>
    <t>成交每亩价(万元/亩)</t>
  </si>
  <si>
    <t>正常</t>
  </si>
  <si>
    <t>住宅</t>
    <phoneticPr fontId="32" type="noConversion"/>
  </si>
  <si>
    <t>较规则</t>
    <phoneticPr fontId="32" type="noConversion"/>
  </si>
  <si>
    <t>较适宜</t>
    <phoneticPr fontId="32" type="noConversion"/>
  </si>
  <si>
    <t>较好</t>
    <phoneticPr fontId="32" type="noConversion"/>
  </si>
  <si>
    <t>8、9</t>
  </si>
  <si>
    <t>11、12</t>
  </si>
  <si>
    <t>商业17</t>
  </si>
  <si>
    <t>成本法</t>
  </si>
  <si>
    <t>假设开发法</t>
  </si>
  <si>
    <t>估价方法</t>
  </si>
  <si>
    <t>住宅</t>
    <phoneticPr fontId="26" type="noConversion"/>
  </si>
  <si>
    <t>60-70（含）</t>
  </si>
  <si>
    <t>较好</t>
  </si>
  <si>
    <t>五通</t>
  </si>
  <si>
    <t>高层</t>
    <phoneticPr fontId="26" type="noConversion"/>
  </si>
  <si>
    <t>钢混</t>
  </si>
  <si>
    <t>钢混</t>
    <phoneticPr fontId="26" type="noConversion"/>
  </si>
  <si>
    <t>高档</t>
  </si>
  <si>
    <t>高档</t>
    <phoneticPr fontId="26" type="noConversion"/>
  </si>
  <si>
    <t>精装修</t>
  </si>
  <si>
    <t>精装修</t>
    <phoneticPr fontId="26" type="noConversion"/>
  </si>
  <si>
    <t>专业</t>
  </si>
  <si>
    <t>专业</t>
    <phoneticPr fontId="26" type="noConversion"/>
  </si>
  <si>
    <t>五通</t>
    <phoneticPr fontId="26" type="noConversion"/>
  </si>
  <si>
    <t>平层</t>
  </si>
  <si>
    <t>平层</t>
    <phoneticPr fontId="26" type="noConversion"/>
  </si>
  <si>
    <t>精装</t>
  </si>
  <si>
    <t>精装</t>
    <phoneticPr fontId="26" type="noConversion"/>
  </si>
  <si>
    <t>旭辉·运河公元</t>
    <phoneticPr fontId="4" type="noConversion"/>
  </si>
  <si>
    <t>万科·时代都会</t>
    <phoneticPr fontId="4" type="noConversion"/>
  </si>
  <si>
    <t>长江·天宸</t>
    <phoneticPr fontId="4" type="noConversion"/>
  </si>
  <si>
    <t>115-143</t>
    <phoneticPr fontId="26" type="noConversion"/>
  </si>
  <si>
    <t>143-170</t>
    <phoneticPr fontId="26" type="noConversion"/>
  </si>
  <si>
    <t>120-168</t>
    <phoneticPr fontId="26" type="noConversion"/>
  </si>
  <si>
    <t>84-148</t>
    <phoneticPr fontId="26" type="noConversion"/>
  </si>
  <si>
    <t>较差</t>
  </si>
  <si>
    <t>普装</t>
    <phoneticPr fontId="26" type="noConversion"/>
  </si>
  <si>
    <t>简装</t>
    <phoneticPr fontId="26" type="noConversion"/>
  </si>
  <si>
    <t>毛坯</t>
  </si>
  <si>
    <t>毛坯</t>
    <phoneticPr fontId="26" type="noConversion"/>
  </si>
  <si>
    <t>面积</t>
    <phoneticPr fontId="4" type="noConversion"/>
  </si>
  <si>
    <t>总楼层</t>
    <phoneticPr fontId="4" type="noConversion"/>
  </si>
  <si>
    <t>一次结构已建楼层</t>
    <phoneticPr fontId="4" type="noConversion"/>
  </si>
  <si>
    <t>二次结构已建楼层</t>
    <phoneticPr fontId="141" type="noConversion"/>
  </si>
  <si>
    <t>进度</t>
    <phoneticPr fontId="4" type="noConversion"/>
  </si>
  <si>
    <t>一次结构</t>
    <phoneticPr fontId="141" type="noConversion"/>
  </si>
  <si>
    <t>二次结构</t>
    <phoneticPr fontId="141" type="noConversion"/>
  </si>
  <si>
    <t>装修</t>
    <phoneticPr fontId="141" type="noConversion"/>
  </si>
  <si>
    <t>1号楼</t>
    <phoneticPr fontId="4" type="noConversion"/>
  </si>
  <si>
    <t>2号楼</t>
    <phoneticPr fontId="4" type="noConversion"/>
  </si>
  <si>
    <t>15号楼</t>
    <phoneticPr fontId="4" type="noConversion"/>
  </si>
  <si>
    <t>16号楼</t>
    <phoneticPr fontId="4" type="noConversion"/>
  </si>
  <si>
    <t>17号楼</t>
    <phoneticPr fontId="4" type="noConversion"/>
  </si>
  <si>
    <t>其余</t>
    <phoneticPr fontId="4" type="noConversion"/>
  </si>
  <si>
    <t>否</t>
  </si>
  <si>
    <t>商业16</t>
  </si>
  <si>
    <t>商业16</t>
    <phoneticPr fontId="8" type="noConversion"/>
  </si>
  <si>
    <t>商业17</t>
    <phoneticPr fontId="8" type="noConversion"/>
  </si>
  <si>
    <t>地下车库</t>
    <phoneticPr fontId="8" type="noConversion"/>
  </si>
  <si>
    <r>
      <rPr>
        <sz val="11"/>
        <color indexed="8"/>
        <rFont val="宋体"/>
        <family val="3"/>
        <charset val="134"/>
      </rPr>
      <t>商业</t>
    </r>
    <r>
      <rPr>
        <sz val="11"/>
        <color indexed="8"/>
        <rFont val="Arial"/>
        <family val="2"/>
      </rPr>
      <t>15</t>
    </r>
    <r>
      <rPr>
        <sz val="11"/>
        <color indexed="8"/>
        <rFont val="宋体"/>
        <family val="3"/>
        <charset val="134"/>
      </rPr>
      <t/>
    </r>
    <phoneticPr fontId="8" type="noConversion"/>
  </si>
  <si>
    <t>较规则</t>
  </si>
  <si>
    <t>较适宜</t>
  </si>
  <si>
    <t>五通</t>
    <phoneticPr fontId="32" type="noConversion"/>
  </si>
  <si>
    <r>
      <rPr>
        <sz val="10"/>
        <color theme="9" tint="-0.249977111117893"/>
        <rFont val="宋体"/>
        <family val="3"/>
        <charset val="134"/>
      </rPr>
      <t>住宅</t>
    </r>
    <r>
      <rPr>
        <sz val="10"/>
        <color theme="9" tint="-0.249977111117893"/>
        <rFont val="Arial"/>
        <family val="2"/>
      </rPr>
      <t>68.7</t>
    </r>
    <r>
      <rPr>
        <sz val="10"/>
        <color theme="9" tint="-0.249977111117893"/>
        <rFont val="宋体"/>
        <family val="3"/>
        <charset val="134"/>
      </rPr>
      <t>年、商业</t>
    </r>
    <r>
      <rPr>
        <sz val="10"/>
        <color theme="9" tint="-0.249977111117893"/>
        <rFont val="Arial"/>
        <family val="2"/>
      </rPr>
      <t>38.7</t>
    </r>
    <r>
      <rPr>
        <sz val="10"/>
        <color theme="9" tint="-0.249977111117893"/>
        <rFont val="宋体"/>
        <family val="3"/>
        <charset val="134"/>
      </rPr>
      <t>年</t>
    </r>
    <phoneticPr fontId="7" type="noConversion"/>
  </si>
  <si>
    <r>
      <t>70</t>
    </r>
    <r>
      <rPr>
        <sz val="11"/>
        <color indexed="8"/>
        <rFont val="宋体"/>
        <family val="3"/>
        <charset val="134"/>
      </rPr>
      <t>年</t>
    </r>
    <phoneticPr fontId="32" type="noConversion"/>
  </si>
  <si>
    <t>商业15</t>
  </si>
  <si>
    <t>在建（套用方法）</t>
  </si>
  <si>
    <t>押一</t>
  </si>
  <si>
    <t>按租金收入计税</t>
  </si>
  <si>
    <t>非生产用房</t>
  </si>
  <si>
    <t>地下车库收益法</t>
  </si>
  <si>
    <t>地下车库收益法</t>
    <phoneticPr fontId="17" type="noConversion"/>
  </si>
  <si>
    <t>商业15收益法</t>
  </si>
  <si>
    <t>商业15收益法</t>
    <phoneticPr fontId="17" type="noConversion"/>
  </si>
  <si>
    <t>商业17收益法</t>
  </si>
  <si>
    <t>商业17收益法</t>
    <phoneticPr fontId="17" type="noConversion"/>
  </si>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</sst>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2"/>
      <color rgb="FF00B050"/>
      <name val="宋体"/>
      <family val="3"/>
      <charset val="134"/>
    </font>
    <font>
      <sz val="12"/>
      <color rgb="FF0070C0"/>
      <name val="宋体"/>
      <family val="3"/>
      <charset val="134"/>
    </font>
    <font>
      <sz val="10"/>
      <color rgb="FF00B05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5">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38" fillId="0" borderId="0">
      <alignment vertical="center"/>
    </xf>
    <xf numFmtId="0" fontId="56" fillId="0" borderId="0"/>
    <xf numFmtId="0" fontId="167" fillId="0" borderId="0"/>
    <xf numFmtId="0" fontId="1" fillId="0" borderId="0">
      <alignment vertical="center"/>
    </xf>
    <xf numFmtId="43" fontId="99" fillId="0" borderId="0" applyFont="0" applyFill="0" applyBorder="0" applyAlignment="0" applyProtection="0">
      <alignment vertical="center"/>
    </xf>
    <xf numFmtId="9" fontId="99" fillId="0" borderId="0" applyFont="0" applyFill="0" applyBorder="0" applyAlignment="0" applyProtection="0">
      <alignment vertical="center"/>
    </xf>
    <xf numFmtId="43" fontId="99" fillId="0" borderId="0" applyFont="0" applyFill="0" applyBorder="0" applyAlignment="0" applyProtection="0">
      <alignment vertical="center"/>
    </xf>
    <xf numFmtId="9" fontId="99" fillId="0" borderId="0" applyFont="0" applyFill="0" applyBorder="0" applyAlignment="0" applyProtection="0">
      <alignment vertical="center"/>
    </xf>
  </cellStyleXfs>
  <cellXfs count="344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3"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2"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38" fillId="0" borderId="0" xfId="17">
      <alignment vertical="center"/>
    </xf>
    <xf numFmtId="0" fontId="38" fillId="0" borderId="0" xfId="17" applyAlignment="1">
      <alignment horizontal="center" vertical="center"/>
    </xf>
    <xf numFmtId="0" fontId="99" fillId="0" borderId="0" xfId="17" applyFont="1" applyFill="1" applyBorder="1" applyAlignment="1">
      <alignment vertical="center"/>
    </xf>
    <xf numFmtId="0" fontId="38" fillId="0" borderId="0" xfId="17" applyFont="1">
      <alignment vertical="center"/>
    </xf>
    <xf numFmtId="0" fontId="99" fillId="0" borderId="0" xfId="17" applyFont="1">
      <alignment vertical="center"/>
    </xf>
    <xf numFmtId="0" fontId="135"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0" fontId="165" fillId="0" borderId="0" xfId="17" applyNumberFormat="1" applyFont="1">
      <alignment vertical="center"/>
    </xf>
    <xf numFmtId="10" fontId="255" fillId="0" borderId="0" xfId="17" applyNumberFormat="1" applyFont="1">
      <alignment vertical="center"/>
    </xf>
    <xf numFmtId="10" fontId="256" fillId="0" borderId="0" xfId="17" applyNumberFormat="1" applyFont="1">
      <alignment vertical="center"/>
    </xf>
    <xf numFmtId="177" fontId="135" fillId="0" borderId="1" xfId="1" applyNumberFormat="1" applyFont="1" applyFill="1" applyBorder="1" applyAlignment="1" applyProtection="1">
      <alignment vertical="center"/>
      <protection locked="0"/>
    </xf>
    <xf numFmtId="0" fontId="13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19" fillId="0" borderId="0" xfId="18" applyFont="1" applyAlignment="1">
      <alignment horizontal="left" vertical="center"/>
    </xf>
    <xf numFmtId="0" fontId="56" fillId="0" borderId="0" xfId="18" applyAlignment="1">
      <alignment horizontal="left" vertical="center"/>
    </xf>
    <xf numFmtId="0" fontId="257" fillId="0" borderId="0" xfId="18" applyFont="1" applyAlignment="1">
      <alignment horizontal="left" vertical="center"/>
    </xf>
    <xf numFmtId="0" fontId="47" fillId="0" borderId="24" xfId="10" applyFont="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35" fillId="0" borderId="51" xfId="0" applyNumberFormat="1" applyFont="1" applyFill="1" applyBorder="1" applyAlignment="1" applyProtection="1">
      <alignment horizontal="center" vertical="center" wrapText="1"/>
      <protection locked="0"/>
    </xf>
    <xf numFmtId="0" fontId="38" fillId="0" borderId="0" xfId="17" applyNumberFormat="1" applyFont="1">
      <alignment vertical="center"/>
    </xf>
    <xf numFmtId="0" fontId="38" fillId="0" borderId="0" xfId="17" applyNumberFormat="1">
      <alignment vertical="center"/>
    </xf>
    <xf numFmtId="0" fontId="38" fillId="0" borderId="0" xfId="22" applyNumberFormat="1" applyFont="1">
      <alignment vertical="center"/>
    </xf>
    <xf numFmtId="0" fontId="165" fillId="0" borderId="0" xfId="17" applyNumberFormat="1" applyFont="1">
      <alignment vertical="center"/>
    </xf>
    <xf numFmtId="10" fontId="165" fillId="0" borderId="0" xfId="22" applyNumberFormat="1" applyFont="1">
      <alignment vertical="center"/>
    </xf>
    <xf numFmtId="0" fontId="255" fillId="0" borderId="0" xfId="17" applyNumberFormat="1" applyFont="1">
      <alignment vertical="center"/>
    </xf>
    <xf numFmtId="0" fontId="256" fillId="0" borderId="0" xfId="17" applyNumberFormat="1" applyFont="1">
      <alignment vertical="center"/>
    </xf>
    <xf numFmtId="10" fontId="164" fillId="17" borderId="0" xfId="17" applyNumberFormat="1" applyFont="1" applyFill="1">
      <alignment vertical="center"/>
    </xf>
    <xf numFmtId="10" fontId="38" fillId="17" borderId="0" xfId="17" applyNumberFormat="1" applyFill="1">
      <alignment vertical="center"/>
    </xf>
    <xf numFmtId="177" fontId="135" fillId="0" borderId="3" xfId="1" applyNumberFormat="1" applyFont="1" applyFill="1" applyBorder="1" applyAlignment="1" applyProtection="1">
      <alignment vertical="center"/>
      <protection locked="0"/>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9"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19"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1" fillId="0" borderId="23"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25">
    <cellStyle name="百分比 2" xfId="14"/>
    <cellStyle name="百分比 3" xfId="22"/>
    <cellStyle name="百分比 4" xfId="24"/>
    <cellStyle name="常规" xfId="0" builtinId="0"/>
    <cellStyle name="常规 10" xfId="17"/>
    <cellStyle name="常规 10 2" xfId="18"/>
    <cellStyle name="常规 11" xfId="20"/>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 name="千位分隔 4" xfId="23"/>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28575</xdr:rowOff>
    </xdr:from>
    <xdr:to>
      <xdr:col>13</xdr:col>
      <xdr:colOff>617832</xdr:colOff>
      <xdr:row>60</xdr:row>
      <xdr:rowOff>75506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238625"/>
          <a:ext cx="10352382" cy="5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531877</xdr:colOff>
      <xdr:row>48</xdr:row>
      <xdr:rowOff>160877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190477" cy="83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受贵公司委托，我公司对进行了预评估。</v>
      </c>
    </row>
    <row r="7" spans="1:2" s="1364" customFormat="1">
      <c r="A7" s="1362" t="s">
        <v>1231</v>
      </c>
      <c r="B7" s="1363" t="str">
        <f>'预评函-1'!A7</f>
        <v>估价对象为房地产，为所有。根据《国有土地使用证》[]，估价对象（分摊）出让国有建设用地使用权面积为42598.89平方米，建筑面积为117964.1平方米。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估价对象为房地产,属开发建设的，该项目尚在开发建设中。根据《国有土地使用证》[]，估价对象（分摊）出让国有建设用地使用权面积为42598.89平方米，规划建筑面积为117964.1平方米。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2021年10月9日（评估专业人员实地查勘之日）</v>
      </c>
    </row>
    <row r="13" spans="1:2" s="1364" customFormat="1">
      <c r="A13" s="1362" t="s">
        <v>1194</v>
      </c>
      <c r="B13" s="1363" t="str">
        <f>'预评函-1'!A18</f>
        <v>本次估价的“房地产价值”是指在正常市场情况下，在价值时点2021年10月9日，估价对象规划用途为，土地取得方式为出让，出让国有建设用地使用权剩余土地使用年限为住宅68.7年、商业38.7年，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住宅68.7年、商业38.7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138209</v>
      </c>
    </row>
    <row r="21" spans="1:2" s="1364" customFormat="1">
      <c r="A21" s="1362" t="s">
        <v>1202</v>
      </c>
      <c r="B21" s="1363">
        <f ca="1">'预评函-2'!D7</f>
        <v>11716</v>
      </c>
    </row>
    <row r="22" spans="1:2" s="1364" customFormat="1">
      <c r="A22" s="1362" t="s">
        <v>1203</v>
      </c>
      <c r="B22" s="1363" t="str">
        <f ca="1">'预评函-2'!D6</f>
        <v>壹拾叁亿捌仟贰佰零玖万元整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138209</v>
      </c>
    </row>
    <row r="31" spans="1:2" s="1364" customFormat="1">
      <c r="A31" s="1362" t="s">
        <v>1241</v>
      </c>
      <c r="B31" s="1363">
        <f ca="1">'预评函-2'!D15</f>
        <v>11716</v>
      </c>
    </row>
    <row r="32" spans="1:2" s="1364" customFormat="1">
      <c r="A32" s="1362" t="s">
        <v>1208</v>
      </c>
      <c r="B32" s="1363" t="str">
        <f ca="1">'预评函-2'!D14</f>
        <v>壹拾叁亿捌仟贰佰零玖万元整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117964.09999999983</v>
      </c>
    </row>
    <row r="44" spans="1:2" s="1364" customFormat="1">
      <c r="A44" s="1362" t="s">
        <v>1240</v>
      </c>
      <c r="B44" s="1363" t="str">
        <f>'预评函-3'!C2</f>
        <v>(分摊)土地面积</v>
      </c>
    </row>
    <row r="45" spans="1:2" s="1364" customFormat="1">
      <c r="A45" s="1362" t="s">
        <v>1212</v>
      </c>
      <c r="B45" s="1363">
        <f>'预评函-3'!C4</f>
        <v>42598.89</v>
      </c>
    </row>
    <row r="46" spans="1:2" s="1364" customFormat="1">
      <c r="A46" s="1362" t="s">
        <v>1238</v>
      </c>
      <c r="B46" s="1363" t="str">
        <f>'预评函-3'!D2</f>
        <v>出让国有建设用地使用权价值</v>
      </c>
    </row>
    <row r="47" spans="1:2" s="1364" customFormat="1">
      <c r="A47" s="1362" t="s">
        <v>1213</v>
      </c>
      <c r="B47" s="1363">
        <f>'预评函-3'!D4</f>
        <v>0</v>
      </c>
    </row>
    <row r="48" spans="1:2" s="1364" customFormat="1">
      <c r="A48" s="1362" t="s">
        <v>1214</v>
      </c>
      <c r="B48" s="1363">
        <f>'预评函-3'!E4</f>
        <v>0</v>
      </c>
    </row>
    <row r="49" spans="1:2" s="1364" customFormat="1">
      <c r="A49" s="1362" t="s">
        <v>1215</v>
      </c>
      <c r="B49" s="1363" t="str">
        <f>'预评函-3'!D5</f>
        <v>零元整</v>
      </c>
    </row>
    <row r="50" spans="1:2" s="1364" customFormat="1">
      <c r="A50" s="1362" t="s">
        <v>1239</v>
      </c>
      <c r="B50" s="1363" t="str">
        <f>'预评函-3'!F2</f>
        <v>在建建筑物价值</v>
      </c>
    </row>
    <row r="51" spans="1:2" s="1364" customFormat="1">
      <c r="A51" s="1362" t="s">
        <v>1216</v>
      </c>
      <c r="B51" s="1363">
        <f>'预评函-3'!F4</f>
        <v>0</v>
      </c>
    </row>
    <row r="52" spans="1:2" s="1364" customFormat="1">
      <c r="A52" s="1362" t="s">
        <v>1217</v>
      </c>
      <c r="B52" s="1363">
        <f>'预评函-3'!G4</f>
        <v>0</v>
      </c>
    </row>
    <row r="53" spans="1:2" s="1364" customFormat="1">
      <c r="A53" s="1362" t="s">
        <v>1245</v>
      </c>
      <c r="B53" s="1363" t="str">
        <f>'预评函-3'!F5</f>
        <v>零元整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3029</v>
      </c>
      <c r="C17" s="1731"/>
    </row>
    <row r="18" spans="1:3">
      <c r="A18" s="1730" t="s">
        <v>1732</v>
      </c>
      <c r="B18" s="1730" t="s">
        <v>4751</v>
      </c>
      <c r="C18" s="1731"/>
    </row>
    <row r="19" spans="1:3">
      <c r="A19" s="1730" t="s">
        <v>1733</v>
      </c>
      <c r="B19" s="1730" t="s">
        <v>4753</v>
      </c>
      <c r="C19" s="1731"/>
    </row>
    <row r="20" spans="1:3">
      <c r="A20" s="1730" t="s">
        <v>1734</v>
      </c>
      <c r="B20" s="1730" t="s">
        <v>4755</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41"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1"/>
      <c r="B54" s="1738" t="s">
        <v>832</v>
      </c>
      <c r="C54" s="1735" t="s">
        <v>1248</v>
      </c>
    </row>
    <row r="55" spans="1:4">
      <c r="A55" s="3141"/>
      <c r="B55" s="1738" t="s">
        <v>833</v>
      </c>
      <c r="C55" s="1735" t="s">
        <v>1249</v>
      </c>
    </row>
    <row r="56" spans="1:4">
      <c r="A56" s="3141"/>
      <c r="B56" s="1738" t="s">
        <v>834</v>
      </c>
      <c r="C56" s="1735" t="s">
        <v>1253</v>
      </c>
    </row>
    <row r="57" spans="1:4">
      <c r="A57" s="3141"/>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4"/>
  <sheetViews>
    <sheetView topLeftCell="A60" zoomScaleSheetLayoutView="100" workbookViewId="0">
      <selection activeCell="M47" sqref="M47"/>
    </sheetView>
  </sheetViews>
  <sheetFormatPr defaultRowHeight="14.25"/>
  <cols>
    <col min="1" max="3" width="9" style="3058"/>
    <col min="4" max="4" width="20.5" style="3058" customWidth="1"/>
    <col min="5" max="5" width="9" style="3058"/>
    <col min="6" max="6" width="9" style="3058" hidden="1" customWidth="1"/>
    <col min="7" max="7" width="12.625" style="3059" bestFit="1" customWidth="1"/>
    <col min="8" max="8" width="9" style="3059"/>
    <col min="9" max="9" width="15.5" style="3058" customWidth="1"/>
    <col min="10" max="16384" width="9" style="3058"/>
  </cols>
  <sheetData>
    <row r="1" spans="1:11">
      <c r="A1" s="3058" t="s">
        <v>3071</v>
      </c>
      <c r="B1" s="3060" t="s">
        <v>3070</v>
      </c>
      <c r="C1" s="3060" t="s">
        <v>3069</v>
      </c>
      <c r="D1" s="3060" t="s">
        <v>3068</v>
      </c>
      <c r="E1" s="3058" t="s">
        <v>3067</v>
      </c>
      <c r="F1" s="3058" t="s">
        <v>3066</v>
      </c>
      <c r="G1" s="3059" t="s">
        <v>3065</v>
      </c>
    </row>
    <row r="2" spans="1:11">
      <c r="A2" s="3059">
        <v>1</v>
      </c>
      <c r="B2" s="3060" t="s">
        <v>3064</v>
      </c>
      <c r="C2" s="3060"/>
      <c r="D2" s="3060">
        <v>201</v>
      </c>
      <c r="E2" s="3058">
        <v>127.92</v>
      </c>
      <c r="F2" s="3058">
        <v>3141331</v>
      </c>
      <c r="G2" s="3059">
        <f t="shared" ref="G2:G65" si="0">ROUND(F2*0.9*0.98,0)</f>
        <v>2770654</v>
      </c>
      <c r="H2" s="3059" t="s">
        <v>3055</v>
      </c>
      <c r="I2" s="3058" t="s">
        <v>3054</v>
      </c>
      <c r="K2" s="3058">
        <f>G2/E2</f>
        <v>21659.271419637273</v>
      </c>
    </row>
    <row r="3" spans="1:11">
      <c r="A3" s="3059">
        <v>2</v>
      </c>
      <c r="B3" s="3060" t="s">
        <v>3064</v>
      </c>
      <c r="C3" s="3060"/>
      <c r="D3" s="3060">
        <v>204</v>
      </c>
      <c r="E3" s="3058">
        <v>135.34</v>
      </c>
      <c r="F3" s="3058">
        <v>3330311</v>
      </c>
      <c r="G3" s="3059">
        <f t="shared" si="0"/>
        <v>2937334</v>
      </c>
      <c r="H3" s="3059" t="s">
        <v>3055</v>
      </c>
      <c r="I3" s="3058" t="s">
        <v>3054</v>
      </c>
      <c r="K3" s="3058">
        <f t="shared" ref="K3:K66" si="1">G3/E3</f>
        <v>21703.369292153096</v>
      </c>
    </row>
    <row r="4" spans="1:11">
      <c r="A4" s="3059">
        <v>3</v>
      </c>
      <c r="B4" s="3060" t="s">
        <v>3064</v>
      </c>
      <c r="C4" s="3060"/>
      <c r="D4" s="3060">
        <v>301</v>
      </c>
      <c r="E4" s="3058">
        <v>127.92</v>
      </c>
      <c r="F4" s="3058">
        <v>3147727</v>
      </c>
      <c r="G4" s="3059">
        <f t="shared" si="0"/>
        <v>2776295</v>
      </c>
      <c r="H4" s="3059" t="s">
        <v>3055</v>
      </c>
      <c r="I4" s="3058" t="s">
        <v>3054</v>
      </c>
      <c r="K4" s="3058">
        <f t="shared" si="1"/>
        <v>21703.369293308318</v>
      </c>
    </row>
    <row r="5" spans="1:11">
      <c r="A5" s="3059">
        <v>4</v>
      </c>
      <c r="B5" s="3060" t="s">
        <v>3064</v>
      </c>
      <c r="C5" s="3060"/>
      <c r="D5" s="3060">
        <v>304</v>
      </c>
      <c r="E5" s="3058">
        <v>135.34</v>
      </c>
      <c r="F5" s="3058">
        <v>3337078</v>
      </c>
      <c r="G5" s="3059">
        <f t="shared" si="0"/>
        <v>2943303</v>
      </c>
      <c r="H5" s="3059" t="s">
        <v>3055</v>
      </c>
      <c r="I5" s="3058" t="s">
        <v>3054</v>
      </c>
      <c r="K5" s="3058">
        <f t="shared" si="1"/>
        <v>21747.473030885176</v>
      </c>
    </row>
    <row r="6" spans="1:11">
      <c r="A6" s="3059">
        <v>5</v>
      </c>
      <c r="B6" s="3060" t="s">
        <v>3064</v>
      </c>
      <c r="C6" s="3060"/>
      <c r="D6" s="3060">
        <v>401</v>
      </c>
      <c r="E6" s="3058">
        <v>127.92</v>
      </c>
      <c r="F6" s="3058">
        <v>3154123</v>
      </c>
      <c r="G6" s="3059">
        <f t="shared" si="0"/>
        <v>2781936</v>
      </c>
      <c r="H6" s="3059" t="s">
        <v>3055</v>
      </c>
      <c r="I6" s="3058" t="s">
        <v>3054</v>
      </c>
      <c r="K6" s="3058">
        <f t="shared" si="1"/>
        <v>21747.467166979361</v>
      </c>
    </row>
    <row r="7" spans="1:11">
      <c r="A7" s="3059">
        <v>6</v>
      </c>
      <c r="B7" s="3060" t="s">
        <v>3064</v>
      </c>
      <c r="C7" s="3060"/>
      <c r="D7" s="3060">
        <v>404</v>
      </c>
      <c r="E7" s="3058">
        <v>135.34</v>
      </c>
      <c r="F7" s="3058">
        <v>3343845</v>
      </c>
      <c r="G7" s="3059">
        <f t="shared" si="0"/>
        <v>2949271</v>
      </c>
      <c r="H7" s="3059" t="s">
        <v>3055</v>
      </c>
      <c r="I7" s="3058" t="s">
        <v>3054</v>
      </c>
      <c r="K7" s="3058">
        <f t="shared" si="1"/>
        <v>21791.569380818677</v>
      </c>
    </row>
    <row r="8" spans="1:11">
      <c r="A8" s="3059">
        <v>7</v>
      </c>
      <c r="B8" s="3060" t="s">
        <v>3064</v>
      </c>
      <c r="C8" s="3060"/>
      <c r="D8" s="3060">
        <v>501</v>
      </c>
      <c r="E8" s="3058">
        <v>127.92</v>
      </c>
      <c r="F8" s="3058">
        <v>3160519</v>
      </c>
      <c r="G8" s="3059">
        <f t="shared" si="0"/>
        <v>2787578</v>
      </c>
      <c r="H8" s="3059" t="s">
        <v>3055</v>
      </c>
      <c r="I8" s="3058" t="s">
        <v>3054</v>
      </c>
      <c r="K8" s="3058">
        <f t="shared" si="1"/>
        <v>21791.572858036274</v>
      </c>
    </row>
    <row r="9" spans="1:11">
      <c r="A9" s="3059">
        <v>8</v>
      </c>
      <c r="B9" s="3060" t="s">
        <v>3064</v>
      </c>
      <c r="C9" s="3060"/>
      <c r="D9" s="3060">
        <v>504</v>
      </c>
      <c r="E9" s="3058">
        <v>135.34</v>
      </c>
      <c r="F9" s="3058">
        <v>3350612</v>
      </c>
      <c r="G9" s="3059">
        <f t="shared" si="0"/>
        <v>2955240</v>
      </c>
      <c r="H9" s="3059" t="s">
        <v>3055</v>
      </c>
      <c r="I9" s="3058" t="s">
        <v>3054</v>
      </c>
      <c r="K9" s="3058">
        <f t="shared" si="1"/>
        <v>21835.67311955076</v>
      </c>
    </row>
    <row r="10" spans="1:11">
      <c r="A10" s="3059">
        <v>9</v>
      </c>
      <c r="B10" s="3060" t="s">
        <v>3064</v>
      </c>
      <c r="C10" s="3060"/>
      <c r="D10" s="3060">
        <v>604</v>
      </c>
      <c r="E10" s="3058">
        <v>135.34</v>
      </c>
      <c r="F10" s="3058">
        <v>3357379</v>
      </c>
      <c r="G10" s="3059">
        <f t="shared" si="0"/>
        <v>2961208</v>
      </c>
      <c r="H10" s="3059" t="s">
        <v>3055</v>
      </c>
      <c r="I10" s="3058" t="s">
        <v>3054</v>
      </c>
      <c r="K10" s="3058">
        <f t="shared" si="1"/>
        <v>21879.769469484261</v>
      </c>
    </row>
    <row r="11" spans="1:11">
      <c r="A11" s="3059">
        <v>10</v>
      </c>
      <c r="B11" s="3060" t="s">
        <v>3064</v>
      </c>
      <c r="C11" s="3060"/>
      <c r="D11" s="3060">
        <v>801</v>
      </c>
      <c r="E11" s="3058">
        <v>127.92</v>
      </c>
      <c r="F11" s="3058">
        <v>3179707</v>
      </c>
      <c r="G11" s="3059">
        <f t="shared" si="0"/>
        <v>2804502</v>
      </c>
      <c r="H11" s="3059" t="s">
        <v>3055</v>
      </c>
      <c r="I11" s="3058" t="s">
        <v>3054</v>
      </c>
      <c r="K11" s="3058">
        <f t="shared" si="1"/>
        <v>21923.874296435271</v>
      </c>
    </row>
    <row r="12" spans="1:11">
      <c r="A12" s="3059">
        <v>11</v>
      </c>
      <c r="B12" s="3060" t="s">
        <v>3064</v>
      </c>
      <c r="C12" s="3060"/>
      <c r="D12" s="3060">
        <v>804</v>
      </c>
      <c r="E12" s="3058">
        <v>135.34</v>
      </c>
      <c r="F12" s="3058">
        <v>3370913</v>
      </c>
      <c r="G12" s="3059">
        <f t="shared" si="0"/>
        <v>2973145</v>
      </c>
      <c r="H12" s="3059" t="s">
        <v>3055</v>
      </c>
      <c r="I12" s="3058" t="s">
        <v>3054</v>
      </c>
      <c r="K12" s="3058">
        <f t="shared" si="1"/>
        <v>21967.969558149845</v>
      </c>
    </row>
    <row r="13" spans="1:11">
      <c r="A13" s="3059">
        <v>12</v>
      </c>
      <c r="B13" s="3060" t="s">
        <v>3064</v>
      </c>
      <c r="C13" s="3060"/>
      <c r="D13" s="3060">
        <v>1404</v>
      </c>
      <c r="E13" s="3058">
        <v>135.34</v>
      </c>
      <c r="F13" s="3058">
        <v>3397981</v>
      </c>
      <c r="G13" s="3059">
        <f t="shared" si="0"/>
        <v>2997019</v>
      </c>
      <c r="H13" s="3059" t="s">
        <v>3055</v>
      </c>
      <c r="I13" s="3058" t="s">
        <v>3054</v>
      </c>
      <c r="K13" s="3058">
        <f t="shared" si="1"/>
        <v>22144.36973548101</v>
      </c>
    </row>
    <row r="14" spans="1:11">
      <c r="A14" s="3059">
        <v>13</v>
      </c>
      <c r="B14" s="3060" t="s">
        <v>3064</v>
      </c>
      <c r="C14" s="3060"/>
      <c r="D14" s="3060">
        <v>1801</v>
      </c>
      <c r="E14" s="3058">
        <v>127.92</v>
      </c>
      <c r="F14" s="3058">
        <v>3218083</v>
      </c>
      <c r="G14" s="3059">
        <f t="shared" si="0"/>
        <v>2838349</v>
      </c>
      <c r="H14" s="3059" t="s">
        <v>3055</v>
      </c>
      <c r="I14" s="3058" t="s">
        <v>3054</v>
      </c>
      <c r="K14" s="3058">
        <f t="shared" si="1"/>
        <v>22188.469355847403</v>
      </c>
    </row>
    <row r="15" spans="1:11">
      <c r="A15" s="3059">
        <v>14</v>
      </c>
      <c r="B15" s="3060" t="s">
        <v>3064</v>
      </c>
      <c r="C15" s="3060"/>
      <c r="D15" s="3060">
        <v>1804</v>
      </c>
      <c r="E15" s="3058">
        <v>135.34</v>
      </c>
      <c r="F15" s="3058">
        <v>3411515</v>
      </c>
      <c r="G15" s="3059">
        <f t="shared" si="0"/>
        <v>3008956</v>
      </c>
      <c r="H15" s="3059" t="s">
        <v>3055</v>
      </c>
      <c r="I15" s="3058" t="s">
        <v>3054</v>
      </c>
      <c r="K15" s="3058">
        <f t="shared" si="1"/>
        <v>22232.569824146594</v>
      </c>
    </row>
    <row r="16" spans="1:11">
      <c r="A16" s="3059">
        <v>15</v>
      </c>
      <c r="B16" s="3060" t="s">
        <v>3064</v>
      </c>
      <c r="C16" s="3060"/>
      <c r="D16" s="3060">
        <v>2301</v>
      </c>
      <c r="E16" s="3058">
        <v>127.92</v>
      </c>
      <c r="F16" s="3058">
        <v>3186103</v>
      </c>
      <c r="G16" s="3059">
        <f t="shared" si="0"/>
        <v>2810143</v>
      </c>
      <c r="H16" s="3059" t="s">
        <v>3055</v>
      </c>
      <c r="I16" s="3058" t="s">
        <v>3054</v>
      </c>
      <c r="K16" s="3058">
        <f t="shared" si="1"/>
        <v>21967.972170106317</v>
      </c>
    </row>
    <row r="17" spans="1:11">
      <c r="A17" s="3059">
        <v>16</v>
      </c>
      <c r="B17" s="3060" t="s">
        <v>3064</v>
      </c>
      <c r="C17" s="3060"/>
      <c r="D17" s="3060">
        <v>2304</v>
      </c>
      <c r="E17" s="3058">
        <v>135.34</v>
      </c>
      <c r="F17" s="3058">
        <v>3377680</v>
      </c>
      <c r="G17" s="3059">
        <f t="shared" si="0"/>
        <v>2979114</v>
      </c>
      <c r="H17" s="3059" t="s">
        <v>3055</v>
      </c>
      <c r="I17" s="3058" t="s">
        <v>3054</v>
      </c>
      <c r="K17" s="3058">
        <f t="shared" si="1"/>
        <v>22012.073296881925</v>
      </c>
    </row>
    <row r="18" spans="1:11">
      <c r="A18" s="3059">
        <v>17</v>
      </c>
      <c r="B18" s="3060" t="s">
        <v>3064</v>
      </c>
      <c r="C18" s="3060"/>
      <c r="D18" s="3060">
        <v>2401</v>
      </c>
      <c r="E18" s="3058">
        <v>127.92</v>
      </c>
      <c r="F18" s="3058">
        <v>3179707</v>
      </c>
      <c r="G18" s="3059">
        <f t="shared" si="0"/>
        <v>2804502</v>
      </c>
      <c r="H18" s="3059" t="s">
        <v>3055</v>
      </c>
      <c r="I18" s="3058" t="s">
        <v>3054</v>
      </c>
      <c r="K18" s="3058">
        <f t="shared" si="1"/>
        <v>21923.874296435271</v>
      </c>
    </row>
    <row r="19" spans="1:11">
      <c r="A19" s="3059">
        <v>18</v>
      </c>
      <c r="B19" s="3060" t="s">
        <v>3064</v>
      </c>
      <c r="C19" s="3060"/>
      <c r="D19" s="3060">
        <v>2404</v>
      </c>
      <c r="E19" s="3058">
        <v>135.34</v>
      </c>
      <c r="F19" s="3058">
        <v>3370913</v>
      </c>
      <c r="G19" s="3059">
        <f t="shared" si="0"/>
        <v>2973145</v>
      </c>
      <c r="H19" s="3059" t="s">
        <v>3055</v>
      </c>
      <c r="I19" s="3058" t="s">
        <v>3054</v>
      </c>
      <c r="K19" s="3058">
        <f t="shared" si="1"/>
        <v>21967.969558149845</v>
      </c>
    </row>
    <row r="20" spans="1:11">
      <c r="A20" s="3059">
        <v>19</v>
      </c>
      <c r="B20" s="3060" t="s">
        <v>3064</v>
      </c>
      <c r="C20" s="3060"/>
      <c r="D20" s="3060">
        <v>2601</v>
      </c>
      <c r="E20" s="3058">
        <v>127.92</v>
      </c>
      <c r="F20" s="3058">
        <v>3154123</v>
      </c>
      <c r="G20" s="3059">
        <f t="shared" si="0"/>
        <v>2781936</v>
      </c>
      <c r="H20" s="3059" t="s">
        <v>3055</v>
      </c>
      <c r="I20" s="3058" t="s">
        <v>3054</v>
      </c>
      <c r="K20" s="3058">
        <f t="shared" si="1"/>
        <v>21747.467166979361</v>
      </c>
    </row>
    <row r="21" spans="1:11">
      <c r="A21" s="3059">
        <v>20</v>
      </c>
      <c r="B21" s="3060" t="s">
        <v>3064</v>
      </c>
      <c r="C21" s="3060"/>
      <c r="D21" s="3060">
        <v>2604</v>
      </c>
      <c r="E21" s="3058">
        <v>135.34</v>
      </c>
      <c r="F21" s="3058">
        <v>3343845</v>
      </c>
      <c r="G21" s="3059">
        <f t="shared" si="0"/>
        <v>2949271</v>
      </c>
      <c r="H21" s="3059" t="s">
        <v>3055</v>
      </c>
      <c r="I21" s="3058" t="s">
        <v>3054</v>
      </c>
      <c r="J21" s="3058">
        <f>SUM(E2:E21)+E212+E213</f>
        <v>2876.3</v>
      </c>
      <c r="K21" s="3058">
        <f t="shared" si="1"/>
        <v>21791.569380818677</v>
      </c>
    </row>
    <row r="22" spans="1:11">
      <c r="A22" s="3059">
        <v>21</v>
      </c>
      <c r="B22" s="3060" t="s">
        <v>3063</v>
      </c>
      <c r="C22" s="3060"/>
      <c r="D22" s="3060">
        <v>201</v>
      </c>
      <c r="E22" s="3058">
        <v>135.22999999999999</v>
      </c>
      <c r="F22" s="3058">
        <v>3374935</v>
      </c>
      <c r="G22" s="3059">
        <f t="shared" si="0"/>
        <v>2976693</v>
      </c>
      <c r="H22" s="3059" t="s">
        <v>3055</v>
      </c>
      <c r="I22" s="3058" t="s">
        <v>3054</v>
      </c>
      <c r="K22" s="3058">
        <f t="shared" si="1"/>
        <v>22012.075722842565</v>
      </c>
    </row>
    <row r="23" spans="1:11">
      <c r="A23" s="3059">
        <v>22</v>
      </c>
      <c r="B23" s="3060" t="s">
        <v>3063</v>
      </c>
      <c r="C23" s="3060"/>
      <c r="D23" s="3060">
        <v>202</v>
      </c>
      <c r="E23" s="3058">
        <v>118.18</v>
      </c>
      <c r="F23" s="3058">
        <v>3014417</v>
      </c>
      <c r="G23" s="3059">
        <f t="shared" si="0"/>
        <v>2658716</v>
      </c>
      <c r="H23" s="3059" t="s">
        <v>3055</v>
      </c>
      <c r="I23" s="3058" t="s">
        <v>3054</v>
      </c>
      <c r="K23" s="3058">
        <f t="shared" si="1"/>
        <v>22497.173802673886</v>
      </c>
    </row>
    <row r="24" spans="1:11">
      <c r="A24" s="3059">
        <v>23</v>
      </c>
      <c r="B24" s="3060" t="s">
        <v>3063</v>
      </c>
      <c r="C24" s="3060"/>
      <c r="D24" s="3060">
        <v>203</v>
      </c>
      <c r="E24" s="3058">
        <v>118.05</v>
      </c>
      <c r="F24" s="3058">
        <v>3017004</v>
      </c>
      <c r="G24" s="3059">
        <f t="shared" si="0"/>
        <v>2660998</v>
      </c>
      <c r="H24" s="3059" t="s">
        <v>3055</v>
      </c>
      <c r="I24" s="3058" t="s">
        <v>3054</v>
      </c>
      <c r="K24" s="3058">
        <f t="shared" si="1"/>
        <v>22541.279119017367</v>
      </c>
    </row>
    <row r="25" spans="1:11">
      <c r="A25" s="3059">
        <v>24</v>
      </c>
      <c r="B25" s="3060" t="s">
        <v>3063</v>
      </c>
      <c r="C25" s="3060"/>
      <c r="D25" s="3060">
        <v>204</v>
      </c>
      <c r="E25" s="3058">
        <v>127.82</v>
      </c>
      <c r="F25" s="3058">
        <v>3260305</v>
      </c>
      <c r="G25" s="3059">
        <f t="shared" si="0"/>
        <v>2875589</v>
      </c>
      <c r="H25" s="3059" t="s">
        <v>3055</v>
      </c>
      <c r="I25" s="3058" t="s">
        <v>3054</v>
      </c>
      <c r="K25" s="3058">
        <f t="shared" si="1"/>
        <v>22497.175715850415</v>
      </c>
    </row>
    <row r="26" spans="1:11">
      <c r="A26" s="3059">
        <v>25</v>
      </c>
      <c r="B26" s="3060" t="s">
        <v>3063</v>
      </c>
      <c r="C26" s="3060"/>
      <c r="D26" s="3060">
        <v>301</v>
      </c>
      <c r="E26" s="3058">
        <v>135.22999999999999</v>
      </c>
      <c r="F26" s="3058">
        <v>3381697</v>
      </c>
      <c r="G26" s="3059">
        <f t="shared" si="0"/>
        <v>2982657</v>
      </c>
      <c r="H26" s="3059" t="s">
        <v>3055</v>
      </c>
      <c r="I26" s="3058" t="s">
        <v>3054</v>
      </c>
      <c r="K26" s="3058">
        <f t="shared" si="1"/>
        <v>22056.178362789324</v>
      </c>
    </row>
    <row r="27" spans="1:11">
      <c r="A27" s="3059">
        <v>26</v>
      </c>
      <c r="B27" s="3060" t="s">
        <v>3063</v>
      </c>
      <c r="C27" s="3060"/>
      <c r="D27" s="3060">
        <v>302</v>
      </c>
      <c r="E27" s="3058">
        <v>118.18</v>
      </c>
      <c r="F27" s="3058">
        <v>3020326</v>
      </c>
      <c r="G27" s="3059">
        <f t="shared" si="0"/>
        <v>2663928</v>
      </c>
      <c r="H27" s="3059" t="s">
        <v>3055</v>
      </c>
      <c r="I27" s="3058" t="s">
        <v>3054</v>
      </c>
      <c r="K27" s="3058">
        <f t="shared" si="1"/>
        <v>22541.27601963107</v>
      </c>
    </row>
    <row r="28" spans="1:11">
      <c r="A28" s="3059">
        <v>27</v>
      </c>
      <c r="B28" s="3060" t="s">
        <v>3063</v>
      </c>
      <c r="C28" s="3060"/>
      <c r="D28" s="3060">
        <v>303</v>
      </c>
      <c r="E28" s="3058">
        <v>118.05</v>
      </c>
      <c r="F28" s="3058">
        <v>3022906</v>
      </c>
      <c r="G28" s="3059">
        <f t="shared" si="0"/>
        <v>2666203</v>
      </c>
      <c r="H28" s="3059" t="s">
        <v>3055</v>
      </c>
      <c r="I28" s="3058" t="s">
        <v>3054</v>
      </c>
      <c r="K28" s="3058">
        <f t="shared" si="1"/>
        <v>22585.370605675562</v>
      </c>
    </row>
    <row r="29" spans="1:11">
      <c r="A29" s="3059">
        <v>28</v>
      </c>
      <c r="B29" s="3060" t="s">
        <v>3063</v>
      </c>
      <c r="C29" s="3060"/>
      <c r="D29" s="3060">
        <v>304</v>
      </c>
      <c r="E29" s="3058">
        <v>127.82</v>
      </c>
      <c r="F29" s="3058">
        <v>3266696</v>
      </c>
      <c r="G29" s="3059">
        <f t="shared" si="0"/>
        <v>2881226</v>
      </c>
      <c r="H29" s="3059" t="s">
        <v>3055</v>
      </c>
      <c r="I29" s="3058" t="s">
        <v>3054</v>
      </c>
      <c r="K29" s="3058">
        <f t="shared" si="1"/>
        <v>22541.276795493664</v>
      </c>
    </row>
    <row r="30" spans="1:11">
      <c r="A30" s="3059">
        <v>29</v>
      </c>
      <c r="B30" s="3060" t="s">
        <v>3063</v>
      </c>
      <c r="C30" s="3060"/>
      <c r="D30" s="3060">
        <v>401</v>
      </c>
      <c r="E30" s="3058">
        <v>135.22999999999999</v>
      </c>
      <c r="F30" s="3058">
        <v>3388458</v>
      </c>
      <c r="G30" s="3059">
        <f t="shared" si="0"/>
        <v>2988620</v>
      </c>
      <c r="H30" s="3059" t="s">
        <v>3055</v>
      </c>
      <c r="I30" s="3058" t="s">
        <v>3054</v>
      </c>
      <c r="K30" s="3058">
        <f t="shared" si="1"/>
        <v>22100.273607927236</v>
      </c>
    </row>
    <row r="31" spans="1:11">
      <c r="A31" s="3059">
        <v>30</v>
      </c>
      <c r="B31" s="3060" t="s">
        <v>3063</v>
      </c>
      <c r="C31" s="3060"/>
      <c r="D31" s="3060">
        <v>403</v>
      </c>
      <c r="E31" s="3058">
        <v>118.05</v>
      </c>
      <c r="F31" s="3058">
        <v>3028809</v>
      </c>
      <c r="G31" s="3059">
        <f t="shared" si="0"/>
        <v>2671410</v>
      </c>
      <c r="H31" s="3059" t="s">
        <v>3055</v>
      </c>
      <c r="I31" s="3058" t="s">
        <v>3054</v>
      </c>
      <c r="K31" s="3058">
        <f t="shared" si="1"/>
        <v>22629.479034307496</v>
      </c>
    </row>
    <row r="32" spans="1:11">
      <c r="A32" s="3059">
        <v>31</v>
      </c>
      <c r="B32" s="3060" t="s">
        <v>3063</v>
      </c>
      <c r="C32" s="3060"/>
      <c r="D32" s="3060">
        <v>404</v>
      </c>
      <c r="E32" s="3058">
        <v>127.82</v>
      </c>
      <c r="F32" s="3058">
        <v>3273087</v>
      </c>
      <c r="G32" s="3059">
        <f t="shared" si="0"/>
        <v>2886863</v>
      </c>
      <c r="H32" s="3059" t="s">
        <v>3055</v>
      </c>
      <c r="I32" s="3058" t="s">
        <v>3054</v>
      </c>
      <c r="K32" s="3058">
        <f t="shared" si="1"/>
        <v>22585.377875136914</v>
      </c>
    </row>
    <row r="33" spans="1:11">
      <c r="A33" s="3059">
        <v>32</v>
      </c>
      <c r="B33" s="3060" t="s">
        <v>3063</v>
      </c>
      <c r="C33" s="3060"/>
      <c r="D33" s="3060">
        <v>501</v>
      </c>
      <c r="E33" s="3058">
        <v>135.22999999999999</v>
      </c>
      <c r="F33" s="3058">
        <v>3395220</v>
      </c>
      <c r="G33" s="3059">
        <f t="shared" si="0"/>
        <v>2994584</v>
      </c>
      <c r="H33" s="3059" t="s">
        <v>3055</v>
      </c>
      <c r="I33" s="3058" t="s">
        <v>3054</v>
      </c>
      <c r="K33" s="3058">
        <f t="shared" si="1"/>
        <v>22144.376247873995</v>
      </c>
    </row>
    <row r="34" spans="1:11">
      <c r="A34" s="3059">
        <v>33</v>
      </c>
      <c r="B34" s="3060" t="s">
        <v>3063</v>
      </c>
      <c r="C34" s="3060"/>
      <c r="D34" s="3060">
        <v>504</v>
      </c>
      <c r="E34" s="3058">
        <v>127.82</v>
      </c>
      <c r="F34" s="3058">
        <v>3279478</v>
      </c>
      <c r="G34" s="3059">
        <f t="shared" si="0"/>
        <v>2892500</v>
      </c>
      <c r="H34" s="3059" t="s">
        <v>3055</v>
      </c>
      <c r="I34" s="3058" t="s">
        <v>3054</v>
      </c>
      <c r="K34" s="3058">
        <f t="shared" si="1"/>
        <v>22629.478954780159</v>
      </c>
    </row>
    <row r="35" spans="1:11">
      <c r="A35" s="3059">
        <v>34</v>
      </c>
      <c r="B35" s="3060" t="s">
        <v>3063</v>
      </c>
      <c r="C35" s="3060"/>
      <c r="D35" s="3060">
        <v>604</v>
      </c>
      <c r="E35" s="3058">
        <v>127.82</v>
      </c>
      <c r="F35" s="3058">
        <v>3285869</v>
      </c>
      <c r="G35" s="3059">
        <f t="shared" si="0"/>
        <v>2898136</v>
      </c>
      <c r="H35" s="3059" t="s">
        <v>3055</v>
      </c>
      <c r="I35" s="3058" t="s">
        <v>3054</v>
      </c>
      <c r="K35" s="3058">
        <f t="shared" si="1"/>
        <v>22673.572210921611</v>
      </c>
    </row>
    <row r="36" spans="1:11">
      <c r="A36" s="3059">
        <v>35</v>
      </c>
      <c r="B36" s="3060" t="s">
        <v>3063</v>
      </c>
      <c r="C36" s="3060"/>
      <c r="D36" s="3060">
        <v>804</v>
      </c>
      <c r="E36" s="3058">
        <v>127.82</v>
      </c>
      <c r="F36" s="3058">
        <v>3298651</v>
      </c>
      <c r="G36" s="3059">
        <f t="shared" si="0"/>
        <v>2909410</v>
      </c>
      <c r="H36" s="3059" t="s">
        <v>3055</v>
      </c>
      <c r="I36" s="3058" t="s">
        <v>3054</v>
      </c>
      <c r="K36" s="3058">
        <f t="shared" si="1"/>
        <v>22761.774370208106</v>
      </c>
    </row>
    <row r="37" spans="1:11">
      <c r="A37" s="3059">
        <v>36</v>
      </c>
      <c r="B37" s="3060" t="s">
        <v>3063</v>
      </c>
      <c r="C37" s="3060"/>
      <c r="D37" s="3060">
        <v>1804</v>
      </c>
      <c r="E37" s="3058">
        <v>127.82</v>
      </c>
      <c r="F37" s="3058">
        <v>3336997</v>
      </c>
      <c r="G37" s="3059">
        <f t="shared" si="0"/>
        <v>2943231</v>
      </c>
      <c r="H37" s="3059" t="s">
        <v>3055</v>
      </c>
      <c r="I37" s="3058" t="s">
        <v>3054</v>
      </c>
      <c r="K37" s="3058">
        <f t="shared" si="1"/>
        <v>23026.373024565797</v>
      </c>
    </row>
    <row r="38" spans="1:11">
      <c r="A38" s="3059">
        <v>37</v>
      </c>
      <c r="B38" s="3060" t="s">
        <v>3063</v>
      </c>
      <c r="C38" s="3060"/>
      <c r="D38" s="3060">
        <v>1904</v>
      </c>
      <c r="E38" s="3058">
        <v>127.82</v>
      </c>
      <c r="F38" s="3058">
        <v>3330606</v>
      </c>
      <c r="G38" s="3059">
        <f t="shared" si="0"/>
        <v>2937594</v>
      </c>
      <c r="H38" s="3059" t="s">
        <v>3055</v>
      </c>
      <c r="I38" s="3058" t="s">
        <v>3054</v>
      </c>
      <c r="K38" s="3058">
        <f t="shared" si="1"/>
        <v>22982.271944922548</v>
      </c>
    </row>
    <row r="39" spans="1:11">
      <c r="A39" s="3059">
        <v>38</v>
      </c>
      <c r="B39" s="3060" t="s">
        <v>3063</v>
      </c>
      <c r="C39" s="3060"/>
      <c r="D39" s="3060">
        <v>2004</v>
      </c>
      <c r="E39" s="3058">
        <v>127.82</v>
      </c>
      <c r="F39" s="3058">
        <v>3324215</v>
      </c>
      <c r="G39" s="3059">
        <f t="shared" si="0"/>
        <v>2931958</v>
      </c>
      <c r="H39" s="3059" t="s">
        <v>3055</v>
      </c>
      <c r="I39" s="3058" t="s">
        <v>3054</v>
      </c>
      <c r="K39" s="3058">
        <f t="shared" si="1"/>
        <v>22938.178688781099</v>
      </c>
    </row>
    <row r="40" spans="1:11">
      <c r="A40" s="3059">
        <v>39</v>
      </c>
      <c r="B40" s="3060" t="s">
        <v>3063</v>
      </c>
      <c r="C40" s="3060"/>
      <c r="D40" s="3060">
        <v>2204</v>
      </c>
      <c r="E40" s="3058">
        <v>127.82</v>
      </c>
      <c r="F40" s="3058">
        <v>3311433</v>
      </c>
      <c r="G40" s="3059">
        <f t="shared" si="0"/>
        <v>2920684</v>
      </c>
      <c r="H40" s="3059" t="s">
        <v>3055</v>
      </c>
      <c r="I40" s="3058" t="s">
        <v>3054</v>
      </c>
      <c r="K40" s="3058">
        <f t="shared" si="1"/>
        <v>22849.976529494605</v>
      </c>
    </row>
    <row r="41" spans="1:11">
      <c r="A41" s="3059">
        <v>40</v>
      </c>
      <c r="B41" s="3060" t="s">
        <v>3063</v>
      </c>
      <c r="C41" s="3060"/>
      <c r="D41" s="3060">
        <v>2304</v>
      </c>
      <c r="E41" s="3058">
        <v>127.82</v>
      </c>
      <c r="F41" s="3058">
        <v>3305042</v>
      </c>
      <c r="G41" s="3059">
        <f t="shared" si="0"/>
        <v>2915047</v>
      </c>
      <c r="H41" s="3059" t="s">
        <v>3055</v>
      </c>
      <c r="I41" s="3058" t="s">
        <v>3054</v>
      </c>
      <c r="K41" s="3058">
        <f t="shared" si="1"/>
        <v>22805.875449851355</v>
      </c>
    </row>
    <row r="42" spans="1:11">
      <c r="A42" s="3059">
        <v>41</v>
      </c>
      <c r="B42" s="3060" t="s">
        <v>3063</v>
      </c>
      <c r="C42" s="3060"/>
      <c r="D42" s="3060">
        <v>2404</v>
      </c>
      <c r="E42" s="3058">
        <v>127.82</v>
      </c>
      <c r="F42" s="3058">
        <v>3298651</v>
      </c>
      <c r="G42" s="3059">
        <f t="shared" si="0"/>
        <v>2909410</v>
      </c>
      <c r="H42" s="3059" t="s">
        <v>3055</v>
      </c>
      <c r="I42" s="3058" t="s">
        <v>3054</v>
      </c>
      <c r="K42" s="3058">
        <f t="shared" si="1"/>
        <v>22761.774370208106</v>
      </c>
    </row>
    <row r="43" spans="1:11">
      <c r="A43" s="3059">
        <v>42</v>
      </c>
      <c r="B43" s="3060" t="s">
        <v>3063</v>
      </c>
      <c r="C43" s="3060"/>
      <c r="D43" s="3060">
        <v>2504</v>
      </c>
      <c r="E43" s="3058">
        <v>127.82</v>
      </c>
      <c r="F43" s="3058">
        <v>3292260</v>
      </c>
      <c r="G43" s="3059">
        <f t="shared" si="0"/>
        <v>2903773</v>
      </c>
      <c r="H43" s="3059" t="s">
        <v>3055</v>
      </c>
      <c r="I43" s="3058" t="s">
        <v>3054</v>
      </c>
      <c r="K43" s="3058">
        <f t="shared" si="1"/>
        <v>22717.673290564857</v>
      </c>
    </row>
    <row r="44" spans="1:11">
      <c r="A44" s="3059">
        <v>43</v>
      </c>
      <c r="B44" s="3060" t="s">
        <v>3063</v>
      </c>
      <c r="C44" s="3060"/>
      <c r="D44" s="3060">
        <v>2601</v>
      </c>
      <c r="E44" s="3058">
        <v>135.22999999999999</v>
      </c>
      <c r="F44" s="3058">
        <v>3388458</v>
      </c>
      <c r="G44" s="3059">
        <f t="shared" si="0"/>
        <v>2988620</v>
      </c>
      <c r="H44" s="3059" t="s">
        <v>3055</v>
      </c>
      <c r="I44" s="3058" t="s">
        <v>3054</v>
      </c>
      <c r="K44" s="3058">
        <f t="shared" si="1"/>
        <v>22100.273607927236</v>
      </c>
    </row>
    <row r="45" spans="1:11">
      <c r="A45" s="3059">
        <v>44</v>
      </c>
      <c r="B45" s="3060" t="s">
        <v>3063</v>
      </c>
      <c r="C45" s="3060"/>
      <c r="D45" s="3060">
        <v>2602</v>
      </c>
      <c r="E45" s="3058">
        <v>118.18</v>
      </c>
      <c r="F45" s="3058">
        <v>3026235</v>
      </c>
      <c r="G45" s="3059">
        <f t="shared" si="0"/>
        <v>2669139</v>
      </c>
      <c r="H45" s="3059" t="s">
        <v>3055</v>
      </c>
      <c r="I45" s="3058" t="s">
        <v>3054</v>
      </c>
      <c r="K45" s="3058">
        <f t="shared" si="1"/>
        <v>22585.369774919614</v>
      </c>
    </row>
    <row r="46" spans="1:11">
      <c r="A46" s="3059">
        <v>45</v>
      </c>
      <c r="B46" s="3060" t="s">
        <v>3063</v>
      </c>
      <c r="C46" s="3060"/>
      <c r="D46" s="3060">
        <v>2604</v>
      </c>
      <c r="E46" s="3058">
        <v>127.82</v>
      </c>
      <c r="F46" s="3058">
        <v>3273087</v>
      </c>
      <c r="G46" s="3059">
        <f t="shared" si="0"/>
        <v>2886863</v>
      </c>
      <c r="H46" s="3059" t="s">
        <v>3055</v>
      </c>
      <c r="I46" s="3058" t="s">
        <v>3054</v>
      </c>
      <c r="J46" s="3058">
        <f>SUM(E22:E46)</f>
        <v>3174.3200000000006</v>
      </c>
      <c r="K46" s="3058">
        <f t="shared" si="1"/>
        <v>22585.377875136914</v>
      </c>
    </row>
    <row r="47" spans="1:11">
      <c r="A47" s="3059">
        <v>46</v>
      </c>
      <c r="B47" s="3060" t="s">
        <v>3062</v>
      </c>
      <c r="C47" s="3060"/>
      <c r="D47" s="3060">
        <v>201</v>
      </c>
      <c r="E47" s="3058">
        <v>127.83</v>
      </c>
      <c r="F47" s="3058">
        <v>3164687</v>
      </c>
      <c r="G47" s="3059">
        <f t="shared" si="0"/>
        <v>2791254</v>
      </c>
      <c r="H47" s="3059" t="s">
        <v>3055</v>
      </c>
      <c r="I47" s="3058" t="s">
        <v>3054</v>
      </c>
      <c r="K47" s="3058">
        <f t="shared" si="1"/>
        <v>21835.672377376202</v>
      </c>
    </row>
    <row r="48" spans="1:11">
      <c r="A48" s="3059">
        <v>47</v>
      </c>
      <c r="B48" s="3060" t="s">
        <v>3062</v>
      </c>
      <c r="C48" s="3060"/>
      <c r="D48" s="3060">
        <v>203</v>
      </c>
      <c r="E48" s="3058">
        <v>118.18</v>
      </c>
      <c r="F48" s="3058">
        <v>2937600</v>
      </c>
      <c r="G48" s="3059">
        <f t="shared" si="0"/>
        <v>2590963</v>
      </c>
      <c r="H48" s="3059" t="s">
        <v>3055</v>
      </c>
      <c r="I48" s="3058" t="s">
        <v>3054</v>
      </c>
      <c r="K48" s="3058">
        <f t="shared" si="1"/>
        <v>21923.870367236417</v>
      </c>
    </row>
    <row r="49" spans="1:11">
      <c r="A49" s="3059">
        <v>48</v>
      </c>
      <c r="B49" s="3060" t="s">
        <v>3062</v>
      </c>
      <c r="C49" s="3060"/>
      <c r="D49" s="3060">
        <v>204</v>
      </c>
      <c r="E49" s="3058">
        <v>135.22999999999999</v>
      </c>
      <c r="F49" s="3058">
        <v>3341128</v>
      </c>
      <c r="G49" s="3059">
        <f t="shared" si="0"/>
        <v>2946875</v>
      </c>
      <c r="H49" s="3059" t="s">
        <v>3055</v>
      </c>
      <c r="I49" s="3058" t="s">
        <v>3054</v>
      </c>
      <c r="K49" s="3058">
        <f t="shared" si="1"/>
        <v>21791.577312726469</v>
      </c>
    </row>
    <row r="50" spans="1:11">
      <c r="A50" s="3059">
        <v>49</v>
      </c>
      <c r="B50" s="3060" t="s">
        <v>3062</v>
      </c>
      <c r="C50" s="3060"/>
      <c r="D50" s="3060">
        <v>301</v>
      </c>
      <c r="E50" s="3058">
        <v>127.83</v>
      </c>
      <c r="F50" s="3058">
        <v>3171079</v>
      </c>
      <c r="G50" s="3059">
        <f t="shared" si="0"/>
        <v>2796892</v>
      </c>
      <c r="H50" s="3059" t="s">
        <v>3055</v>
      </c>
      <c r="I50" s="3058" t="s">
        <v>3054</v>
      </c>
      <c r="K50" s="3058">
        <f t="shared" si="1"/>
        <v>21879.777829930375</v>
      </c>
    </row>
    <row r="51" spans="1:11">
      <c r="A51" s="3059">
        <v>50</v>
      </c>
      <c r="B51" s="3060" t="s">
        <v>3062</v>
      </c>
      <c r="C51" s="3060"/>
      <c r="D51" s="3060">
        <v>303</v>
      </c>
      <c r="E51" s="3058">
        <v>118.18</v>
      </c>
      <c r="F51" s="3058">
        <v>2943509</v>
      </c>
      <c r="G51" s="3059">
        <f t="shared" si="0"/>
        <v>2596175</v>
      </c>
      <c r="H51" s="3059" t="s">
        <v>3055</v>
      </c>
      <c r="I51" s="3058" t="s">
        <v>3054</v>
      </c>
      <c r="K51" s="3058">
        <f t="shared" si="1"/>
        <v>21967.972584193602</v>
      </c>
    </row>
    <row r="52" spans="1:11">
      <c r="A52" s="3059">
        <v>51</v>
      </c>
      <c r="B52" s="3060" t="s">
        <v>3062</v>
      </c>
      <c r="C52" s="3060"/>
      <c r="D52" s="3060">
        <v>304</v>
      </c>
      <c r="E52" s="3058">
        <v>135.22999999999999</v>
      </c>
      <c r="F52" s="3058">
        <v>3347889</v>
      </c>
      <c r="G52" s="3059">
        <f t="shared" si="0"/>
        <v>2952838</v>
      </c>
      <c r="H52" s="3059" t="s">
        <v>3055</v>
      </c>
      <c r="I52" s="3058" t="s">
        <v>3054</v>
      </c>
      <c r="K52" s="3058">
        <f t="shared" si="1"/>
        <v>21835.672557864382</v>
      </c>
    </row>
    <row r="53" spans="1:11">
      <c r="A53" s="3059">
        <v>52</v>
      </c>
      <c r="B53" s="3060" t="s">
        <v>3062</v>
      </c>
      <c r="C53" s="3060"/>
      <c r="D53" s="3060">
        <v>401</v>
      </c>
      <c r="E53" s="3058">
        <v>127.83</v>
      </c>
      <c r="F53" s="3058">
        <v>3177470</v>
      </c>
      <c r="G53" s="3059">
        <f t="shared" si="0"/>
        <v>2802529</v>
      </c>
      <c r="H53" s="3059" t="s">
        <v>3055</v>
      </c>
      <c r="I53" s="3058" t="s">
        <v>3054</v>
      </c>
      <c r="K53" s="3058">
        <f t="shared" si="1"/>
        <v>21923.875459594776</v>
      </c>
    </row>
    <row r="54" spans="1:11">
      <c r="A54" s="3059">
        <v>53</v>
      </c>
      <c r="B54" s="3060" t="s">
        <v>3062</v>
      </c>
      <c r="C54" s="3060"/>
      <c r="D54" s="3060">
        <v>403</v>
      </c>
      <c r="E54" s="3058">
        <v>118.18</v>
      </c>
      <c r="F54" s="3058">
        <v>2949418</v>
      </c>
      <c r="G54" s="3059">
        <f t="shared" si="0"/>
        <v>2601387</v>
      </c>
      <c r="H54" s="3059" t="s">
        <v>3055</v>
      </c>
      <c r="I54" s="3058" t="s">
        <v>3054</v>
      </c>
      <c r="K54" s="3058">
        <f t="shared" si="1"/>
        <v>22012.074801150786</v>
      </c>
    </row>
    <row r="55" spans="1:11">
      <c r="A55" s="3059">
        <v>54</v>
      </c>
      <c r="B55" s="3060" t="s">
        <v>3062</v>
      </c>
      <c r="C55" s="3060"/>
      <c r="D55" s="3060">
        <v>404</v>
      </c>
      <c r="E55" s="3058">
        <v>135.22999999999999</v>
      </c>
      <c r="F55" s="3058">
        <v>3354651</v>
      </c>
      <c r="G55" s="3059">
        <f t="shared" si="0"/>
        <v>2958802</v>
      </c>
      <c r="H55" s="3059" t="s">
        <v>3055</v>
      </c>
      <c r="I55" s="3058" t="s">
        <v>3054</v>
      </c>
      <c r="K55" s="3058">
        <f t="shared" si="1"/>
        <v>21879.775197811137</v>
      </c>
    </row>
    <row r="56" spans="1:11">
      <c r="A56" s="3059">
        <v>55</v>
      </c>
      <c r="B56" s="3060" t="s">
        <v>3062</v>
      </c>
      <c r="C56" s="3060"/>
      <c r="D56" s="3060">
        <v>501</v>
      </c>
      <c r="E56" s="3058">
        <v>127.83</v>
      </c>
      <c r="F56" s="3058">
        <v>3183862</v>
      </c>
      <c r="G56" s="3059">
        <f t="shared" si="0"/>
        <v>2808166</v>
      </c>
      <c r="H56" s="3059" t="s">
        <v>3055</v>
      </c>
      <c r="I56" s="3058" t="s">
        <v>3054</v>
      </c>
      <c r="K56" s="3058">
        <f t="shared" si="1"/>
        <v>21967.973089259172</v>
      </c>
    </row>
    <row r="57" spans="1:11">
      <c r="A57" s="3059">
        <v>56</v>
      </c>
      <c r="B57" s="3060" t="s">
        <v>3062</v>
      </c>
      <c r="C57" s="3060"/>
      <c r="D57" s="3060">
        <v>504</v>
      </c>
      <c r="E57" s="3058">
        <v>135.22999999999999</v>
      </c>
      <c r="F57" s="3058">
        <v>3361412</v>
      </c>
      <c r="G57" s="3059">
        <f t="shared" si="0"/>
        <v>2964765</v>
      </c>
      <c r="H57" s="3059" t="s">
        <v>3055</v>
      </c>
      <c r="I57" s="3058" t="s">
        <v>3054</v>
      </c>
      <c r="K57" s="3058">
        <f t="shared" si="1"/>
        <v>21923.87044294905</v>
      </c>
    </row>
    <row r="58" spans="1:11">
      <c r="A58" s="3059">
        <v>57</v>
      </c>
      <c r="B58" s="3060" t="s">
        <v>3062</v>
      </c>
      <c r="C58" s="3060"/>
      <c r="D58" s="3060">
        <v>601</v>
      </c>
      <c r="E58" s="3058">
        <v>127.83</v>
      </c>
      <c r="F58" s="3058">
        <v>3190253</v>
      </c>
      <c r="G58" s="3059">
        <f t="shared" si="0"/>
        <v>2813803</v>
      </c>
      <c r="H58" s="3059" t="s">
        <v>3055</v>
      </c>
      <c r="I58" s="3058" t="s">
        <v>3054</v>
      </c>
      <c r="K58" s="3058">
        <f t="shared" si="1"/>
        <v>22012.070718923569</v>
      </c>
    </row>
    <row r="59" spans="1:11">
      <c r="A59" s="3059">
        <v>58</v>
      </c>
      <c r="B59" s="3060" t="s">
        <v>3062</v>
      </c>
      <c r="C59" s="3060"/>
      <c r="D59" s="3060">
        <v>604</v>
      </c>
      <c r="E59" s="3058">
        <v>135.22999999999999</v>
      </c>
      <c r="F59" s="3058">
        <v>3368174</v>
      </c>
      <c r="G59" s="3059">
        <f t="shared" si="0"/>
        <v>2970729</v>
      </c>
      <c r="H59" s="3059" t="s">
        <v>3055</v>
      </c>
      <c r="I59" s="3058" t="s">
        <v>3054</v>
      </c>
      <c r="K59" s="3058">
        <f t="shared" si="1"/>
        <v>21967.973082895809</v>
      </c>
    </row>
    <row r="60" spans="1:11">
      <c r="A60" s="3059">
        <v>59</v>
      </c>
      <c r="B60" s="3060" t="s">
        <v>3062</v>
      </c>
      <c r="C60" s="3060"/>
      <c r="D60" s="3060">
        <v>701</v>
      </c>
      <c r="E60" s="3058">
        <v>127.83</v>
      </c>
      <c r="F60" s="3058">
        <v>3196645</v>
      </c>
      <c r="G60" s="3059">
        <f t="shared" si="0"/>
        <v>2819441</v>
      </c>
      <c r="H60" s="3059" t="s">
        <v>3055</v>
      </c>
      <c r="I60" s="3058" t="s">
        <v>3054</v>
      </c>
      <c r="K60" s="3058">
        <f t="shared" si="1"/>
        <v>22056.176171477746</v>
      </c>
    </row>
    <row r="61" spans="1:11">
      <c r="A61" s="3059">
        <v>60</v>
      </c>
      <c r="B61" s="3060" t="s">
        <v>3062</v>
      </c>
      <c r="C61" s="3060"/>
      <c r="D61" s="3060">
        <v>704</v>
      </c>
      <c r="E61" s="3058">
        <v>135.22999999999999</v>
      </c>
      <c r="F61" s="3058">
        <v>3374935</v>
      </c>
      <c r="G61" s="3059">
        <f t="shared" si="0"/>
        <v>2976693</v>
      </c>
      <c r="H61" s="3059" t="s">
        <v>3055</v>
      </c>
      <c r="I61" s="3058" t="s">
        <v>3054</v>
      </c>
      <c r="K61" s="3058">
        <f t="shared" si="1"/>
        <v>22012.075722842565</v>
      </c>
    </row>
    <row r="62" spans="1:11">
      <c r="A62" s="3059">
        <v>61</v>
      </c>
      <c r="B62" s="3060" t="s">
        <v>3062</v>
      </c>
      <c r="C62" s="3060"/>
      <c r="D62" s="3060">
        <v>801</v>
      </c>
      <c r="E62" s="3058">
        <v>127.83</v>
      </c>
      <c r="F62" s="3058">
        <v>3203036</v>
      </c>
      <c r="G62" s="3059">
        <f t="shared" si="0"/>
        <v>2825078</v>
      </c>
      <c r="H62" s="3059" t="s">
        <v>3055</v>
      </c>
      <c r="I62" s="3058" t="s">
        <v>3054</v>
      </c>
      <c r="K62" s="3058">
        <f t="shared" si="1"/>
        <v>22100.273801142142</v>
      </c>
    </row>
    <row r="63" spans="1:11">
      <c r="A63" s="3059">
        <v>62</v>
      </c>
      <c r="B63" s="3060" t="s">
        <v>3062</v>
      </c>
      <c r="C63" s="3060"/>
      <c r="D63" s="3060">
        <v>804</v>
      </c>
      <c r="E63" s="3058">
        <v>135.22999999999999</v>
      </c>
      <c r="F63" s="3058">
        <v>3381697</v>
      </c>
      <c r="G63" s="3059">
        <f t="shared" si="0"/>
        <v>2982657</v>
      </c>
      <c r="H63" s="3059" t="s">
        <v>3055</v>
      </c>
      <c r="I63" s="3058" t="s">
        <v>3054</v>
      </c>
      <c r="K63" s="3058">
        <f t="shared" si="1"/>
        <v>22056.178362789324</v>
      </c>
    </row>
    <row r="64" spans="1:11">
      <c r="A64" s="3059">
        <v>63</v>
      </c>
      <c r="B64" s="3060" t="s">
        <v>3062</v>
      </c>
      <c r="C64" s="3060"/>
      <c r="D64" s="3060">
        <v>901</v>
      </c>
      <c r="E64" s="3058">
        <v>127.83</v>
      </c>
      <c r="F64" s="3058">
        <v>3209428</v>
      </c>
      <c r="G64" s="3059">
        <f t="shared" si="0"/>
        <v>2830715</v>
      </c>
      <c r="H64" s="3059" t="s">
        <v>3055</v>
      </c>
      <c r="I64" s="3058" t="s">
        <v>3054</v>
      </c>
      <c r="K64" s="3058">
        <f t="shared" si="1"/>
        <v>22144.371430806539</v>
      </c>
    </row>
    <row r="65" spans="1:11">
      <c r="A65" s="3059">
        <v>64</v>
      </c>
      <c r="B65" s="3060" t="s">
        <v>3062</v>
      </c>
      <c r="C65" s="3060"/>
      <c r="D65" s="3060">
        <v>1001</v>
      </c>
      <c r="E65" s="3058">
        <v>127.83</v>
      </c>
      <c r="F65" s="3058">
        <v>3215819</v>
      </c>
      <c r="G65" s="3059">
        <f t="shared" si="0"/>
        <v>2836352</v>
      </c>
      <c r="H65" s="3059" t="s">
        <v>3055</v>
      </c>
      <c r="I65" s="3058" t="s">
        <v>3054</v>
      </c>
      <c r="K65" s="3058">
        <f t="shared" si="1"/>
        <v>22188.469060470939</v>
      </c>
    </row>
    <row r="66" spans="1:11">
      <c r="A66" s="3059">
        <v>65</v>
      </c>
      <c r="B66" s="3060" t="s">
        <v>3062</v>
      </c>
      <c r="C66" s="3060"/>
      <c r="D66" s="3060">
        <v>1004</v>
      </c>
      <c r="E66" s="3058">
        <v>135.22999999999999</v>
      </c>
      <c r="F66" s="3058">
        <v>3395220</v>
      </c>
      <c r="G66" s="3059">
        <f t="shared" ref="G66:G129" si="2">ROUND(F66*0.9*0.98,0)</f>
        <v>2994584</v>
      </c>
      <c r="H66" s="3059" t="s">
        <v>3055</v>
      </c>
      <c r="I66" s="3058" t="s">
        <v>3054</v>
      </c>
      <c r="K66" s="3058">
        <f t="shared" si="1"/>
        <v>22144.376247873995</v>
      </c>
    </row>
    <row r="67" spans="1:11">
      <c r="A67" s="3059">
        <v>66</v>
      </c>
      <c r="B67" s="3060" t="s">
        <v>3062</v>
      </c>
      <c r="C67" s="3060"/>
      <c r="D67" s="3060">
        <v>1201</v>
      </c>
      <c r="E67" s="3058">
        <v>127.83</v>
      </c>
      <c r="F67" s="3058">
        <v>3228602</v>
      </c>
      <c r="G67" s="3059">
        <f t="shared" si="2"/>
        <v>2847627</v>
      </c>
      <c r="H67" s="3059" t="s">
        <v>3055</v>
      </c>
      <c r="I67" s="3058" t="s">
        <v>3054</v>
      </c>
      <c r="K67" s="3058">
        <f t="shared" ref="K67:K130" si="3">G67/E67</f>
        <v>22276.672142689509</v>
      </c>
    </row>
    <row r="68" spans="1:11">
      <c r="A68" s="3059">
        <v>67</v>
      </c>
      <c r="B68" s="3060" t="s">
        <v>3062</v>
      </c>
      <c r="C68" s="3060"/>
      <c r="D68" s="3060">
        <v>1301</v>
      </c>
      <c r="E68" s="3058">
        <v>127.83</v>
      </c>
      <c r="F68" s="3058">
        <v>3228602</v>
      </c>
      <c r="G68" s="3059">
        <f t="shared" si="2"/>
        <v>2847627</v>
      </c>
      <c r="H68" s="3059" t="s">
        <v>3055</v>
      </c>
      <c r="I68" s="3058" t="s">
        <v>3054</v>
      </c>
      <c r="K68" s="3058">
        <f t="shared" si="3"/>
        <v>22276.672142689509</v>
      </c>
    </row>
    <row r="69" spans="1:11">
      <c r="A69" s="3059">
        <v>68</v>
      </c>
      <c r="B69" s="3060" t="s">
        <v>3062</v>
      </c>
      <c r="C69" s="3060"/>
      <c r="D69" s="3060">
        <v>1401</v>
      </c>
      <c r="E69" s="3058">
        <v>127.83</v>
      </c>
      <c r="F69" s="3058">
        <v>3228602</v>
      </c>
      <c r="G69" s="3059">
        <f t="shared" si="2"/>
        <v>2847627</v>
      </c>
      <c r="H69" s="3059" t="s">
        <v>3055</v>
      </c>
      <c r="I69" s="3058" t="s">
        <v>3054</v>
      </c>
      <c r="K69" s="3058">
        <f t="shared" si="3"/>
        <v>22276.672142689509</v>
      </c>
    </row>
    <row r="70" spans="1:11">
      <c r="A70" s="3059">
        <v>69</v>
      </c>
      <c r="B70" s="3060" t="s">
        <v>3062</v>
      </c>
      <c r="C70" s="3060"/>
      <c r="D70" s="3060">
        <v>1601</v>
      </c>
      <c r="E70" s="3058">
        <v>127.83</v>
      </c>
      <c r="F70" s="3058">
        <v>3241385</v>
      </c>
      <c r="G70" s="3059">
        <f t="shared" si="2"/>
        <v>2858902</v>
      </c>
      <c r="H70" s="3059" t="s">
        <v>3055</v>
      </c>
      <c r="I70" s="3058" t="s">
        <v>3054</v>
      </c>
      <c r="K70" s="3058">
        <f t="shared" si="3"/>
        <v>22364.875224908083</v>
      </c>
    </row>
    <row r="71" spans="1:11">
      <c r="A71" s="3059">
        <v>70</v>
      </c>
      <c r="B71" s="3060" t="s">
        <v>3062</v>
      </c>
      <c r="C71" s="3060"/>
      <c r="D71" s="3060">
        <v>1801</v>
      </c>
      <c r="E71" s="3058">
        <v>127.83</v>
      </c>
      <c r="F71" s="3058">
        <v>3241385</v>
      </c>
      <c r="G71" s="3059">
        <f t="shared" si="2"/>
        <v>2858902</v>
      </c>
      <c r="H71" s="3059" t="s">
        <v>3055</v>
      </c>
      <c r="I71" s="3058" t="s">
        <v>3054</v>
      </c>
      <c r="K71" s="3058">
        <f t="shared" si="3"/>
        <v>22364.875224908083</v>
      </c>
    </row>
    <row r="72" spans="1:11">
      <c r="A72" s="3059">
        <v>71</v>
      </c>
      <c r="B72" s="3060" t="s">
        <v>3062</v>
      </c>
      <c r="C72" s="3060"/>
      <c r="D72" s="3060">
        <v>1804</v>
      </c>
      <c r="E72" s="3058">
        <v>135.22999999999999</v>
      </c>
      <c r="F72" s="3058">
        <v>3422266</v>
      </c>
      <c r="G72" s="3059">
        <f t="shared" si="2"/>
        <v>3018439</v>
      </c>
      <c r="H72" s="3059" t="s">
        <v>3055</v>
      </c>
      <c r="I72" s="3058" t="s">
        <v>3054</v>
      </c>
      <c r="K72" s="3058">
        <f t="shared" si="3"/>
        <v>22320.779412852178</v>
      </c>
    </row>
    <row r="73" spans="1:11">
      <c r="A73" s="3059">
        <v>72</v>
      </c>
      <c r="B73" s="3060" t="s">
        <v>3062</v>
      </c>
      <c r="C73" s="3060"/>
      <c r="D73" s="3060">
        <v>2201</v>
      </c>
      <c r="E73" s="3058">
        <v>127.83</v>
      </c>
      <c r="F73" s="3058">
        <v>3215819</v>
      </c>
      <c r="G73" s="3059">
        <f t="shared" si="2"/>
        <v>2836352</v>
      </c>
      <c r="H73" s="3059" t="s">
        <v>3055</v>
      </c>
      <c r="I73" s="3058" t="s">
        <v>3054</v>
      </c>
      <c r="K73" s="3058">
        <f t="shared" si="3"/>
        <v>22188.469060470939</v>
      </c>
    </row>
    <row r="74" spans="1:11">
      <c r="A74" s="3059">
        <v>73</v>
      </c>
      <c r="B74" s="3060" t="s">
        <v>3062</v>
      </c>
      <c r="C74" s="3060"/>
      <c r="D74" s="3060">
        <v>2204</v>
      </c>
      <c r="E74" s="3058">
        <v>135.22999999999999</v>
      </c>
      <c r="F74" s="3058">
        <v>3395220</v>
      </c>
      <c r="G74" s="3059">
        <f t="shared" si="2"/>
        <v>2994584</v>
      </c>
      <c r="H74" s="3059" t="s">
        <v>3055</v>
      </c>
      <c r="I74" s="3058" t="s">
        <v>3054</v>
      </c>
      <c r="K74" s="3058">
        <f t="shared" si="3"/>
        <v>22144.376247873995</v>
      </c>
    </row>
    <row r="75" spans="1:11">
      <c r="A75" s="3059">
        <v>74</v>
      </c>
      <c r="B75" s="3060" t="s">
        <v>3062</v>
      </c>
      <c r="C75" s="3060"/>
      <c r="D75" s="3060">
        <v>2304</v>
      </c>
      <c r="E75" s="3058">
        <v>135.22999999999999</v>
      </c>
      <c r="F75" s="3058">
        <v>3388458</v>
      </c>
      <c r="G75" s="3059">
        <f t="shared" si="2"/>
        <v>2988620</v>
      </c>
      <c r="H75" s="3059" t="s">
        <v>3055</v>
      </c>
      <c r="I75" s="3058" t="s">
        <v>3054</v>
      </c>
      <c r="K75" s="3058">
        <f t="shared" si="3"/>
        <v>22100.273607927236</v>
      </c>
    </row>
    <row r="76" spans="1:11">
      <c r="A76" s="3059">
        <v>75</v>
      </c>
      <c r="B76" s="3060" t="s">
        <v>3062</v>
      </c>
      <c r="C76" s="3060"/>
      <c r="D76" s="3060">
        <v>2401</v>
      </c>
      <c r="E76" s="3058">
        <v>127.83</v>
      </c>
      <c r="F76" s="3058">
        <v>3203036</v>
      </c>
      <c r="G76" s="3059">
        <f t="shared" si="2"/>
        <v>2825078</v>
      </c>
      <c r="H76" s="3059" t="s">
        <v>3055</v>
      </c>
      <c r="I76" s="3058" t="s">
        <v>3054</v>
      </c>
      <c r="K76" s="3058">
        <f t="shared" si="3"/>
        <v>22100.273801142142</v>
      </c>
    </row>
    <row r="77" spans="1:11">
      <c r="A77" s="3059">
        <v>76</v>
      </c>
      <c r="B77" s="3060" t="s">
        <v>3062</v>
      </c>
      <c r="C77" s="3060"/>
      <c r="D77" s="3060">
        <v>2601</v>
      </c>
      <c r="E77" s="3058">
        <v>127.83</v>
      </c>
      <c r="F77" s="3058">
        <v>3177470</v>
      </c>
      <c r="G77" s="3059">
        <f t="shared" si="2"/>
        <v>2802529</v>
      </c>
      <c r="H77" s="3059" t="s">
        <v>3055</v>
      </c>
      <c r="I77" s="3058" t="s">
        <v>3054</v>
      </c>
      <c r="K77" s="3058">
        <f t="shared" si="3"/>
        <v>21923.875459594776</v>
      </c>
    </row>
    <row r="78" spans="1:11">
      <c r="A78" s="3059">
        <v>77</v>
      </c>
      <c r="B78" s="3060" t="s">
        <v>3062</v>
      </c>
      <c r="C78" s="3060"/>
      <c r="D78" s="3060">
        <v>2604</v>
      </c>
      <c r="E78" s="3058">
        <v>135.22999999999999</v>
      </c>
      <c r="F78" s="3058">
        <v>3354651</v>
      </c>
      <c r="G78" s="3059">
        <f t="shared" si="2"/>
        <v>2958802</v>
      </c>
      <c r="H78" s="3059" t="s">
        <v>3055</v>
      </c>
      <c r="I78" s="3058" t="s">
        <v>3054</v>
      </c>
      <c r="J78" s="3058">
        <f>SUM(E47:E78)</f>
        <v>4150.4099999999989</v>
      </c>
      <c r="K78" s="3058">
        <f t="shared" si="3"/>
        <v>21879.775197811137</v>
      </c>
    </row>
    <row r="79" spans="1:11">
      <c r="A79" s="3059">
        <v>78</v>
      </c>
      <c r="B79" s="3060" t="s">
        <v>3061</v>
      </c>
      <c r="C79" s="3060"/>
      <c r="D79" s="3060">
        <v>201</v>
      </c>
      <c r="E79" s="3058">
        <v>125.31</v>
      </c>
      <c r="F79" s="3058">
        <v>3070972</v>
      </c>
      <c r="G79" s="3059">
        <f t="shared" si="2"/>
        <v>2708597</v>
      </c>
      <c r="H79" s="3059" t="s">
        <v>3055</v>
      </c>
      <c r="I79" s="3058" t="s">
        <v>3054</v>
      </c>
      <c r="K79" s="3058">
        <f t="shared" si="3"/>
        <v>21615.170377463888</v>
      </c>
    </row>
    <row r="80" spans="1:11">
      <c r="A80" s="3059">
        <v>79</v>
      </c>
      <c r="B80" s="3060" t="s">
        <v>3061</v>
      </c>
      <c r="C80" s="3060"/>
      <c r="D80" s="3060">
        <v>402</v>
      </c>
      <c r="E80" s="3058">
        <v>110.88</v>
      </c>
      <c r="F80" s="3058">
        <v>2739512</v>
      </c>
      <c r="G80" s="3059">
        <f t="shared" si="2"/>
        <v>2416250</v>
      </c>
      <c r="H80" s="3059" t="s">
        <v>3055</v>
      </c>
      <c r="I80" s="3058" t="s">
        <v>3054</v>
      </c>
      <c r="K80" s="3058">
        <f t="shared" si="3"/>
        <v>21791.576479076481</v>
      </c>
    </row>
    <row r="81" spans="1:11">
      <c r="A81" s="3059">
        <v>80</v>
      </c>
      <c r="B81" s="3060" t="s">
        <v>3061</v>
      </c>
      <c r="C81" s="3060"/>
      <c r="D81" s="3060">
        <v>405</v>
      </c>
      <c r="E81" s="3058">
        <v>110.83</v>
      </c>
      <c r="F81" s="3058">
        <v>2732735</v>
      </c>
      <c r="G81" s="3059">
        <f t="shared" si="2"/>
        <v>2410272</v>
      </c>
      <c r="H81" s="3059" t="s">
        <v>3055</v>
      </c>
      <c r="I81" s="3058" t="s">
        <v>3054</v>
      </c>
      <c r="K81" s="3058">
        <f t="shared" si="3"/>
        <v>21747.469096814941</v>
      </c>
    </row>
    <row r="82" spans="1:11">
      <c r="A82" s="3059">
        <v>81</v>
      </c>
      <c r="B82" s="3060" t="s">
        <v>3061</v>
      </c>
      <c r="C82" s="3060"/>
      <c r="D82" s="3060">
        <v>501</v>
      </c>
      <c r="E82" s="3058">
        <v>125.31</v>
      </c>
      <c r="F82" s="3058">
        <v>3089769</v>
      </c>
      <c r="G82" s="3059">
        <f t="shared" si="2"/>
        <v>2725176</v>
      </c>
      <c r="H82" s="3059" t="s">
        <v>3055</v>
      </c>
      <c r="I82" s="3058" t="s">
        <v>3054</v>
      </c>
      <c r="K82" s="3058">
        <f t="shared" si="3"/>
        <v>21747.474263825712</v>
      </c>
    </row>
    <row r="83" spans="1:11">
      <c r="A83" s="3059">
        <v>82</v>
      </c>
      <c r="B83" s="3060" t="s">
        <v>3061</v>
      </c>
      <c r="C83" s="3060"/>
      <c r="D83" s="3060">
        <v>1805</v>
      </c>
      <c r="E83" s="3058">
        <v>110.83</v>
      </c>
      <c r="F83" s="3058">
        <v>2788150</v>
      </c>
      <c r="G83" s="3059">
        <f t="shared" si="2"/>
        <v>2459148</v>
      </c>
      <c r="H83" s="3059" t="s">
        <v>3055</v>
      </c>
      <c r="I83" s="3058" t="s">
        <v>3054</v>
      </c>
      <c r="K83" s="3058">
        <f t="shared" si="3"/>
        <v>22188.468826130109</v>
      </c>
    </row>
    <row r="84" spans="1:11">
      <c r="A84" s="3059">
        <v>83</v>
      </c>
      <c r="B84" s="3060" t="s">
        <v>3061</v>
      </c>
      <c r="C84" s="3060"/>
      <c r="D84" s="3060">
        <v>2104</v>
      </c>
      <c r="E84" s="3058">
        <v>84.91</v>
      </c>
      <c r="F84" s="3058">
        <v>2157308</v>
      </c>
      <c r="G84" s="3059">
        <f t="shared" si="2"/>
        <v>1902746</v>
      </c>
      <c r="H84" s="3059" t="s">
        <v>3055</v>
      </c>
      <c r="I84" s="3058" t="s">
        <v>3054</v>
      </c>
      <c r="K84" s="3058">
        <f t="shared" si="3"/>
        <v>22408.974207984927</v>
      </c>
    </row>
    <row r="85" spans="1:11">
      <c r="A85" s="3059">
        <v>84</v>
      </c>
      <c r="B85" s="3060" t="s">
        <v>3061</v>
      </c>
      <c r="C85" s="3060"/>
      <c r="D85" s="3060">
        <v>2304</v>
      </c>
      <c r="E85" s="3058">
        <v>84.91</v>
      </c>
      <c r="F85" s="3058">
        <v>2148817</v>
      </c>
      <c r="G85" s="3059">
        <f t="shared" si="2"/>
        <v>1895257</v>
      </c>
      <c r="H85" s="3059" t="s">
        <v>3055</v>
      </c>
      <c r="I85" s="3058" t="s">
        <v>3054</v>
      </c>
      <c r="K85" s="3058">
        <f t="shared" si="3"/>
        <v>22320.774938169827</v>
      </c>
    </row>
    <row r="86" spans="1:11">
      <c r="A86" s="3059">
        <v>85</v>
      </c>
      <c r="B86" s="3060" t="s">
        <v>3061</v>
      </c>
      <c r="C86" s="3060"/>
      <c r="D86" s="3060">
        <v>2601</v>
      </c>
      <c r="E86" s="3058">
        <v>125.31</v>
      </c>
      <c r="F86" s="3058">
        <v>3083503</v>
      </c>
      <c r="G86" s="3059">
        <f t="shared" si="2"/>
        <v>2719650</v>
      </c>
      <c r="H86" s="3059" t="s">
        <v>3055</v>
      </c>
      <c r="I86" s="3058" t="s">
        <v>3054</v>
      </c>
      <c r="J86" s="3058">
        <f>SUM(E79:E86)</f>
        <v>878.29</v>
      </c>
      <c r="K86" s="3058">
        <f t="shared" si="3"/>
        <v>21703.375628441463</v>
      </c>
    </row>
    <row r="87" spans="1:11">
      <c r="A87" s="3059">
        <v>86</v>
      </c>
      <c r="B87" s="3060" t="s">
        <v>3060</v>
      </c>
      <c r="C87" s="3060"/>
      <c r="D87" s="3060">
        <v>104</v>
      </c>
      <c r="E87" s="3058">
        <v>143.61000000000001</v>
      </c>
      <c r="F87" s="3058">
        <v>3548172</v>
      </c>
      <c r="G87" s="3059">
        <f t="shared" si="2"/>
        <v>3129488</v>
      </c>
      <c r="H87" s="3059" t="s">
        <v>3055</v>
      </c>
      <c r="I87" s="3058" t="s">
        <v>3054</v>
      </c>
      <c r="K87" s="3058">
        <f t="shared" si="3"/>
        <v>21791.574402896731</v>
      </c>
    </row>
    <row r="88" spans="1:11">
      <c r="A88" s="3059">
        <v>87</v>
      </c>
      <c r="B88" s="3060" t="s">
        <v>3060</v>
      </c>
      <c r="C88" s="3060"/>
      <c r="D88" s="3060">
        <v>201</v>
      </c>
      <c r="E88" s="3058">
        <v>129.59</v>
      </c>
      <c r="F88" s="3058">
        <v>3201780</v>
      </c>
      <c r="G88" s="3059">
        <f t="shared" si="2"/>
        <v>2823970</v>
      </c>
      <c r="H88" s="3059" t="s">
        <v>3055</v>
      </c>
      <c r="I88" s="3058" t="s">
        <v>3054</v>
      </c>
      <c r="K88" s="3058">
        <f t="shared" si="3"/>
        <v>21791.573423875299</v>
      </c>
    </row>
    <row r="89" spans="1:11">
      <c r="A89" s="3059">
        <v>88</v>
      </c>
      <c r="B89" s="3060" t="s">
        <v>3060</v>
      </c>
      <c r="C89" s="3060"/>
      <c r="D89" s="3060">
        <v>202</v>
      </c>
      <c r="E89" s="3058">
        <v>131.34</v>
      </c>
      <c r="F89" s="3058">
        <v>3264718</v>
      </c>
      <c r="G89" s="3059">
        <f t="shared" si="2"/>
        <v>2879481</v>
      </c>
      <c r="H89" s="3059" t="s">
        <v>3055</v>
      </c>
      <c r="I89" s="3058" t="s">
        <v>3054</v>
      </c>
      <c r="K89" s="3058">
        <f t="shared" si="3"/>
        <v>21923.869346733667</v>
      </c>
    </row>
    <row r="90" spans="1:11">
      <c r="A90" s="3059">
        <v>89</v>
      </c>
      <c r="B90" s="3060" t="s">
        <v>3060</v>
      </c>
      <c r="C90" s="3060"/>
      <c r="D90" s="3060">
        <v>203</v>
      </c>
      <c r="E90" s="3058">
        <v>130.57</v>
      </c>
      <c r="F90" s="3058">
        <v>3258635</v>
      </c>
      <c r="G90" s="3059">
        <f t="shared" si="2"/>
        <v>2874116</v>
      </c>
      <c r="H90" s="3059" t="s">
        <v>3055</v>
      </c>
      <c r="I90" s="3058" t="s">
        <v>3054</v>
      </c>
      <c r="K90" s="3058">
        <f t="shared" si="3"/>
        <v>22012.070153940414</v>
      </c>
    </row>
    <row r="91" spans="1:11">
      <c r="A91" s="3059">
        <v>90</v>
      </c>
      <c r="B91" s="3060" t="s">
        <v>3060</v>
      </c>
      <c r="C91" s="3060"/>
      <c r="D91" s="3060">
        <v>204</v>
      </c>
      <c r="E91" s="3058">
        <v>143.54</v>
      </c>
      <c r="F91" s="3058">
        <v>3567974</v>
      </c>
      <c r="G91" s="3059">
        <f t="shared" si="2"/>
        <v>3146953</v>
      </c>
      <c r="H91" s="3059" t="s">
        <v>3055</v>
      </c>
      <c r="I91" s="3058" t="s">
        <v>3054</v>
      </c>
      <c r="K91" s="3058">
        <f t="shared" si="3"/>
        <v>21923.874878082766</v>
      </c>
    </row>
    <row r="92" spans="1:11">
      <c r="A92" s="3059">
        <v>91</v>
      </c>
      <c r="B92" s="3060" t="s">
        <v>3060</v>
      </c>
      <c r="C92" s="3060"/>
      <c r="D92" s="3060">
        <v>301</v>
      </c>
      <c r="E92" s="3058">
        <v>129.59</v>
      </c>
      <c r="F92" s="3058">
        <v>3208260</v>
      </c>
      <c r="G92" s="3059">
        <f t="shared" si="2"/>
        <v>2829685</v>
      </c>
      <c r="H92" s="3059" t="s">
        <v>3055</v>
      </c>
      <c r="I92" s="3058" t="s">
        <v>3054</v>
      </c>
      <c r="K92" s="3058">
        <f t="shared" si="3"/>
        <v>21835.674048923527</v>
      </c>
    </row>
    <row r="93" spans="1:11">
      <c r="A93" s="3059">
        <v>92</v>
      </c>
      <c r="B93" s="3060" t="s">
        <v>3060</v>
      </c>
      <c r="C93" s="3060"/>
      <c r="D93" s="3060">
        <v>304</v>
      </c>
      <c r="E93" s="3058">
        <v>143.54</v>
      </c>
      <c r="F93" s="3058">
        <v>3575151</v>
      </c>
      <c r="G93" s="3059">
        <f t="shared" si="2"/>
        <v>3153283</v>
      </c>
      <c r="H93" s="3059" t="s">
        <v>3055</v>
      </c>
      <c r="I93" s="3058" t="s">
        <v>3054</v>
      </c>
      <c r="K93" s="3058">
        <f t="shared" si="3"/>
        <v>21967.97408387906</v>
      </c>
    </row>
    <row r="94" spans="1:11">
      <c r="A94" s="3059">
        <v>93</v>
      </c>
      <c r="B94" s="3060" t="s">
        <v>3060</v>
      </c>
      <c r="C94" s="3060"/>
      <c r="D94" s="3060">
        <v>401</v>
      </c>
      <c r="E94" s="3058">
        <v>129.59</v>
      </c>
      <c r="F94" s="3058">
        <v>3214739</v>
      </c>
      <c r="G94" s="3059">
        <f t="shared" si="2"/>
        <v>2835400</v>
      </c>
      <c r="H94" s="3059" t="s">
        <v>3055</v>
      </c>
      <c r="I94" s="3058" t="s">
        <v>3054</v>
      </c>
      <c r="K94" s="3058">
        <f t="shared" si="3"/>
        <v>21879.774673971755</v>
      </c>
    </row>
    <row r="95" spans="1:11">
      <c r="A95" s="3059">
        <v>94</v>
      </c>
      <c r="B95" s="3060" t="s">
        <v>3060</v>
      </c>
      <c r="C95" s="3060"/>
      <c r="D95" s="3060">
        <v>402</v>
      </c>
      <c r="E95" s="3058">
        <v>131.34</v>
      </c>
      <c r="F95" s="3058">
        <v>3277852</v>
      </c>
      <c r="G95" s="3059">
        <f t="shared" si="2"/>
        <v>2891065</v>
      </c>
      <c r="H95" s="3059" t="s">
        <v>3055</v>
      </c>
      <c r="I95" s="3058" t="s">
        <v>3054</v>
      </c>
      <c r="K95" s="3058">
        <f t="shared" si="3"/>
        <v>22012.067915334246</v>
      </c>
    </row>
    <row r="96" spans="1:11">
      <c r="A96" s="3059">
        <v>95</v>
      </c>
      <c r="B96" s="3060" t="s">
        <v>3060</v>
      </c>
      <c r="C96" s="3060"/>
      <c r="D96" s="3060">
        <v>403</v>
      </c>
      <c r="E96" s="3058">
        <v>130.57</v>
      </c>
      <c r="F96" s="3058">
        <v>3271692</v>
      </c>
      <c r="G96" s="3059">
        <f t="shared" si="2"/>
        <v>2885632</v>
      </c>
      <c r="H96" s="3059" t="s">
        <v>3055</v>
      </c>
      <c r="I96" s="3058" t="s">
        <v>3054</v>
      </c>
      <c r="K96" s="3058">
        <f t="shared" si="3"/>
        <v>22100.268055449185</v>
      </c>
    </row>
    <row r="97" spans="1:11">
      <c r="A97" s="3059">
        <v>96</v>
      </c>
      <c r="B97" s="3060" t="s">
        <v>3060</v>
      </c>
      <c r="C97" s="3060"/>
      <c r="D97" s="3060">
        <v>404</v>
      </c>
      <c r="E97" s="3058">
        <v>143.54</v>
      </c>
      <c r="F97" s="3058">
        <v>3582328</v>
      </c>
      <c r="G97" s="3059">
        <f t="shared" si="2"/>
        <v>3159613</v>
      </c>
      <c r="H97" s="3059" t="s">
        <v>3055</v>
      </c>
      <c r="I97" s="3058" t="s">
        <v>3054</v>
      </c>
      <c r="K97" s="3058">
        <f t="shared" si="3"/>
        <v>22012.073289675354</v>
      </c>
    </row>
    <row r="98" spans="1:11">
      <c r="A98" s="3059">
        <v>97</v>
      </c>
      <c r="B98" s="3060" t="s">
        <v>3060</v>
      </c>
      <c r="C98" s="3060"/>
      <c r="D98" s="3060">
        <v>501</v>
      </c>
      <c r="E98" s="3058">
        <v>129.59</v>
      </c>
      <c r="F98" s="3058">
        <v>3221219</v>
      </c>
      <c r="G98" s="3059">
        <f t="shared" si="2"/>
        <v>2841115</v>
      </c>
      <c r="H98" s="3059" t="s">
        <v>3055</v>
      </c>
      <c r="I98" s="3058" t="s">
        <v>3054</v>
      </c>
      <c r="K98" s="3058">
        <f t="shared" si="3"/>
        <v>21923.875299019986</v>
      </c>
    </row>
    <row r="99" spans="1:11">
      <c r="A99" s="3059">
        <v>98</v>
      </c>
      <c r="B99" s="3060" t="s">
        <v>3060</v>
      </c>
      <c r="C99" s="3060"/>
      <c r="D99" s="3060">
        <v>601</v>
      </c>
      <c r="E99" s="3058">
        <v>129.59</v>
      </c>
      <c r="F99" s="3058">
        <v>3227698</v>
      </c>
      <c r="G99" s="3059">
        <f t="shared" si="2"/>
        <v>2846830</v>
      </c>
      <c r="H99" s="3059" t="s">
        <v>3055</v>
      </c>
      <c r="I99" s="3058" t="s">
        <v>3054</v>
      </c>
      <c r="K99" s="3058">
        <f t="shared" si="3"/>
        <v>21967.975924068214</v>
      </c>
    </row>
    <row r="100" spans="1:11">
      <c r="A100" s="3059">
        <v>99</v>
      </c>
      <c r="B100" s="3060" t="s">
        <v>3060</v>
      </c>
      <c r="C100" s="3060"/>
      <c r="D100" s="3060">
        <v>801</v>
      </c>
      <c r="E100" s="3058">
        <v>129.59</v>
      </c>
      <c r="F100" s="3058">
        <v>3240657</v>
      </c>
      <c r="G100" s="3059">
        <f t="shared" si="2"/>
        <v>2858259</v>
      </c>
      <c r="H100" s="3059" t="s">
        <v>3055</v>
      </c>
      <c r="I100" s="3058" t="s">
        <v>3054</v>
      </c>
      <c r="K100" s="3058">
        <f t="shared" si="3"/>
        <v>22056.169457519871</v>
      </c>
    </row>
    <row r="101" spans="1:11">
      <c r="A101" s="3059">
        <v>100</v>
      </c>
      <c r="B101" s="3060" t="s">
        <v>3060</v>
      </c>
      <c r="C101" s="3060"/>
      <c r="D101" s="3060">
        <v>1801</v>
      </c>
      <c r="E101" s="3058">
        <v>129.59</v>
      </c>
      <c r="F101" s="3058">
        <v>3279534</v>
      </c>
      <c r="G101" s="3059">
        <f t="shared" si="2"/>
        <v>2892549</v>
      </c>
      <c r="H101" s="3059" t="s">
        <v>3055</v>
      </c>
      <c r="I101" s="3058" t="s">
        <v>3054</v>
      </c>
      <c r="K101" s="3058">
        <f t="shared" si="3"/>
        <v>22320.773207809245</v>
      </c>
    </row>
    <row r="102" spans="1:11">
      <c r="A102" s="3059">
        <v>101</v>
      </c>
      <c r="B102" s="3060" t="s">
        <v>3060</v>
      </c>
      <c r="C102" s="3060"/>
      <c r="D102" s="3060">
        <v>1802</v>
      </c>
      <c r="E102" s="3058">
        <v>131.34</v>
      </c>
      <c r="F102" s="3058">
        <v>3343522</v>
      </c>
      <c r="G102" s="3059">
        <f t="shared" si="2"/>
        <v>2948986</v>
      </c>
      <c r="H102" s="3059" t="s">
        <v>3055</v>
      </c>
      <c r="I102" s="3058" t="s">
        <v>3054</v>
      </c>
      <c r="K102" s="3058">
        <f t="shared" si="3"/>
        <v>22453.068372163849</v>
      </c>
    </row>
    <row r="103" spans="1:11">
      <c r="A103" s="3059">
        <v>102</v>
      </c>
      <c r="B103" s="3060" t="s">
        <v>3060</v>
      </c>
      <c r="C103" s="3060"/>
      <c r="D103" s="3060">
        <v>2301</v>
      </c>
      <c r="E103" s="3058">
        <v>129.59</v>
      </c>
      <c r="F103" s="3058">
        <v>3247137</v>
      </c>
      <c r="G103" s="3059">
        <f t="shared" si="2"/>
        <v>2863975</v>
      </c>
      <c r="H103" s="3059" t="s">
        <v>3055</v>
      </c>
      <c r="I103" s="3058" t="s">
        <v>3054</v>
      </c>
      <c r="K103" s="3058">
        <f t="shared" si="3"/>
        <v>22100.277799212901</v>
      </c>
    </row>
    <row r="104" spans="1:11">
      <c r="A104" s="3059">
        <v>103</v>
      </c>
      <c r="B104" s="3060" t="s">
        <v>3060</v>
      </c>
      <c r="C104" s="3060"/>
      <c r="D104" s="3060">
        <v>2601</v>
      </c>
      <c r="E104" s="3058">
        <v>129.59</v>
      </c>
      <c r="F104" s="3058">
        <v>3214739</v>
      </c>
      <c r="G104" s="3059">
        <f t="shared" si="2"/>
        <v>2835400</v>
      </c>
      <c r="H104" s="3059" t="s">
        <v>3055</v>
      </c>
      <c r="I104" s="3058" t="s">
        <v>3054</v>
      </c>
      <c r="K104" s="3058">
        <f t="shared" si="3"/>
        <v>21879.774673971755</v>
      </c>
    </row>
    <row r="105" spans="1:11">
      <c r="A105" s="3059">
        <v>104</v>
      </c>
      <c r="B105" s="3060" t="s">
        <v>3060</v>
      </c>
      <c r="C105" s="3060"/>
      <c r="D105" s="3060">
        <v>2602</v>
      </c>
      <c r="E105" s="3058">
        <v>131.34</v>
      </c>
      <c r="F105" s="3058">
        <v>3277852</v>
      </c>
      <c r="G105" s="3059">
        <f t="shared" si="2"/>
        <v>2891065</v>
      </c>
      <c r="H105" s="3059" t="s">
        <v>3055</v>
      </c>
      <c r="I105" s="3058" t="s">
        <v>3054</v>
      </c>
      <c r="K105" s="3058">
        <f t="shared" si="3"/>
        <v>22012.067915334246</v>
      </c>
    </row>
    <row r="106" spans="1:11">
      <c r="A106" s="3059">
        <v>105</v>
      </c>
      <c r="B106" s="3060" t="s">
        <v>3060</v>
      </c>
      <c r="C106" s="3060"/>
      <c r="D106" s="3060">
        <v>2603</v>
      </c>
      <c r="E106" s="3058">
        <v>130.57</v>
      </c>
      <c r="F106" s="3058">
        <v>3271692</v>
      </c>
      <c r="G106" s="3059">
        <f t="shared" si="2"/>
        <v>2885632</v>
      </c>
      <c r="H106" s="3059" t="s">
        <v>3055</v>
      </c>
      <c r="I106" s="3058" t="s">
        <v>3054</v>
      </c>
      <c r="K106" s="3058">
        <f t="shared" si="3"/>
        <v>22100.268055449185</v>
      </c>
    </row>
    <row r="107" spans="1:11">
      <c r="A107" s="3059">
        <v>106</v>
      </c>
      <c r="B107" s="3060" t="s">
        <v>3060</v>
      </c>
      <c r="C107" s="3060"/>
      <c r="D107" s="3060">
        <v>2604</v>
      </c>
      <c r="E107" s="3058">
        <v>143.54</v>
      </c>
      <c r="F107" s="3058">
        <v>3582328</v>
      </c>
      <c r="G107" s="3059">
        <f t="shared" si="2"/>
        <v>3159613</v>
      </c>
      <c r="H107" s="3059" t="s">
        <v>3055</v>
      </c>
      <c r="I107" s="3058" t="s">
        <v>3054</v>
      </c>
      <c r="J107" s="3058">
        <f>SUM(E87:E107)</f>
        <v>2801.15</v>
      </c>
      <c r="K107" s="3058">
        <f t="shared" si="3"/>
        <v>22012.073289675354</v>
      </c>
    </row>
    <row r="108" spans="1:11">
      <c r="A108" s="3059">
        <v>107</v>
      </c>
      <c r="B108" s="3060" t="s">
        <v>3059</v>
      </c>
      <c r="C108" s="3060"/>
      <c r="D108" s="3060">
        <v>103</v>
      </c>
      <c r="E108" s="3058">
        <v>130.21</v>
      </c>
      <c r="F108" s="3058">
        <v>3477518</v>
      </c>
      <c r="G108" s="3059">
        <f t="shared" si="2"/>
        <v>3067171</v>
      </c>
      <c r="H108" s="3059" t="s">
        <v>3055</v>
      </c>
      <c r="I108" s="3058" t="s">
        <v>3054</v>
      </c>
      <c r="K108" s="3058">
        <f t="shared" si="3"/>
        <v>23555.571768681359</v>
      </c>
    </row>
    <row r="109" spans="1:11">
      <c r="A109" s="3059">
        <v>108</v>
      </c>
      <c r="B109" s="3060" t="s">
        <v>3059</v>
      </c>
      <c r="C109" s="3060"/>
      <c r="D109" s="3060">
        <v>201</v>
      </c>
      <c r="E109" s="3058">
        <v>144.6</v>
      </c>
      <c r="F109" s="3058">
        <v>3912442</v>
      </c>
      <c r="G109" s="3059">
        <f t="shared" si="2"/>
        <v>3450774</v>
      </c>
      <c r="H109" s="3059" t="s">
        <v>3055</v>
      </c>
      <c r="I109" s="3058" t="s">
        <v>3054</v>
      </c>
      <c r="K109" s="3058">
        <f t="shared" si="3"/>
        <v>23864.273858921162</v>
      </c>
    </row>
    <row r="110" spans="1:11">
      <c r="A110" s="3059">
        <v>109</v>
      </c>
      <c r="B110" s="3060" t="s">
        <v>3059</v>
      </c>
      <c r="C110" s="3060"/>
      <c r="D110" s="3060">
        <v>202</v>
      </c>
      <c r="E110" s="3058">
        <v>110.14</v>
      </c>
      <c r="F110" s="3058">
        <v>3002086</v>
      </c>
      <c r="G110" s="3059">
        <f t="shared" si="2"/>
        <v>2647840</v>
      </c>
      <c r="H110" s="3059" t="s">
        <v>3055</v>
      </c>
      <c r="I110" s="3058" t="s">
        <v>3054</v>
      </c>
      <c r="K110" s="3058">
        <f t="shared" si="3"/>
        <v>24040.675503904124</v>
      </c>
    </row>
    <row r="111" spans="1:11">
      <c r="A111" s="3059">
        <v>110</v>
      </c>
      <c r="B111" s="3060" t="s">
        <v>3059</v>
      </c>
      <c r="C111" s="3060"/>
      <c r="D111" s="3060">
        <v>203</v>
      </c>
      <c r="E111" s="3058">
        <v>144.6</v>
      </c>
      <c r="F111" s="3058">
        <v>3883522</v>
      </c>
      <c r="G111" s="3059">
        <f t="shared" si="2"/>
        <v>3425266</v>
      </c>
      <c r="H111" s="3059" t="s">
        <v>3055</v>
      </c>
      <c r="I111" s="3058" t="s">
        <v>3054</v>
      </c>
      <c r="K111" s="3058">
        <f t="shared" si="3"/>
        <v>23687.869986168742</v>
      </c>
    </row>
    <row r="112" spans="1:11">
      <c r="A112" s="3059">
        <v>111</v>
      </c>
      <c r="B112" s="3060" t="s">
        <v>3059</v>
      </c>
      <c r="C112" s="3060"/>
      <c r="D112" s="3060">
        <v>401</v>
      </c>
      <c r="E112" s="3058">
        <v>144.6</v>
      </c>
      <c r="F112" s="3058">
        <v>3926902</v>
      </c>
      <c r="G112" s="3059">
        <f t="shared" si="2"/>
        <v>3463528</v>
      </c>
      <c r="H112" s="3059" t="s">
        <v>3055</v>
      </c>
      <c r="I112" s="3058" t="s">
        <v>3054</v>
      </c>
      <c r="K112" s="3058">
        <f t="shared" si="3"/>
        <v>23952.475795297374</v>
      </c>
    </row>
    <row r="113" spans="1:11">
      <c r="A113" s="3059">
        <v>112</v>
      </c>
      <c r="B113" s="3060" t="s">
        <v>3059</v>
      </c>
      <c r="C113" s="3060"/>
      <c r="D113" s="3060">
        <v>402</v>
      </c>
      <c r="E113" s="3058">
        <v>110.14</v>
      </c>
      <c r="F113" s="3058">
        <v>3013100</v>
      </c>
      <c r="G113" s="3059">
        <f t="shared" si="2"/>
        <v>2657554</v>
      </c>
      <c r="H113" s="3059" t="s">
        <v>3055</v>
      </c>
      <c r="I113" s="3058" t="s">
        <v>3054</v>
      </c>
      <c r="K113" s="3058">
        <f t="shared" si="3"/>
        <v>24128.872344289088</v>
      </c>
    </row>
    <row r="114" spans="1:11">
      <c r="A114" s="3059">
        <v>113</v>
      </c>
      <c r="B114" s="3060" t="s">
        <v>3059</v>
      </c>
      <c r="C114" s="3060"/>
      <c r="D114" s="3060">
        <v>403</v>
      </c>
      <c r="E114" s="3058">
        <v>144.6</v>
      </c>
      <c r="F114" s="3058">
        <v>3897982</v>
      </c>
      <c r="G114" s="3059">
        <f t="shared" si="2"/>
        <v>3438020</v>
      </c>
      <c r="H114" s="3059" t="s">
        <v>3055</v>
      </c>
      <c r="I114" s="3058" t="s">
        <v>3054</v>
      </c>
      <c r="K114" s="3058">
        <f t="shared" si="3"/>
        <v>23776.071922544954</v>
      </c>
    </row>
    <row r="115" spans="1:11">
      <c r="A115" s="3059">
        <v>114</v>
      </c>
      <c r="B115" s="3060" t="s">
        <v>3059</v>
      </c>
      <c r="C115" s="3060"/>
      <c r="D115" s="3060">
        <v>501</v>
      </c>
      <c r="E115" s="3058">
        <v>144.6</v>
      </c>
      <c r="F115" s="3058">
        <v>3934132</v>
      </c>
      <c r="G115" s="3059">
        <f t="shared" si="2"/>
        <v>3469904</v>
      </c>
      <c r="H115" s="3059" t="s">
        <v>3055</v>
      </c>
      <c r="I115" s="3058" t="s">
        <v>3054</v>
      </c>
      <c r="K115" s="3058">
        <f t="shared" si="3"/>
        <v>23996.569847856157</v>
      </c>
    </row>
    <row r="116" spans="1:11">
      <c r="A116" s="3059">
        <v>115</v>
      </c>
      <c r="B116" s="3060" t="s">
        <v>3059</v>
      </c>
      <c r="C116" s="3060"/>
      <c r="D116" s="3060">
        <v>502</v>
      </c>
      <c r="E116" s="3058">
        <v>110.14</v>
      </c>
      <c r="F116" s="3058">
        <v>3018607</v>
      </c>
      <c r="G116" s="3059">
        <f t="shared" si="2"/>
        <v>2662411</v>
      </c>
      <c r="H116" s="3059" t="s">
        <v>3055</v>
      </c>
      <c r="I116" s="3058" t="s">
        <v>3054</v>
      </c>
      <c r="K116" s="3058">
        <f t="shared" si="3"/>
        <v>24172.970764481568</v>
      </c>
    </row>
    <row r="117" spans="1:11">
      <c r="A117" s="3059">
        <v>116</v>
      </c>
      <c r="B117" s="3060" t="s">
        <v>3059</v>
      </c>
      <c r="C117" s="3060"/>
      <c r="D117" s="3060">
        <v>503</v>
      </c>
      <c r="E117" s="3058">
        <v>144.6</v>
      </c>
      <c r="F117" s="3058">
        <v>3905212</v>
      </c>
      <c r="G117" s="3059">
        <f t="shared" si="2"/>
        <v>3444397</v>
      </c>
      <c r="H117" s="3059" t="s">
        <v>3055</v>
      </c>
      <c r="I117" s="3058" t="s">
        <v>3054</v>
      </c>
      <c r="K117" s="3058">
        <f t="shared" si="3"/>
        <v>23820.172890733058</v>
      </c>
    </row>
    <row r="118" spans="1:11">
      <c r="A118" s="3059">
        <v>117</v>
      </c>
      <c r="B118" s="3060" t="s">
        <v>3059</v>
      </c>
      <c r="C118" s="3060"/>
      <c r="D118" s="3060">
        <v>603</v>
      </c>
      <c r="E118" s="3058">
        <v>144.6</v>
      </c>
      <c r="F118" s="3058">
        <v>3912442</v>
      </c>
      <c r="G118" s="3059">
        <f t="shared" si="2"/>
        <v>3450774</v>
      </c>
      <c r="H118" s="3059" t="s">
        <v>3055</v>
      </c>
      <c r="I118" s="3058" t="s">
        <v>3054</v>
      </c>
      <c r="K118" s="3058">
        <f t="shared" si="3"/>
        <v>23864.273858921162</v>
      </c>
    </row>
    <row r="119" spans="1:11">
      <c r="A119" s="3059">
        <v>118</v>
      </c>
      <c r="B119" s="3060" t="s">
        <v>3059</v>
      </c>
      <c r="C119" s="3060"/>
      <c r="D119" s="3060">
        <v>703</v>
      </c>
      <c r="E119" s="3058">
        <v>144.6</v>
      </c>
      <c r="F119" s="3058">
        <v>3919672</v>
      </c>
      <c r="G119" s="3059">
        <f t="shared" si="2"/>
        <v>3457151</v>
      </c>
      <c r="H119" s="3059" t="s">
        <v>3055</v>
      </c>
      <c r="I119" s="3058" t="s">
        <v>3054</v>
      </c>
      <c r="K119" s="3058">
        <f t="shared" si="3"/>
        <v>23908.374827109266</v>
      </c>
    </row>
    <row r="120" spans="1:11">
      <c r="A120" s="3059">
        <v>119</v>
      </c>
      <c r="B120" s="3060" t="s">
        <v>3059</v>
      </c>
      <c r="C120" s="3060"/>
      <c r="D120" s="3060">
        <v>802</v>
      </c>
      <c r="E120" s="3058">
        <v>110.14</v>
      </c>
      <c r="F120" s="3058">
        <v>3035128</v>
      </c>
      <c r="G120" s="3059">
        <f t="shared" si="2"/>
        <v>2676983</v>
      </c>
      <c r="H120" s="3059" t="s">
        <v>3055</v>
      </c>
      <c r="I120" s="3058" t="s">
        <v>3054</v>
      </c>
      <c r="K120" s="3058">
        <f t="shared" si="3"/>
        <v>24305.275104412565</v>
      </c>
    </row>
    <row r="121" spans="1:11">
      <c r="A121" s="3059">
        <v>120</v>
      </c>
      <c r="B121" s="3060" t="s">
        <v>3059</v>
      </c>
      <c r="C121" s="3060"/>
      <c r="D121" s="3060">
        <v>803</v>
      </c>
      <c r="E121" s="3058">
        <v>144.6</v>
      </c>
      <c r="F121" s="3058">
        <v>3926902</v>
      </c>
      <c r="G121" s="3059">
        <f t="shared" si="2"/>
        <v>3463528</v>
      </c>
      <c r="H121" s="3059" t="s">
        <v>3055</v>
      </c>
      <c r="I121" s="3058" t="s">
        <v>3054</v>
      </c>
      <c r="K121" s="3058">
        <f t="shared" si="3"/>
        <v>23952.475795297374</v>
      </c>
    </row>
    <row r="122" spans="1:11">
      <c r="A122" s="3059">
        <v>121</v>
      </c>
      <c r="B122" s="3060" t="s">
        <v>3059</v>
      </c>
      <c r="C122" s="3060"/>
      <c r="D122" s="3060">
        <v>902</v>
      </c>
      <c r="E122" s="3058">
        <v>110.14</v>
      </c>
      <c r="F122" s="3058">
        <v>3040635</v>
      </c>
      <c r="G122" s="3059">
        <f t="shared" si="2"/>
        <v>2681840</v>
      </c>
      <c r="H122" s="3059" t="s">
        <v>3055</v>
      </c>
      <c r="I122" s="3058" t="s">
        <v>3054</v>
      </c>
      <c r="K122" s="3058">
        <f t="shared" si="3"/>
        <v>24349.373524605049</v>
      </c>
    </row>
    <row r="123" spans="1:11">
      <c r="A123" s="3059">
        <v>122</v>
      </c>
      <c r="B123" s="3060" t="s">
        <v>3059</v>
      </c>
      <c r="C123" s="3060"/>
      <c r="D123" s="3060">
        <v>903</v>
      </c>
      <c r="E123" s="3058">
        <v>144.6</v>
      </c>
      <c r="F123" s="3058">
        <v>3934132</v>
      </c>
      <c r="G123" s="3059">
        <f t="shared" si="2"/>
        <v>3469904</v>
      </c>
      <c r="H123" s="3059" t="s">
        <v>3055</v>
      </c>
      <c r="I123" s="3058" t="s">
        <v>3054</v>
      </c>
      <c r="K123" s="3058">
        <f t="shared" si="3"/>
        <v>23996.569847856157</v>
      </c>
    </row>
    <row r="124" spans="1:11">
      <c r="A124" s="3059">
        <v>123</v>
      </c>
      <c r="B124" s="3060" t="s">
        <v>3059</v>
      </c>
      <c r="C124" s="3060"/>
      <c r="D124" s="3060">
        <v>1002</v>
      </c>
      <c r="E124" s="3058">
        <v>110.14</v>
      </c>
      <c r="F124" s="3058">
        <v>3046142</v>
      </c>
      <c r="G124" s="3059">
        <f t="shared" si="2"/>
        <v>2686697</v>
      </c>
      <c r="H124" s="3059" t="s">
        <v>3055</v>
      </c>
      <c r="I124" s="3058" t="s">
        <v>3054</v>
      </c>
      <c r="K124" s="3058">
        <f t="shared" si="3"/>
        <v>24393.471944797529</v>
      </c>
    </row>
    <row r="125" spans="1:11">
      <c r="A125" s="3059">
        <v>124</v>
      </c>
      <c r="B125" s="3060" t="s">
        <v>3059</v>
      </c>
      <c r="C125" s="3060"/>
      <c r="D125" s="3060">
        <v>1003</v>
      </c>
      <c r="E125" s="3058">
        <v>144.6</v>
      </c>
      <c r="F125" s="3058">
        <v>3941362</v>
      </c>
      <c r="G125" s="3059">
        <f t="shared" si="2"/>
        <v>3476281</v>
      </c>
      <c r="H125" s="3059" t="s">
        <v>3055</v>
      </c>
      <c r="I125" s="3058" t="s">
        <v>3054</v>
      </c>
      <c r="K125" s="3058">
        <f t="shared" si="3"/>
        <v>24040.670816044261</v>
      </c>
    </row>
    <row r="126" spans="1:11">
      <c r="A126" s="3059">
        <v>125</v>
      </c>
      <c r="B126" s="3060" t="s">
        <v>3059</v>
      </c>
      <c r="C126" s="3060"/>
      <c r="D126" s="3060">
        <v>1102</v>
      </c>
      <c r="E126" s="3058">
        <v>110.14</v>
      </c>
      <c r="F126" s="3058">
        <v>3051649</v>
      </c>
      <c r="G126" s="3059">
        <f t="shared" si="2"/>
        <v>2691554</v>
      </c>
      <c r="H126" s="3059" t="s">
        <v>3055</v>
      </c>
      <c r="I126" s="3058" t="s">
        <v>3054</v>
      </c>
      <c r="K126" s="3058">
        <f t="shared" si="3"/>
        <v>24437.570364990013</v>
      </c>
    </row>
    <row r="127" spans="1:11">
      <c r="A127" s="3059">
        <v>126</v>
      </c>
      <c r="B127" s="3060" t="s">
        <v>3059</v>
      </c>
      <c r="C127" s="3060"/>
      <c r="D127" s="3060">
        <v>1203</v>
      </c>
      <c r="E127" s="3058">
        <v>144.6</v>
      </c>
      <c r="F127" s="3058">
        <v>3955822</v>
      </c>
      <c r="G127" s="3059">
        <f t="shared" si="2"/>
        <v>3489035</v>
      </c>
      <c r="H127" s="3059" t="s">
        <v>3055</v>
      </c>
      <c r="I127" s="3058" t="s">
        <v>3054</v>
      </c>
      <c r="K127" s="3058">
        <f t="shared" si="3"/>
        <v>24128.87275242047</v>
      </c>
    </row>
    <row r="128" spans="1:11">
      <c r="A128" s="3059">
        <v>127</v>
      </c>
      <c r="B128" s="3060" t="s">
        <v>3059</v>
      </c>
      <c r="C128" s="3060"/>
      <c r="D128" s="3060">
        <v>1303</v>
      </c>
      <c r="E128" s="3058">
        <v>144.6</v>
      </c>
      <c r="F128" s="3058">
        <v>3955822</v>
      </c>
      <c r="G128" s="3059">
        <f t="shared" si="2"/>
        <v>3489035</v>
      </c>
      <c r="H128" s="3059" t="s">
        <v>3055</v>
      </c>
      <c r="I128" s="3058" t="s">
        <v>3054</v>
      </c>
      <c r="K128" s="3058">
        <f t="shared" si="3"/>
        <v>24128.87275242047</v>
      </c>
    </row>
    <row r="129" spans="1:11">
      <c r="A129" s="3059">
        <v>128</v>
      </c>
      <c r="B129" s="3060" t="s">
        <v>3059</v>
      </c>
      <c r="C129" s="3060"/>
      <c r="D129" s="3060">
        <v>1401</v>
      </c>
      <c r="E129" s="3058">
        <v>144.6</v>
      </c>
      <c r="F129" s="3058">
        <v>3984742</v>
      </c>
      <c r="G129" s="3059">
        <f t="shared" si="2"/>
        <v>3514542</v>
      </c>
      <c r="H129" s="3059" t="s">
        <v>3055</v>
      </c>
      <c r="I129" s="3058" t="s">
        <v>3054</v>
      </c>
      <c r="K129" s="3058">
        <f t="shared" si="3"/>
        <v>24305.269709543569</v>
      </c>
    </row>
    <row r="130" spans="1:11">
      <c r="A130" s="3059">
        <v>129</v>
      </c>
      <c r="B130" s="3060" t="s">
        <v>3059</v>
      </c>
      <c r="C130" s="3060"/>
      <c r="D130" s="3060">
        <v>1402</v>
      </c>
      <c r="E130" s="3058">
        <v>110.14</v>
      </c>
      <c r="F130" s="3058">
        <v>3057156</v>
      </c>
      <c r="G130" s="3059">
        <f t="shared" ref="G130:G193" si="4">ROUND(F130*0.9*0.98,0)</f>
        <v>2696412</v>
      </c>
      <c r="H130" s="3059" t="s">
        <v>3055</v>
      </c>
      <c r="I130" s="3058" t="s">
        <v>3054</v>
      </c>
      <c r="K130" s="3058">
        <f t="shared" si="3"/>
        <v>24481.677864536046</v>
      </c>
    </row>
    <row r="131" spans="1:11">
      <c r="A131" s="3059">
        <v>130</v>
      </c>
      <c r="B131" s="3060" t="s">
        <v>3059</v>
      </c>
      <c r="C131" s="3060"/>
      <c r="D131" s="3060">
        <v>1502</v>
      </c>
      <c r="E131" s="3058">
        <v>110.14</v>
      </c>
      <c r="F131" s="3058">
        <v>3062663</v>
      </c>
      <c r="G131" s="3059">
        <f t="shared" si="4"/>
        <v>2701269</v>
      </c>
      <c r="H131" s="3059" t="s">
        <v>3055</v>
      </c>
      <c r="I131" s="3058" t="s">
        <v>3054</v>
      </c>
      <c r="K131" s="3058">
        <f t="shared" ref="K131:K194" si="5">G131/E131</f>
        <v>24525.776284728527</v>
      </c>
    </row>
    <row r="132" spans="1:11">
      <c r="A132" s="3059">
        <v>131</v>
      </c>
      <c r="B132" s="3060" t="s">
        <v>3059</v>
      </c>
      <c r="C132" s="3060"/>
      <c r="D132" s="3060">
        <v>1503</v>
      </c>
      <c r="E132" s="3058">
        <v>144.6</v>
      </c>
      <c r="F132" s="3058">
        <v>3963052</v>
      </c>
      <c r="G132" s="3059">
        <f t="shared" si="4"/>
        <v>3495412</v>
      </c>
      <c r="H132" s="3059" t="s">
        <v>3055</v>
      </c>
      <c r="I132" s="3058" t="s">
        <v>3054</v>
      </c>
      <c r="K132" s="3058">
        <f t="shared" si="5"/>
        <v>24172.973720608577</v>
      </c>
    </row>
    <row r="133" spans="1:11">
      <c r="A133" s="3059">
        <v>132</v>
      </c>
      <c r="B133" s="3060" t="s">
        <v>3059</v>
      </c>
      <c r="C133" s="3060"/>
      <c r="D133" s="3060">
        <v>1601</v>
      </c>
      <c r="E133" s="3058">
        <v>144.6</v>
      </c>
      <c r="F133" s="3058">
        <v>3999202</v>
      </c>
      <c r="G133" s="3059">
        <f t="shared" si="4"/>
        <v>3527296</v>
      </c>
      <c r="H133" s="3059" t="s">
        <v>3055</v>
      </c>
      <c r="I133" s="3058" t="s">
        <v>3054</v>
      </c>
      <c r="K133" s="3058">
        <f t="shared" si="5"/>
        <v>24393.471645919781</v>
      </c>
    </row>
    <row r="134" spans="1:11">
      <c r="A134" s="3059">
        <v>133</v>
      </c>
      <c r="B134" s="3060" t="s">
        <v>3059</v>
      </c>
      <c r="C134" s="3060"/>
      <c r="D134" s="3060">
        <v>1602</v>
      </c>
      <c r="E134" s="3058">
        <v>110.14</v>
      </c>
      <c r="F134" s="3058">
        <v>3068170</v>
      </c>
      <c r="G134" s="3059">
        <f t="shared" si="4"/>
        <v>2706126</v>
      </c>
      <c r="H134" s="3059" t="s">
        <v>3055</v>
      </c>
      <c r="I134" s="3058" t="s">
        <v>3054</v>
      </c>
      <c r="K134" s="3058">
        <f t="shared" si="5"/>
        <v>24569.874704921011</v>
      </c>
    </row>
    <row r="135" spans="1:11">
      <c r="A135" s="3059">
        <v>134</v>
      </c>
      <c r="B135" s="3060" t="s">
        <v>3059</v>
      </c>
      <c r="C135" s="3060"/>
      <c r="D135" s="3060">
        <v>1603</v>
      </c>
      <c r="E135" s="3058">
        <v>144.6</v>
      </c>
      <c r="F135" s="3058">
        <v>3970282</v>
      </c>
      <c r="G135" s="3059">
        <f t="shared" si="4"/>
        <v>3501789</v>
      </c>
      <c r="H135" s="3059" t="s">
        <v>3055</v>
      </c>
      <c r="I135" s="3058" t="s">
        <v>3054</v>
      </c>
      <c r="K135" s="3058">
        <f t="shared" si="5"/>
        <v>24217.074688796682</v>
      </c>
    </row>
    <row r="136" spans="1:11">
      <c r="A136" s="3059">
        <v>135</v>
      </c>
      <c r="B136" s="3060" t="s">
        <v>3059</v>
      </c>
      <c r="C136" s="3060"/>
      <c r="D136" s="3060">
        <v>1702</v>
      </c>
      <c r="E136" s="3058">
        <v>110.14</v>
      </c>
      <c r="F136" s="3058">
        <v>3073677</v>
      </c>
      <c r="G136" s="3059">
        <f t="shared" si="4"/>
        <v>2710983</v>
      </c>
      <c r="H136" s="3059" t="s">
        <v>3055</v>
      </c>
      <c r="I136" s="3058" t="s">
        <v>3054</v>
      </c>
      <c r="K136" s="3058">
        <f t="shared" si="5"/>
        <v>24613.973125113491</v>
      </c>
    </row>
    <row r="137" spans="1:11">
      <c r="A137" s="3059">
        <v>136</v>
      </c>
      <c r="B137" s="3060" t="s">
        <v>3059</v>
      </c>
      <c r="C137" s="3060"/>
      <c r="D137" s="3060">
        <v>1801</v>
      </c>
      <c r="E137" s="3058">
        <v>144.6</v>
      </c>
      <c r="F137" s="3058">
        <v>3999202</v>
      </c>
      <c r="G137" s="3059">
        <f t="shared" si="4"/>
        <v>3527296</v>
      </c>
      <c r="H137" s="3059" t="s">
        <v>3055</v>
      </c>
      <c r="I137" s="3058" t="s">
        <v>3054</v>
      </c>
      <c r="K137" s="3058">
        <f t="shared" si="5"/>
        <v>24393.471645919781</v>
      </c>
    </row>
    <row r="138" spans="1:11">
      <c r="A138" s="3059">
        <v>137</v>
      </c>
      <c r="B138" s="3060" t="s">
        <v>3059</v>
      </c>
      <c r="C138" s="3060"/>
      <c r="D138" s="3060">
        <v>1802</v>
      </c>
      <c r="E138" s="3058">
        <v>110.14</v>
      </c>
      <c r="F138" s="3058">
        <v>3068170</v>
      </c>
      <c r="G138" s="3059">
        <f t="shared" si="4"/>
        <v>2706126</v>
      </c>
      <c r="H138" s="3059" t="s">
        <v>3055</v>
      </c>
      <c r="I138" s="3058" t="s">
        <v>3054</v>
      </c>
      <c r="K138" s="3058">
        <f t="shared" si="5"/>
        <v>24569.874704921011</v>
      </c>
    </row>
    <row r="139" spans="1:11">
      <c r="A139" s="3059">
        <v>138</v>
      </c>
      <c r="B139" s="3060" t="s">
        <v>3059</v>
      </c>
      <c r="C139" s="3060"/>
      <c r="D139" s="3060">
        <v>1803</v>
      </c>
      <c r="E139" s="3058">
        <v>144.6</v>
      </c>
      <c r="F139" s="3058">
        <v>3970282</v>
      </c>
      <c r="G139" s="3059">
        <f t="shared" si="4"/>
        <v>3501789</v>
      </c>
      <c r="H139" s="3059" t="s">
        <v>3055</v>
      </c>
      <c r="I139" s="3058" t="s">
        <v>3054</v>
      </c>
      <c r="K139" s="3058">
        <f t="shared" si="5"/>
        <v>24217.074688796682</v>
      </c>
    </row>
    <row r="140" spans="1:11">
      <c r="A140" s="3059">
        <v>139</v>
      </c>
      <c r="B140" s="3060" t="s">
        <v>3059</v>
      </c>
      <c r="C140" s="3060"/>
      <c r="D140" s="3060">
        <v>1902</v>
      </c>
      <c r="E140" s="3058">
        <v>110.14</v>
      </c>
      <c r="F140" s="3058">
        <v>3068170</v>
      </c>
      <c r="G140" s="3059">
        <f t="shared" si="4"/>
        <v>2706126</v>
      </c>
      <c r="H140" s="3059" t="s">
        <v>3055</v>
      </c>
      <c r="I140" s="3058" t="s">
        <v>3054</v>
      </c>
      <c r="K140" s="3058">
        <f t="shared" si="5"/>
        <v>24569.874704921011</v>
      </c>
    </row>
    <row r="141" spans="1:11">
      <c r="A141" s="3059">
        <v>140</v>
      </c>
      <c r="B141" s="3060" t="s">
        <v>3059</v>
      </c>
      <c r="C141" s="3060"/>
      <c r="D141" s="3060">
        <v>1903</v>
      </c>
      <c r="E141" s="3058">
        <v>144.6</v>
      </c>
      <c r="F141" s="3058">
        <v>3970282</v>
      </c>
      <c r="G141" s="3059">
        <f t="shared" si="4"/>
        <v>3501789</v>
      </c>
      <c r="H141" s="3059" t="s">
        <v>3055</v>
      </c>
      <c r="I141" s="3058" t="s">
        <v>3054</v>
      </c>
      <c r="K141" s="3058">
        <f t="shared" si="5"/>
        <v>24217.074688796682</v>
      </c>
    </row>
    <row r="142" spans="1:11">
      <c r="A142" s="3059">
        <v>141</v>
      </c>
      <c r="B142" s="3060" t="s">
        <v>3059</v>
      </c>
      <c r="C142" s="3060"/>
      <c r="D142" s="3060">
        <v>2001</v>
      </c>
      <c r="E142" s="3058">
        <v>144.6</v>
      </c>
      <c r="F142" s="3058">
        <v>3991972</v>
      </c>
      <c r="G142" s="3059">
        <f t="shared" si="4"/>
        <v>3520919</v>
      </c>
      <c r="H142" s="3059" t="s">
        <v>3055</v>
      </c>
      <c r="I142" s="3058" t="s">
        <v>3054</v>
      </c>
      <c r="K142" s="3058">
        <f t="shared" si="5"/>
        <v>24349.370677731673</v>
      </c>
    </row>
    <row r="143" spans="1:11">
      <c r="A143" s="3059">
        <v>142</v>
      </c>
      <c r="B143" s="3060" t="s">
        <v>3059</v>
      </c>
      <c r="C143" s="3060"/>
      <c r="D143" s="3060">
        <v>2002</v>
      </c>
      <c r="E143" s="3058">
        <v>110.14</v>
      </c>
      <c r="F143" s="3058">
        <v>3062663</v>
      </c>
      <c r="G143" s="3059">
        <f t="shared" si="4"/>
        <v>2701269</v>
      </c>
      <c r="H143" s="3059" t="s">
        <v>3055</v>
      </c>
      <c r="I143" s="3058" t="s">
        <v>3054</v>
      </c>
      <c r="K143" s="3058">
        <f t="shared" si="5"/>
        <v>24525.776284728527</v>
      </c>
    </row>
    <row r="144" spans="1:11">
      <c r="A144" s="3059">
        <v>143</v>
      </c>
      <c r="B144" s="3060" t="s">
        <v>3059</v>
      </c>
      <c r="C144" s="3060"/>
      <c r="D144" s="3060">
        <v>2003</v>
      </c>
      <c r="E144" s="3058">
        <v>144.6</v>
      </c>
      <c r="F144" s="3058">
        <v>3963052</v>
      </c>
      <c r="G144" s="3059">
        <f t="shared" si="4"/>
        <v>3495412</v>
      </c>
      <c r="H144" s="3059" t="s">
        <v>3055</v>
      </c>
      <c r="I144" s="3058" t="s">
        <v>3054</v>
      </c>
      <c r="K144" s="3058">
        <f t="shared" si="5"/>
        <v>24172.973720608577</v>
      </c>
    </row>
    <row r="145" spans="1:11">
      <c r="A145" s="3059">
        <v>144</v>
      </c>
      <c r="B145" s="3060" t="s">
        <v>3059</v>
      </c>
      <c r="C145" s="3060"/>
      <c r="D145" s="3060">
        <v>2102</v>
      </c>
      <c r="E145" s="3058">
        <v>110.14</v>
      </c>
      <c r="F145" s="3058">
        <v>3051649</v>
      </c>
      <c r="G145" s="3059">
        <f t="shared" si="4"/>
        <v>2691554</v>
      </c>
      <c r="H145" s="3059" t="s">
        <v>3055</v>
      </c>
      <c r="I145" s="3058" t="s">
        <v>3054</v>
      </c>
      <c r="K145" s="3058">
        <f t="shared" si="5"/>
        <v>24437.570364990013</v>
      </c>
    </row>
    <row r="146" spans="1:11">
      <c r="A146" s="3059">
        <v>145</v>
      </c>
      <c r="B146" s="3060" t="s">
        <v>3059</v>
      </c>
      <c r="C146" s="3060"/>
      <c r="D146" s="3060">
        <v>2103</v>
      </c>
      <c r="E146" s="3058">
        <v>144.6</v>
      </c>
      <c r="F146" s="3058">
        <v>3948592</v>
      </c>
      <c r="G146" s="3059">
        <f t="shared" si="4"/>
        <v>3482658</v>
      </c>
      <c r="H146" s="3059" t="s">
        <v>3055</v>
      </c>
      <c r="I146" s="3058" t="s">
        <v>3054</v>
      </c>
      <c r="K146" s="3058">
        <f t="shared" si="5"/>
        <v>24084.771784232365</v>
      </c>
    </row>
    <row r="147" spans="1:11">
      <c r="A147" s="3059">
        <v>146</v>
      </c>
      <c r="B147" s="3060" t="s">
        <v>3059</v>
      </c>
      <c r="C147" s="3060"/>
      <c r="D147" s="3060">
        <v>2201</v>
      </c>
      <c r="E147" s="3058">
        <v>144.6</v>
      </c>
      <c r="F147" s="3058">
        <v>3970282</v>
      </c>
      <c r="G147" s="3059">
        <f t="shared" si="4"/>
        <v>3501789</v>
      </c>
      <c r="H147" s="3059" t="s">
        <v>3055</v>
      </c>
      <c r="I147" s="3058" t="s">
        <v>3054</v>
      </c>
      <c r="K147" s="3058">
        <f t="shared" si="5"/>
        <v>24217.074688796682</v>
      </c>
    </row>
    <row r="148" spans="1:11">
      <c r="A148" s="3059">
        <v>147</v>
      </c>
      <c r="B148" s="3060" t="s">
        <v>3059</v>
      </c>
      <c r="C148" s="3060"/>
      <c r="D148" s="3060">
        <v>2202</v>
      </c>
      <c r="E148" s="3058">
        <v>110.14</v>
      </c>
      <c r="F148" s="3058">
        <v>3046142</v>
      </c>
      <c r="G148" s="3059">
        <f t="shared" si="4"/>
        <v>2686697</v>
      </c>
      <c r="H148" s="3059" t="s">
        <v>3055</v>
      </c>
      <c r="I148" s="3058" t="s">
        <v>3054</v>
      </c>
      <c r="K148" s="3058">
        <f t="shared" si="5"/>
        <v>24393.471944797529</v>
      </c>
    </row>
    <row r="149" spans="1:11">
      <c r="A149" s="3059">
        <v>148</v>
      </c>
      <c r="B149" s="3060" t="s">
        <v>3059</v>
      </c>
      <c r="C149" s="3060"/>
      <c r="D149" s="3060">
        <v>2203</v>
      </c>
      <c r="E149" s="3058">
        <v>144.6</v>
      </c>
      <c r="F149" s="3058">
        <v>3941362</v>
      </c>
      <c r="G149" s="3059">
        <f t="shared" si="4"/>
        <v>3476281</v>
      </c>
      <c r="H149" s="3059" t="s">
        <v>3055</v>
      </c>
      <c r="I149" s="3058" t="s">
        <v>3054</v>
      </c>
      <c r="K149" s="3058">
        <f t="shared" si="5"/>
        <v>24040.670816044261</v>
      </c>
    </row>
    <row r="150" spans="1:11">
      <c r="A150" s="3059">
        <v>149</v>
      </c>
      <c r="B150" s="3060" t="s">
        <v>3059</v>
      </c>
      <c r="C150" s="3060"/>
      <c r="D150" s="3060">
        <v>2302</v>
      </c>
      <c r="E150" s="3058">
        <v>110.14</v>
      </c>
      <c r="F150" s="3058">
        <v>3040635</v>
      </c>
      <c r="G150" s="3059">
        <f t="shared" si="4"/>
        <v>2681840</v>
      </c>
      <c r="H150" s="3059" t="s">
        <v>3055</v>
      </c>
      <c r="I150" s="3058" t="s">
        <v>3054</v>
      </c>
      <c r="K150" s="3058">
        <f t="shared" si="5"/>
        <v>24349.373524605049</v>
      </c>
    </row>
    <row r="151" spans="1:11">
      <c r="A151" s="3059">
        <v>150</v>
      </c>
      <c r="B151" s="3060" t="s">
        <v>3059</v>
      </c>
      <c r="C151" s="3060"/>
      <c r="D151" s="3060">
        <v>2303</v>
      </c>
      <c r="E151" s="3058">
        <v>144.6</v>
      </c>
      <c r="F151" s="3058">
        <v>3934132</v>
      </c>
      <c r="G151" s="3059">
        <f t="shared" si="4"/>
        <v>3469904</v>
      </c>
      <c r="H151" s="3059" t="s">
        <v>3055</v>
      </c>
      <c r="I151" s="3058" t="s">
        <v>3054</v>
      </c>
      <c r="K151" s="3058">
        <f t="shared" si="5"/>
        <v>23996.569847856157</v>
      </c>
    </row>
    <row r="152" spans="1:11">
      <c r="A152" s="3059">
        <v>151</v>
      </c>
      <c r="B152" s="3060" t="s">
        <v>3059</v>
      </c>
      <c r="C152" s="3060"/>
      <c r="D152" s="3060">
        <v>2401</v>
      </c>
      <c r="E152" s="3058">
        <v>144.6</v>
      </c>
      <c r="F152" s="3058">
        <v>3955822</v>
      </c>
      <c r="G152" s="3059">
        <f t="shared" si="4"/>
        <v>3489035</v>
      </c>
      <c r="H152" s="3059" t="s">
        <v>3055</v>
      </c>
      <c r="I152" s="3058" t="s">
        <v>3054</v>
      </c>
      <c r="K152" s="3058">
        <f t="shared" si="5"/>
        <v>24128.87275242047</v>
      </c>
    </row>
    <row r="153" spans="1:11">
      <c r="A153" s="3059">
        <v>152</v>
      </c>
      <c r="B153" s="3060" t="s">
        <v>3059</v>
      </c>
      <c r="C153" s="3060"/>
      <c r="D153" s="3060">
        <v>2402</v>
      </c>
      <c r="E153" s="3058">
        <v>110.14</v>
      </c>
      <c r="F153" s="3058">
        <v>3035128</v>
      </c>
      <c r="G153" s="3059">
        <f t="shared" si="4"/>
        <v>2676983</v>
      </c>
      <c r="H153" s="3059" t="s">
        <v>3055</v>
      </c>
      <c r="I153" s="3058" t="s">
        <v>3054</v>
      </c>
      <c r="K153" s="3058">
        <f t="shared" si="5"/>
        <v>24305.275104412565</v>
      </c>
    </row>
    <row r="154" spans="1:11">
      <c r="A154" s="3059">
        <v>153</v>
      </c>
      <c r="B154" s="3060" t="s">
        <v>3059</v>
      </c>
      <c r="C154" s="3060"/>
      <c r="D154" s="3060">
        <v>2403</v>
      </c>
      <c r="E154" s="3058">
        <v>144.6</v>
      </c>
      <c r="F154" s="3058">
        <v>3926902</v>
      </c>
      <c r="G154" s="3059">
        <f t="shared" si="4"/>
        <v>3463528</v>
      </c>
      <c r="H154" s="3059" t="s">
        <v>3055</v>
      </c>
      <c r="I154" s="3058" t="s">
        <v>3054</v>
      </c>
      <c r="K154" s="3058">
        <f t="shared" si="5"/>
        <v>23952.475795297374</v>
      </c>
    </row>
    <row r="155" spans="1:11">
      <c r="A155" s="3059">
        <v>154</v>
      </c>
      <c r="B155" s="3060" t="s">
        <v>3059</v>
      </c>
      <c r="C155" s="3060"/>
      <c r="D155" s="3060">
        <v>2501</v>
      </c>
      <c r="E155" s="3058">
        <v>144.6</v>
      </c>
      <c r="F155" s="3058">
        <v>3948592</v>
      </c>
      <c r="G155" s="3059">
        <f t="shared" si="4"/>
        <v>3482658</v>
      </c>
      <c r="H155" s="3059" t="s">
        <v>3055</v>
      </c>
      <c r="I155" s="3058" t="s">
        <v>3054</v>
      </c>
      <c r="K155" s="3058">
        <f t="shared" si="5"/>
        <v>24084.771784232365</v>
      </c>
    </row>
    <row r="156" spans="1:11">
      <c r="A156" s="3059">
        <v>155</v>
      </c>
      <c r="B156" s="3060" t="s">
        <v>3059</v>
      </c>
      <c r="C156" s="3060"/>
      <c r="D156" s="3060">
        <v>2502</v>
      </c>
      <c r="E156" s="3058">
        <v>110.14</v>
      </c>
      <c r="F156" s="3058">
        <v>3029621</v>
      </c>
      <c r="G156" s="3059">
        <f t="shared" si="4"/>
        <v>2672126</v>
      </c>
      <c r="H156" s="3059" t="s">
        <v>3055</v>
      </c>
      <c r="I156" s="3058" t="s">
        <v>3054</v>
      </c>
      <c r="K156" s="3058">
        <f t="shared" si="5"/>
        <v>24261.176684220085</v>
      </c>
    </row>
    <row r="157" spans="1:11">
      <c r="A157" s="3059">
        <v>156</v>
      </c>
      <c r="B157" s="3060" t="s">
        <v>3059</v>
      </c>
      <c r="C157" s="3060"/>
      <c r="D157" s="3060">
        <v>2503</v>
      </c>
      <c r="E157" s="3058">
        <v>144.6</v>
      </c>
      <c r="F157" s="3058">
        <v>3919672</v>
      </c>
      <c r="G157" s="3059">
        <f t="shared" si="4"/>
        <v>3457151</v>
      </c>
      <c r="H157" s="3059" t="s">
        <v>3055</v>
      </c>
      <c r="I157" s="3058" t="s">
        <v>3054</v>
      </c>
      <c r="K157" s="3058">
        <f t="shared" si="5"/>
        <v>23908.374827109266</v>
      </c>
    </row>
    <row r="158" spans="1:11">
      <c r="A158" s="3059">
        <v>157</v>
      </c>
      <c r="B158" s="3060" t="s">
        <v>3059</v>
      </c>
      <c r="C158" s="3060"/>
      <c r="D158" s="3060">
        <v>2601</v>
      </c>
      <c r="E158" s="3058">
        <v>144.6</v>
      </c>
      <c r="F158" s="3058">
        <v>3926902</v>
      </c>
      <c r="G158" s="3059">
        <f t="shared" si="4"/>
        <v>3463528</v>
      </c>
      <c r="H158" s="3059" t="s">
        <v>3055</v>
      </c>
      <c r="I158" s="3058" t="s">
        <v>3054</v>
      </c>
      <c r="K158" s="3058">
        <f t="shared" si="5"/>
        <v>23952.475795297374</v>
      </c>
    </row>
    <row r="159" spans="1:11">
      <c r="A159" s="3059">
        <v>158</v>
      </c>
      <c r="B159" s="3060" t="s">
        <v>3059</v>
      </c>
      <c r="C159" s="3060"/>
      <c r="D159" s="3060">
        <v>2602</v>
      </c>
      <c r="E159" s="3058">
        <v>110.14</v>
      </c>
      <c r="F159" s="3058">
        <v>3013100</v>
      </c>
      <c r="G159" s="3059">
        <f t="shared" si="4"/>
        <v>2657554</v>
      </c>
      <c r="H159" s="3059" t="s">
        <v>3055</v>
      </c>
      <c r="I159" s="3058" t="s">
        <v>3054</v>
      </c>
      <c r="K159" s="3058">
        <f t="shared" si="5"/>
        <v>24128.872344289088</v>
      </c>
    </row>
    <row r="160" spans="1:11">
      <c r="A160" s="3059">
        <v>159</v>
      </c>
      <c r="B160" s="3060" t="s">
        <v>3059</v>
      </c>
      <c r="C160" s="3060"/>
      <c r="D160" s="3060">
        <v>2603</v>
      </c>
      <c r="E160" s="3058">
        <v>144.6</v>
      </c>
      <c r="F160" s="3058">
        <v>3897982</v>
      </c>
      <c r="G160" s="3059">
        <f t="shared" si="4"/>
        <v>3438020</v>
      </c>
      <c r="H160" s="3059" t="s">
        <v>3055</v>
      </c>
      <c r="I160" s="3058" t="s">
        <v>3054</v>
      </c>
      <c r="J160" s="3058">
        <f>SUM(E108:E160)+E207+E208+E209</f>
        <v>7359.5500000000065</v>
      </c>
      <c r="K160" s="3058">
        <f t="shared" si="5"/>
        <v>23776.071922544954</v>
      </c>
    </row>
    <row r="161" spans="1:11">
      <c r="A161" s="3059">
        <v>160</v>
      </c>
      <c r="B161" s="3060" t="s">
        <v>3058</v>
      </c>
      <c r="C161" s="3060"/>
      <c r="D161" s="3060">
        <v>201</v>
      </c>
      <c r="E161" s="3058">
        <v>143.76</v>
      </c>
      <c r="F161" s="3058">
        <v>3587818</v>
      </c>
      <c r="G161" s="3059">
        <f t="shared" si="4"/>
        <v>3164455</v>
      </c>
      <c r="H161" s="3059" t="s">
        <v>3055</v>
      </c>
      <c r="I161" s="3058" t="s">
        <v>3054</v>
      </c>
      <c r="K161" s="3058">
        <f t="shared" si="5"/>
        <v>22012.068725653869</v>
      </c>
    </row>
    <row r="162" spans="1:11">
      <c r="A162" s="3059">
        <v>161</v>
      </c>
      <c r="B162" s="3060" t="s">
        <v>3058</v>
      </c>
      <c r="C162" s="3060"/>
      <c r="D162" s="3060">
        <v>202</v>
      </c>
      <c r="E162" s="3058">
        <v>130.76</v>
      </c>
      <c r="F162" s="3058">
        <v>3276453</v>
      </c>
      <c r="G162" s="3059">
        <f t="shared" si="4"/>
        <v>2889832</v>
      </c>
      <c r="H162" s="3059" t="s">
        <v>3055</v>
      </c>
      <c r="I162" s="3058" t="s">
        <v>3054</v>
      </c>
      <c r="K162" s="3058">
        <f t="shared" si="5"/>
        <v>22100.275313551545</v>
      </c>
    </row>
    <row r="163" spans="1:11">
      <c r="A163" s="3059">
        <v>162</v>
      </c>
      <c r="B163" s="3060" t="s">
        <v>3058</v>
      </c>
      <c r="C163" s="3060"/>
      <c r="D163" s="3060">
        <v>203</v>
      </c>
      <c r="E163" s="3058">
        <v>131.53</v>
      </c>
      <c r="F163" s="3058">
        <v>3308900</v>
      </c>
      <c r="G163" s="3059">
        <f t="shared" si="4"/>
        <v>2918450</v>
      </c>
      <c r="H163" s="3059" t="s">
        <v>3055</v>
      </c>
      <c r="I163" s="3058" t="s">
        <v>3054</v>
      </c>
      <c r="K163" s="3058">
        <f t="shared" si="5"/>
        <v>22188.4741123698</v>
      </c>
    </row>
    <row r="164" spans="1:11">
      <c r="A164" s="3059">
        <v>163</v>
      </c>
      <c r="B164" s="3060" t="s">
        <v>3058</v>
      </c>
      <c r="C164" s="3060"/>
      <c r="D164" s="3060">
        <v>301</v>
      </c>
      <c r="E164" s="3058">
        <v>143.76</v>
      </c>
      <c r="F164" s="3058">
        <v>3595006</v>
      </c>
      <c r="G164" s="3059">
        <f t="shared" si="4"/>
        <v>3170795</v>
      </c>
      <c r="H164" s="3059" t="s">
        <v>3055</v>
      </c>
      <c r="I164" s="3058" t="s">
        <v>3054</v>
      </c>
      <c r="K164" s="3058">
        <f t="shared" si="5"/>
        <v>22056.170005564833</v>
      </c>
    </row>
    <row r="165" spans="1:11">
      <c r="A165" s="3059">
        <v>164</v>
      </c>
      <c r="B165" s="3060" t="s">
        <v>3058</v>
      </c>
      <c r="C165" s="3060"/>
      <c r="D165" s="3060">
        <v>302</v>
      </c>
      <c r="E165" s="3058">
        <v>130.76</v>
      </c>
      <c r="F165" s="3058">
        <v>3282991</v>
      </c>
      <c r="G165" s="3059">
        <f t="shared" si="4"/>
        <v>2895598</v>
      </c>
      <c r="H165" s="3059" t="s">
        <v>3055</v>
      </c>
      <c r="I165" s="3058" t="s">
        <v>3054</v>
      </c>
      <c r="K165" s="3058">
        <f t="shared" si="5"/>
        <v>22144.371367390642</v>
      </c>
    </row>
    <row r="166" spans="1:11">
      <c r="A166" s="3059">
        <v>165</v>
      </c>
      <c r="B166" s="3060" t="s">
        <v>3058</v>
      </c>
      <c r="C166" s="3060"/>
      <c r="D166" s="3060">
        <v>401</v>
      </c>
      <c r="E166" s="3058">
        <v>143.76</v>
      </c>
      <c r="F166" s="3058">
        <v>3602194</v>
      </c>
      <c r="G166" s="3059">
        <f t="shared" si="4"/>
        <v>3177135</v>
      </c>
      <c r="H166" s="3059" t="s">
        <v>3055</v>
      </c>
      <c r="I166" s="3058" t="s">
        <v>3054</v>
      </c>
      <c r="K166" s="3058">
        <f t="shared" si="5"/>
        <v>22100.271285475796</v>
      </c>
    </row>
    <row r="167" spans="1:11">
      <c r="A167" s="3059">
        <v>166</v>
      </c>
      <c r="B167" s="3060" t="s">
        <v>3058</v>
      </c>
      <c r="C167" s="3060"/>
      <c r="D167" s="3060">
        <v>402</v>
      </c>
      <c r="E167" s="3058">
        <v>130.76</v>
      </c>
      <c r="F167" s="3058">
        <v>3289529</v>
      </c>
      <c r="G167" s="3059">
        <f t="shared" si="4"/>
        <v>2901365</v>
      </c>
      <c r="H167" s="3059" t="s">
        <v>3055</v>
      </c>
      <c r="I167" s="3058" t="s">
        <v>3054</v>
      </c>
      <c r="K167" s="3058">
        <f t="shared" si="5"/>
        <v>22188.475068828389</v>
      </c>
    </row>
    <row r="168" spans="1:11">
      <c r="A168" s="3059">
        <v>167</v>
      </c>
      <c r="B168" s="3060" t="s">
        <v>3058</v>
      </c>
      <c r="C168" s="3060"/>
      <c r="D168" s="3060">
        <v>403</v>
      </c>
      <c r="E168" s="3058">
        <v>131.53</v>
      </c>
      <c r="F168" s="3058">
        <v>3322053</v>
      </c>
      <c r="G168" s="3059">
        <f t="shared" si="4"/>
        <v>2930051</v>
      </c>
      <c r="H168" s="3059" t="s">
        <v>3055</v>
      </c>
      <c r="I168" s="3058" t="s">
        <v>3054</v>
      </c>
      <c r="K168" s="3058">
        <f t="shared" si="5"/>
        <v>22276.674522922527</v>
      </c>
    </row>
    <row r="169" spans="1:11">
      <c r="A169" s="3059">
        <v>168</v>
      </c>
      <c r="B169" s="3060" t="s">
        <v>3058</v>
      </c>
      <c r="C169" s="3060"/>
      <c r="D169" s="3060">
        <v>404</v>
      </c>
      <c r="E169" s="3058">
        <v>129.78</v>
      </c>
      <c r="F169" s="3058">
        <v>3206474</v>
      </c>
      <c r="G169" s="3059">
        <f t="shared" si="4"/>
        <v>2828110</v>
      </c>
      <c r="H169" s="3059" t="s">
        <v>3055</v>
      </c>
      <c r="I169" s="3058" t="s">
        <v>3054</v>
      </c>
      <c r="K169" s="3058">
        <f t="shared" si="5"/>
        <v>21791.570349822778</v>
      </c>
    </row>
    <row r="170" spans="1:11">
      <c r="A170" s="3059">
        <v>169</v>
      </c>
      <c r="B170" s="3060" t="s">
        <v>3058</v>
      </c>
      <c r="C170" s="3060"/>
      <c r="D170" s="3060">
        <v>502</v>
      </c>
      <c r="E170" s="3058">
        <v>130.76</v>
      </c>
      <c r="F170" s="3058">
        <v>3296067</v>
      </c>
      <c r="G170" s="3059">
        <f t="shared" si="4"/>
        <v>2907131</v>
      </c>
      <c r="H170" s="3059" t="s">
        <v>3055</v>
      </c>
      <c r="I170" s="3058" t="s">
        <v>3054</v>
      </c>
      <c r="K170" s="3058">
        <f t="shared" si="5"/>
        <v>22232.571122667483</v>
      </c>
    </row>
    <row r="171" spans="1:11">
      <c r="A171" s="3059">
        <v>170</v>
      </c>
      <c r="B171" s="3060" t="s">
        <v>3058</v>
      </c>
      <c r="C171" s="3060"/>
      <c r="D171" s="3060">
        <v>503</v>
      </c>
      <c r="E171" s="3058">
        <v>131.53</v>
      </c>
      <c r="F171" s="3058">
        <v>3328630</v>
      </c>
      <c r="G171" s="3059">
        <f t="shared" si="4"/>
        <v>2935852</v>
      </c>
      <c r="H171" s="3059" t="s">
        <v>3055</v>
      </c>
      <c r="I171" s="3058" t="s">
        <v>3054</v>
      </c>
      <c r="K171" s="3058">
        <f t="shared" si="5"/>
        <v>22320.778529613017</v>
      </c>
    </row>
    <row r="172" spans="1:11">
      <c r="A172" s="3059">
        <v>171</v>
      </c>
      <c r="B172" s="3060" t="s">
        <v>3058</v>
      </c>
      <c r="C172" s="3060"/>
      <c r="D172" s="3060">
        <v>504</v>
      </c>
      <c r="E172" s="3058">
        <v>129.78</v>
      </c>
      <c r="F172" s="3058">
        <v>3212963</v>
      </c>
      <c r="G172" s="3059">
        <f t="shared" si="4"/>
        <v>2833833</v>
      </c>
      <c r="H172" s="3059" t="s">
        <v>3055</v>
      </c>
      <c r="I172" s="3058" t="s">
        <v>3054</v>
      </c>
      <c r="K172" s="3058">
        <f t="shared" si="5"/>
        <v>21835.668053629219</v>
      </c>
    </row>
    <row r="173" spans="1:11">
      <c r="A173" s="3059">
        <v>172</v>
      </c>
      <c r="B173" s="3060" t="s">
        <v>3058</v>
      </c>
      <c r="C173" s="3060"/>
      <c r="D173" s="3060">
        <v>603</v>
      </c>
      <c r="E173" s="3058">
        <v>131.53</v>
      </c>
      <c r="F173" s="3058">
        <v>3335206</v>
      </c>
      <c r="G173" s="3059">
        <f t="shared" si="4"/>
        <v>2941652</v>
      </c>
      <c r="H173" s="3059" t="s">
        <v>3055</v>
      </c>
      <c r="I173" s="3058" t="s">
        <v>3054</v>
      </c>
      <c r="K173" s="3058">
        <f t="shared" si="5"/>
        <v>22364.874933475254</v>
      </c>
    </row>
    <row r="174" spans="1:11">
      <c r="A174" s="3059">
        <v>173</v>
      </c>
      <c r="B174" s="3060" t="s">
        <v>3058</v>
      </c>
      <c r="C174" s="3060"/>
      <c r="D174" s="3060">
        <v>604</v>
      </c>
      <c r="E174" s="3058">
        <v>129.78</v>
      </c>
      <c r="F174" s="3058">
        <v>3219452</v>
      </c>
      <c r="G174" s="3059">
        <f t="shared" si="4"/>
        <v>2839557</v>
      </c>
      <c r="H174" s="3059" t="s">
        <v>3055</v>
      </c>
      <c r="I174" s="3058" t="s">
        <v>3054</v>
      </c>
      <c r="K174" s="3058">
        <f t="shared" si="5"/>
        <v>21879.773462783171</v>
      </c>
    </row>
    <row r="175" spans="1:11">
      <c r="A175" s="3059">
        <v>174</v>
      </c>
      <c r="B175" s="3060" t="s">
        <v>3058</v>
      </c>
      <c r="C175" s="3060"/>
      <c r="D175" s="3060">
        <v>703</v>
      </c>
      <c r="E175" s="3058">
        <v>131.53</v>
      </c>
      <c r="F175" s="3058">
        <v>3341783</v>
      </c>
      <c r="G175" s="3059">
        <f t="shared" si="4"/>
        <v>2947453</v>
      </c>
      <c r="H175" s="3059" t="s">
        <v>3055</v>
      </c>
      <c r="I175" s="3058" t="s">
        <v>3054</v>
      </c>
      <c r="K175" s="3058">
        <f t="shared" si="5"/>
        <v>22408.97894016574</v>
      </c>
    </row>
    <row r="176" spans="1:11">
      <c r="A176" s="3059">
        <v>175</v>
      </c>
      <c r="B176" s="3060" t="s">
        <v>3058</v>
      </c>
      <c r="C176" s="3060"/>
      <c r="D176" s="3060">
        <v>704</v>
      </c>
      <c r="E176" s="3058">
        <v>129.78</v>
      </c>
      <c r="F176" s="3058">
        <v>3225941</v>
      </c>
      <c r="G176" s="3059">
        <f t="shared" si="4"/>
        <v>2845280</v>
      </c>
      <c r="H176" s="3059" t="s">
        <v>3055</v>
      </c>
      <c r="I176" s="3058" t="s">
        <v>3054</v>
      </c>
      <c r="K176" s="3058">
        <f t="shared" si="5"/>
        <v>21923.871166589612</v>
      </c>
    </row>
    <row r="177" spans="1:11">
      <c r="A177" s="3059">
        <v>176</v>
      </c>
      <c r="B177" s="3060" t="s">
        <v>3058</v>
      </c>
      <c r="C177" s="3060"/>
      <c r="D177" s="3060">
        <v>803</v>
      </c>
      <c r="E177" s="3058">
        <v>131.53</v>
      </c>
      <c r="F177" s="3058">
        <v>3348359</v>
      </c>
      <c r="G177" s="3059">
        <f t="shared" si="4"/>
        <v>2953253</v>
      </c>
      <c r="H177" s="3059" t="s">
        <v>3055</v>
      </c>
      <c r="I177" s="3058" t="s">
        <v>3054</v>
      </c>
      <c r="K177" s="3058">
        <f t="shared" si="5"/>
        <v>22453.075344027977</v>
      </c>
    </row>
    <row r="178" spans="1:11">
      <c r="A178" s="3059">
        <v>177</v>
      </c>
      <c r="B178" s="3060" t="s">
        <v>3058</v>
      </c>
      <c r="C178" s="3060"/>
      <c r="D178" s="3060">
        <v>804</v>
      </c>
      <c r="E178" s="3058">
        <v>129.78</v>
      </c>
      <c r="F178" s="3058">
        <v>3232430</v>
      </c>
      <c r="G178" s="3059">
        <f t="shared" si="4"/>
        <v>2851003</v>
      </c>
      <c r="H178" s="3059" t="s">
        <v>3055</v>
      </c>
      <c r="I178" s="3058" t="s">
        <v>3054</v>
      </c>
      <c r="K178" s="3058">
        <f t="shared" si="5"/>
        <v>21967.968870396056</v>
      </c>
    </row>
    <row r="179" spans="1:11">
      <c r="A179" s="3059">
        <v>178</v>
      </c>
      <c r="B179" s="3060" t="s">
        <v>3058</v>
      </c>
      <c r="C179" s="3060"/>
      <c r="D179" s="3060">
        <v>904</v>
      </c>
      <c r="E179" s="3058">
        <v>129.78</v>
      </c>
      <c r="F179" s="3058">
        <v>3238919</v>
      </c>
      <c r="G179" s="3059">
        <f t="shared" si="4"/>
        <v>2856727</v>
      </c>
      <c r="H179" s="3059" t="s">
        <v>3055</v>
      </c>
      <c r="I179" s="3058" t="s">
        <v>3054</v>
      </c>
      <c r="K179" s="3058">
        <f t="shared" si="5"/>
        <v>22012.074279550008</v>
      </c>
    </row>
    <row r="180" spans="1:11">
      <c r="A180" s="3059">
        <v>179</v>
      </c>
      <c r="B180" s="3060" t="s">
        <v>3058</v>
      </c>
      <c r="C180" s="3060"/>
      <c r="D180" s="3060">
        <v>1003</v>
      </c>
      <c r="E180" s="3058">
        <v>131.53</v>
      </c>
      <c r="F180" s="3058">
        <v>3361512</v>
      </c>
      <c r="G180" s="3059">
        <f t="shared" si="4"/>
        <v>2964854</v>
      </c>
      <c r="H180" s="3059" t="s">
        <v>3055</v>
      </c>
      <c r="I180" s="3058" t="s">
        <v>3054</v>
      </c>
      <c r="K180" s="3058">
        <f t="shared" si="5"/>
        <v>22541.275754580704</v>
      </c>
    </row>
    <row r="181" spans="1:11">
      <c r="A181" s="3059">
        <v>180</v>
      </c>
      <c r="B181" s="3060" t="s">
        <v>3058</v>
      </c>
      <c r="C181" s="3060"/>
      <c r="D181" s="3060">
        <v>1004</v>
      </c>
      <c r="E181" s="3058">
        <v>129.78</v>
      </c>
      <c r="F181" s="3058">
        <v>3245408</v>
      </c>
      <c r="G181" s="3059">
        <f t="shared" si="4"/>
        <v>2862450</v>
      </c>
      <c r="H181" s="3059" t="s">
        <v>3055</v>
      </c>
      <c r="I181" s="3058" t="s">
        <v>3054</v>
      </c>
      <c r="K181" s="3058">
        <f t="shared" si="5"/>
        <v>22056.171983356449</v>
      </c>
    </row>
    <row r="182" spans="1:11">
      <c r="A182" s="3059">
        <v>181</v>
      </c>
      <c r="B182" s="3060" t="s">
        <v>3058</v>
      </c>
      <c r="C182" s="3060"/>
      <c r="D182" s="3060">
        <v>1104</v>
      </c>
      <c r="E182" s="3058">
        <v>129.78</v>
      </c>
      <c r="F182" s="3058">
        <v>3251897</v>
      </c>
      <c r="G182" s="3059">
        <f t="shared" si="4"/>
        <v>2868173</v>
      </c>
      <c r="H182" s="3059" t="s">
        <v>3055</v>
      </c>
      <c r="I182" s="3058" t="s">
        <v>3054</v>
      </c>
      <c r="K182" s="3058">
        <f t="shared" si="5"/>
        <v>22100.26968716289</v>
      </c>
    </row>
    <row r="183" spans="1:11">
      <c r="A183" s="3059">
        <v>182</v>
      </c>
      <c r="B183" s="3060" t="s">
        <v>3058</v>
      </c>
      <c r="C183" s="3060"/>
      <c r="D183" s="3060">
        <v>1204</v>
      </c>
      <c r="E183" s="3058">
        <v>129.78</v>
      </c>
      <c r="F183" s="3058">
        <v>3258386</v>
      </c>
      <c r="G183" s="3059">
        <f t="shared" si="4"/>
        <v>2873896</v>
      </c>
      <c r="H183" s="3059" t="s">
        <v>3055</v>
      </c>
      <c r="I183" s="3058" t="s">
        <v>3054</v>
      </c>
      <c r="K183" s="3058">
        <f t="shared" si="5"/>
        <v>22144.367390969332</v>
      </c>
    </row>
    <row r="184" spans="1:11">
      <c r="A184" s="3059">
        <v>183</v>
      </c>
      <c r="B184" s="3060" t="s">
        <v>3058</v>
      </c>
      <c r="C184" s="3060"/>
      <c r="D184" s="3060">
        <v>1304</v>
      </c>
      <c r="E184" s="3058">
        <v>129.78</v>
      </c>
      <c r="F184" s="3058">
        <v>3258386</v>
      </c>
      <c r="G184" s="3059">
        <f t="shared" si="4"/>
        <v>2873896</v>
      </c>
      <c r="H184" s="3059" t="s">
        <v>3055</v>
      </c>
      <c r="I184" s="3058" t="s">
        <v>3054</v>
      </c>
      <c r="K184" s="3058">
        <f t="shared" si="5"/>
        <v>22144.367390969332</v>
      </c>
    </row>
    <row r="185" spans="1:11">
      <c r="A185" s="3059">
        <v>184</v>
      </c>
      <c r="B185" s="3060" t="s">
        <v>3058</v>
      </c>
      <c r="C185" s="3060"/>
      <c r="D185" s="3060">
        <v>1403</v>
      </c>
      <c r="E185" s="3058">
        <v>131.53</v>
      </c>
      <c r="F185" s="3058">
        <v>3374665</v>
      </c>
      <c r="G185" s="3059">
        <f t="shared" si="4"/>
        <v>2976455</v>
      </c>
      <c r="H185" s="3059" t="s">
        <v>3055</v>
      </c>
      <c r="I185" s="3058" t="s">
        <v>3054</v>
      </c>
      <c r="K185" s="3058">
        <f t="shared" si="5"/>
        <v>22629.47616513343</v>
      </c>
    </row>
    <row r="186" spans="1:11">
      <c r="A186" s="3059">
        <v>185</v>
      </c>
      <c r="B186" s="3060" t="s">
        <v>3058</v>
      </c>
      <c r="C186" s="3060"/>
      <c r="D186" s="3060">
        <v>1404</v>
      </c>
      <c r="E186" s="3058">
        <v>129.78</v>
      </c>
      <c r="F186" s="3058">
        <v>3258386</v>
      </c>
      <c r="G186" s="3059">
        <f t="shared" si="4"/>
        <v>2873896</v>
      </c>
      <c r="H186" s="3059" t="s">
        <v>3055</v>
      </c>
      <c r="I186" s="3058" t="s">
        <v>3054</v>
      </c>
      <c r="K186" s="3058">
        <f t="shared" si="5"/>
        <v>22144.367390969332</v>
      </c>
    </row>
    <row r="187" spans="1:11">
      <c r="A187" s="3059">
        <v>186</v>
      </c>
      <c r="B187" s="3060" t="s">
        <v>3058</v>
      </c>
      <c r="C187" s="3060"/>
      <c r="D187" s="3060">
        <v>1504</v>
      </c>
      <c r="E187" s="3058">
        <v>129.78</v>
      </c>
      <c r="F187" s="3058">
        <v>3264875</v>
      </c>
      <c r="G187" s="3059">
        <f t="shared" si="4"/>
        <v>2879620</v>
      </c>
      <c r="H187" s="3059" t="s">
        <v>3055</v>
      </c>
      <c r="I187" s="3058" t="s">
        <v>3054</v>
      </c>
      <c r="K187" s="3058">
        <f t="shared" si="5"/>
        <v>22188.472800123287</v>
      </c>
    </row>
    <row r="188" spans="1:11">
      <c r="A188" s="3059">
        <v>187</v>
      </c>
      <c r="B188" s="3060" t="s">
        <v>3058</v>
      </c>
      <c r="C188" s="3060"/>
      <c r="D188" s="3060">
        <v>1604</v>
      </c>
      <c r="E188" s="3058">
        <v>129.78</v>
      </c>
      <c r="F188" s="3058">
        <v>3271364</v>
      </c>
      <c r="G188" s="3059">
        <f t="shared" si="4"/>
        <v>2885343</v>
      </c>
      <c r="H188" s="3059" t="s">
        <v>3055</v>
      </c>
      <c r="I188" s="3058" t="s">
        <v>3054</v>
      </c>
      <c r="K188" s="3058">
        <f t="shared" si="5"/>
        <v>22232.570503929728</v>
      </c>
    </row>
    <row r="189" spans="1:11">
      <c r="A189" s="3059">
        <v>188</v>
      </c>
      <c r="B189" s="3060" t="s">
        <v>3058</v>
      </c>
      <c r="C189" s="3060"/>
      <c r="D189" s="3060">
        <v>1704</v>
      </c>
      <c r="E189" s="3058">
        <v>129.78</v>
      </c>
      <c r="F189" s="3058">
        <v>3277853</v>
      </c>
      <c r="G189" s="3059">
        <f t="shared" si="4"/>
        <v>2891066</v>
      </c>
      <c r="H189" s="3059" t="s">
        <v>3055</v>
      </c>
      <c r="I189" s="3058" t="s">
        <v>3054</v>
      </c>
      <c r="K189" s="3058">
        <f t="shared" si="5"/>
        <v>22276.668207736169</v>
      </c>
    </row>
    <row r="190" spans="1:11">
      <c r="A190" s="3059">
        <v>189</v>
      </c>
      <c r="B190" s="3060" t="s">
        <v>3058</v>
      </c>
      <c r="C190" s="3060"/>
      <c r="D190" s="3060">
        <v>1802</v>
      </c>
      <c r="E190" s="3058">
        <v>130.76</v>
      </c>
      <c r="F190" s="3058">
        <v>3354909</v>
      </c>
      <c r="G190" s="3059">
        <f t="shared" si="4"/>
        <v>2959030</v>
      </c>
      <c r="H190" s="3059" t="s">
        <v>3055</v>
      </c>
      <c r="I190" s="3058" t="s">
        <v>3054</v>
      </c>
      <c r="K190" s="3058">
        <f t="shared" si="5"/>
        <v>22629.473845212604</v>
      </c>
    </row>
    <row r="191" spans="1:11">
      <c r="A191" s="3059">
        <v>190</v>
      </c>
      <c r="B191" s="3060" t="s">
        <v>3058</v>
      </c>
      <c r="C191" s="3060"/>
      <c r="D191" s="3060">
        <v>1803</v>
      </c>
      <c r="E191" s="3058">
        <v>131.53</v>
      </c>
      <c r="F191" s="3058">
        <v>3387818</v>
      </c>
      <c r="G191" s="3059">
        <f t="shared" si="4"/>
        <v>2988055</v>
      </c>
      <c r="H191" s="3059" t="s">
        <v>3055</v>
      </c>
      <c r="I191" s="3058" t="s">
        <v>3054</v>
      </c>
      <c r="K191" s="3058">
        <f t="shared" si="5"/>
        <v>22717.668972857904</v>
      </c>
    </row>
    <row r="192" spans="1:11">
      <c r="A192" s="3059">
        <v>191</v>
      </c>
      <c r="B192" s="3060" t="s">
        <v>3058</v>
      </c>
      <c r="C192" s="3060"/>
      <c r="D192" s="3060">
        <v>1804</v>
      </c>
      <c r="E192" s="3058">
        <v>129.78</v>
      </c>
      <c r="F192" s="3058">
        <v>3271364</v>
      </c>
      <c r="G192" s="3059">
        <f t="shared" si="4"/>
        <v>2885343</v>
      </c>
      <c r="H192" s="3059" t="s">
        <v>3055</v>
      </c>
      <c r="I192" s="3058" t="s">
        <v>3054</v>
      </c>
      <c r="K192" s="3058">
        <f t="shared" si="5"/>
        <v>22232.570503929728</v>
      </c>
    </row>
    <row r="193" spans="1:11">
      <c r="A193" s="3059">
        <v>192</v>
      </c>
      <c r="B193" s="3060" t="s">
        <v>3058</v>
      </c>
      <c r="C193" s="3060"/>
      <c r="D193" s="3060">
        <v>1904</v>
      </c>
      <c r="E193" s="3058">
        <v>129.78</v>
      </c>
      <c r="F193" s="3058">
        <v>3264875</v>
      </c>
      <c r="G193" s="3059">
        <f t="shared" si="4"/>
        <v>2879620</v>
      </c>
      <c r="H193" s="3059" t="s">
        <v>3055</v>
      </c>
      <c r="I193" s="3058" t="s">
        <v>3054</v>
      </c>
      <c r="K193" s="3058">
        <f t="shared" si="5"/>
        <v>22188.472800123287</v>
      </c>
    </row>
    <row r="194" spans="1:11">
      <c r="A194" s="3059">
        <v>193</v>
      </c>
      <c r="B194" s="3060" t="s">
        <v>3058</v>
      </c>
      <c r="C194" s="3060"/>
      <c r="D194" s="3060">
        <v>2004</v>
      </c>
      <c r="E194" s="3058">
        <v>129.78</v>
      </c>
      <c r="F194" s="3058">
        <v>3258386</v>
      </c>
      <c r="G194" s="3059">
        <f t="shared" ref="G194:G206" si="6">ROUND(F194*0.9*0.98,0)</f>
        <v>2873896</v>
      </c>
      <c r="H194" s="3059" t="s">
        <v>3055</v>
      </c>
      <c r="I194" s="3058" t="s">
        <v>3054</v>
      </c>
      <c r="K194" s="3058">
        <f t="shared" si="5"/>
        <v>22144.367390969332</v>
      </c>
    </row>
    <row r="195" spans="1:11">
      <c r="A195" s="3059">
        <v>194</v>
      </c>
      <c r="B195" s="3060" t="s">
        <v>3058</v>
      </c>
      <c r="C195" s="3060"/>
      <c r="D195" s="3060">
        <v>2203</v>
      </c>
      <c r="E195" s="3058">
        <v>131.53</v>
      </c>
      <c r="F195" s="3058">
        <v>3361512</v>
      </c>
      <c r="G195" s="3059">
        <f t="shared" si="6"/>
        <v>2964854</v>
      </c>
      <c r="H195" s="3059" t="s">
        <v>3055</v>
      </c>
      <c r="I195" s="3058" t="s">
        <v>3054</v>
      </c>
      <c r="K195" s="3058">
        <f t="shared" ref="K195:K213" si="7">G195/E195</f>
        <v>22541.275754580704</v>
      </c>
    </row>
    <row r="196" spans="1:11">
      <c r="A196" s="3059">
        <v>195</v>
      </c>
      <c r="B196" s="3060" t="s">
        <v>3058</v>
      </c>
      <c r="C196" s="3060"/>
      <c r="D196" s="3060">
        <v>2204</v>
      </c>
      <c r="E196" s="3058">
        <v>129.78</v>
      </c>
      <c r="F196" s="3058">
        <v>3245408</v>
      </c>
      <c r="G196" s="3059">
        <f t="shared" si="6"/>
        <v>2862450</v>
      </c>
      <c r="H196" s="3059" t="s">
        <v>3055</v>
      </c>
      <c r="I196" s="3058" t="s">
        <v>3054</v>
      </c>
      <c r="K196" s="3058">
        <f t="shared" si="7"/>
        <v>22056.171983356449</v>
      </c>
    </row>
    <row r="197" spans="1:11">
      <c r="A197" s="3059">
        <v>196</v>
      </c>
      <c r="B197" s="3060" t="s">
        <v>3058</v>
      </c>
      <c r="C197" s="3060"/>
      <c r="D197" s="3060">
        <v>2302</v>
      </c>
      <c r="E197" s="3058">
        <v>130.76</v>
      </c>
      <c r="F197" s="3058">
        <v>3322219</v>
      </c>
      <c r="G197" s="3059">
        <f t="shared" si="6"/>
        <v>2930197</v>
      </c>
      <c r="H197" s="3059" t="s">
        <v>3055</v>
      </c>
      <c r="I197" s="3058" t="s">
        <v>3054</v>
      </c>
      <c r="K197" s="3058">
        <f t="shared" si="7"/>
        <v>22408.970633221172</v>
      </c>
    </row>
    <row r="198" spans="1:11">
      <c r="A198" s="3059">
        <v>197</v>
      </c>
      <c r="B198" s="3060" t="s">
        <v>3058</v>
      </c>
      <c r="C198" s="3060"/>
      <c r="D198" s="3060">
        <v>2303</v>
      </c>
      <c r="E198" s="3058">
        <v>131.53</v>
      </c>
      <c r="F198" s="3058">
        <v>3354936</v>
      </c>
      <c r="G198" s="3059">
        <f t="shared" si="6"/>
        <v>2959054</v>
      </c>
      <c r="H198" s="3059" t="s">
        <v>3055</v>
      </c>
      <c r="I198" s="3058" t="s">
        <v>3054</v>
      </c>
      <c r="K198" s="3058">
        <f t="shared" si="7"/>
        <v>22497.179350718467</v>
      </c>
    </row>
    <row r="199" spans="1:11">
      <c r="A199" s="3059">
        <v>198</v>
      </c>
      <c r="B199" s="3060" t="s">
        <v>3058</v>
      </c>
      <c r="C199" s="3060"/>
      <c r="D199" s="3060">
        <v>2304</v>
      </c>
      <c r="E199" s="3058">
        <v>129.78</v>
      </c>
      <c r="F199" s="3058">
        <v>3238919</v>
      </c>
      <c r="G199" s="3059">
        <f t="shared" si="6"/>
        <v>2856727</v>
      </c>
      <c r="H199" s="3059" t="s">
        <v>3055</v>
      </c>
      <c r="I199" s="3058" t="s">
        <v>3054</v>
      </c>
      <c r="K199" s="3058">
        <f t="shared" si="7"/>
        <v>22012.074279550008</v>
      </c>
    </row>
    <row r="200" spans="1:11">
      <c r="A200" s="3059">
        <v>199</v>
      </c>
      <c r="B200" s="3060" t="s">
        <v>3058</v>
      </c>
      <c r="C200" s="3060"/>
      <c r="D200" s="3060">
        <v>2403</v>
      </c>
      <c r="E200" s="3058">
        <v>131.53</v>
      </c>
      <c r="F200" s="3058">
        <v>3348359</v>
      </c>
      <c r="G200" s="3059">
        <f t="shared" si="6"/>
        <v>2953253</v>
      </c>
      <c r="H200" s="3059" t="s">
        <v>3055</v>
      </c>
      <c r="I200" s="3058" t="s">
        <v>3054</v>
      </c>
      <c r="K200" s="3058">
        <f t="shared" si="7"/>
        <v>22453.075344027977</v>
      </c>
    </row>
    <row r="201" spans="1:11">
      <c r="A201" s="3059">
        <v>200</v>
      </c>
      <c r="B201" s="3060" t="s">
        <v>3058</v>
      </c>
      <c r="C201" s="3060"/>
      <c r="D201" s="3060">
        <v>2404</v>
      </c>
      <c r="E201" s="3058">
        <v>129.78</v>
      </c>
      <c r="F201" s="3058">
        <v>3232430</v>
      </c>
      <c r="G201" s="3059">
        <f t="shared" si="6"/>
        <v>2851003</v>
      </c>
      <c r="H201" s="3059" t="s">
        <v>3055</v>
      </c>
      <c r="I201" s="3058" t="s">
        <v>3054</v>
      </c>
      <c r="K201" s="3058">
        <f t="shared" si="7"/>
        <v>21967.968870396056</v>
      </c>
    </row>
    <row r="202" spans="1:11">
      <c r="A202" s="3059">
        <v>201</v>
      </c>
      <c r="B202" s="3060" t="s">
        <v>3058</v>
      </c>
      <c r="C202" s="3060"/>
      <c r="D202" s="3060">
        <v>2504</v>
      </c>
      <c r="E202" s="3058">
        <v>129.78</v>
      </c>
      <c r="F202" s="3058">
        <v>3225941</v>
      </c>
      <c r="G202" s="3059">
        <f t="shared" si="6"/>
        <v>2845280</v>
      </c>
      <c r="H202" s="3059" t="s">
        <v>3055</v>
      </c>
      <c r="I202" s="3058" t="s">
        <v>3054</v>
      </c>
      <c r="K202" s="3058">
        <f t="shared" si="7"/>
        <v>21923.871166589612</v>
      </c>
    </row>
    <row r="203" spans="1:11">
      <c r="A203" s="3059">
        <v>202</v>
      </c>
      <c r="B203" s="3060" t="s">
        <v>3058</v>
      </c>
      <c r="C203" s="3060"/>
      <c r="D203" s="3060">
        <v>2601</v>
      </c>
      <c r="E203" s="3058">
        <v>143.76</v>
      </c>
      <c r="F203" s="3058">
        <v>3602194</v>
      </c>
      <c r="G203" s="3059">
        <f t="shared" si="6"/>
        <v>3177135</v>
      </c>
      <c r="H203" s="3059" t="s">
        <v>3055</v>
      </c>
      <c r="I203" s="3058" t="s">
        <v>3054</v>
      </c>
      <c r="K203" s="3058">
        <f t="shared" si="7"/>
        <v>22100.271285475796</v>
      </c>
    </row>
    <row r="204" spans="1:11">
      <c r="A204" s="3059">
        <v>203</v>
      </c>
      <c r="B204" s="3060" t="s">
        <v>3058</v>
      </c>
      <c r="C204" s="3060"/>
      <c r="D204" s="3060">
        <v>2602</v>
      </c>
      <c r="E204" s="3058">
        <v>130.76</v>
      </c>
      <c r="F204" s="3058">
        <v>3289529</v>
      </c>
      <c r="G204" s="3059">
        <f t="shared" si="6"/>
        <v>2901365</v>
      </c>
      <c r="H204" s="3059" t="s">
        <v>3055</v>
      </c>
      <c r="I204" s="3058" t="s">
        <v>3054</v>
      </c>
      <c r="K204" s="3058">
        <f t="shared" si="7"/>
        <v>22188.475068828389</v>
      </c>
    </row>
    <row r="205" spans="1:11">
      <c r="A205" s="3059">
        <v>204</v>
      </c>
      <c r="B205" s="3060" t="s">
        <v>3058</v>
      </c>
      <c r="C205" s="3060"/>
      <c r="D205" s="3060">
        <v>2603</v>
      </c>
      <c r="E205" s="3058">
        <v>131.53</v>
      </c>
      <c r="F205" s="3058">
        <v>3322053</v>
      </c>
      <c r="G205" s="3059">
        <f t="shared" si="6"/>
        <v>2930051</v>
      </c>
      <c r="H205" s="3059" t="s">
        <v>3055</v>
      </c>
      <c r="I205" s="3058" t="s">
        <v>3054</v>
      </c>
      <c r="K205" s="3058">
        <f t="shared" si="7"/>
        <v>22276.674522922527</v>
      </c>
    </row>
    <row r="206" spans="1:11">
      <c r="A206" s="3059">
        <v>205</v>
      </c>
      <c r="B206" s="3060" t="s">
        <v>3058</v>
      </c>
      <c r="C206" s="3060"/>
      <c r="D206" s="3060">
        <v>2604</v>
      </c>
      <c r="E206" s="3058">
        <v>129.78</v>
      </c>
      <c r="F206" s="3058">
        <v>3206474</v>
      </c>
      <c r="G206" s="3059">
        <f t="shared" si="6"/>
        <v>2828110</v>
      </c>
      <c r="H206" s="3059" t="s">
        <v>3055</v>
      </c>
      <c r="I206" s="3058" t="s">
        <v>3054</v>
      </c>
      <c r="J206" s="3058">
        <f>SUM(E161:E206)+E210+E211</f>
        <v>6316.72</v>
      </c>
      <c r="K206" s="3058">
        <f t="shared" si="7"/>
        <v>21791.570349822778</v>
      </c>
    </row>
    <row r="207" spans="1:11">
      <c r="A207" s="3059">
        <v>206</v>
      </c>
      <c r="B207" s="3060" t="s">
        <v>3059</v>
      </c>
      <c r="C207" s="3060"/>
      <c r="D207" s="3060">
        <v>301</v>
      </c>
      <c r="E207" s="3058">
        <v>144.6</v>
      </c>
      <c r="F207" s="3058">
        <v>3919672</v>
      </c>
      <c r="G207" s="3059">
        <v>3919672</v>
      </c>
      <c r="H207" s="3059" t="s">
        <v>3055</v>
      </c>
      <c r="I207" s="3058" t="s">
        <v>3057</v>
      </c>
      <c r="K207" s="3058">
        <f t="shared" si="7"/>
        <v>27106.998616874138</v>
      </c>
    </row>
    <row r="208" spans="1:11">
      <c r="A208" s="3059">
        <v>207</v>
      </c>
      <c r="B208" s="3060" t="s">
        <v>3059</v>
      </c>
      <c r="C208" s="3060"/>
      <c r="D208" s="3060">
        <v>302</v>
      </c>
      <c r="E208" s="3058">
        <v>110.14</v>
      </c>
      <c r="F208" s="3058">
        <v>3007593</v>
      </c>
      <c r="G208" s="3059">
        <v>3007593</v>
      </c>
      <c r="H208" s="3059" t="s">
        <v>3055</v>
      </c>
      <c r="I208" s="3058" t="s">
        <v>3057</v>
      </c>
      <c r="K208" s="3058">
        <f t="shared" si="7"/>
        <v>27307.000181587071</v>
      </c>
    </row>
    <row r="209" spans="1:11">
      <c r="A209" s="3059">
        <v>208</v>
      </c>
      <c r="B209" s="3060" t="s">
        <v>3059</v>
      </c>
      <c r="C209" s="3060"/>
      <c r="D209" s="3060">
        <v>303</v>
      </c>
      <c r="E209" s="3058">
        <v>144.6</v>
      </c>
      <c r="F209" s="3058">
        <v>3890752</v>
      </c>
      <c r="G209" s="3059">
        <v>3890752</v>
      </c>
      <c r="H209" s="3059" t="s">
        <v>3055</v>
      </c>
      <c r="I209" s="3058" t="s">
        <v>3057</v>
      </c>
      <c r="K209" s="3058">
        <f t="shared" si="7"/>
        <v>26906.998616874138</v>
      </c>
    </row>
    <row r="210" spans="1:11">
      <c r="A210" s="3059">
        <v>209</v>
      </c>
      <c r="B210" s="3060" t="s">
        <v>3058</v>
      </c>
      <c r="C210" s="3060"/>
      <c r="D210" s="3060">
        <v>303</v>
      </c>
      <c r="E210" s="3058">
        <v>131.53</v>
      </c>
      <c r="F210" s="3058">
        <v>3315477</v>
      </c>
      <c r="G210" s="3059">
        <v>3315477</v>
      </c>
      <c r="H210" s="3059" t="s">
        <v>3055</v>
      </c>
      <c r="I210" s="3058" t="s">
        <v>3057</v>
      </c>
      <c r="K210" s="3058">
        <f t="shared" si="7"/>
        <v>25207.002204820194</v>
      </c>
    </row>
    <row r="211" spans="1:11">
      <c r="A211" s="3059">
        <v>210</v>
      </c>
      <c r="B211" s="3060" t="s">
        <v>3058</v>
      </c>
      <c r="C211" s="3060"/>
      <c r="D211" s="3060">
        <v>304</v>
      </c>
      <c r="E211" s="3058">
        <v>129.78</v>
      </c>
      <c r="F211" s="3058">
        <v>3199985</v>
      </c>
      <c r="G211" s="3059">
        <v>3199985</v>
      </c>
      <c r="H211" s="3059" t="s">
        <v>3055</v>
      </c>
      <c r="I211" s="3058" t="s">
        <v>3057</v>
      </c>
      <c r="K211" s="3058">
        <f t="shared" si="7"/>
        <v>24656.996455540146</v>
      </c>
    </row>
    <row r="212" spans="1:11">
      <c r="A212" s="3059">
        <v>211</v>
      </c>
      <c r="B212" s="3060" t="s">
        <v>3056</v>
      </c>
      <c r="D212" s="3060">
        <v>1702</v>
      </c>
      <c r="E212" s="3058">
        <v>118.14</v>
      </c>
      <c r="G212" s="3059">
        <v>2283380</v>
      </c>
      <c r="H212" s="3059" t="s">
        <v>3055</v>
      </c>
      <c r="I212" s="3058" t="s">
        <v>3054</v>
      </c>
      <c r="K212" s="3058">
        <f t="shared" si="7"/>
        <v>19327.746741154562</v>
      </c>
    </row>
    <row r="213" spans="1:11">
      <c r="A213" s="3059">
        <v>212</v>
      </c>
      <c r="B213" s="3060" t="s">
        <v>3056</v>
      </c>
      <c r="D213" s="3060">
        <v>1902</v>
      </c>
      <c r="E213" s="3058">
        <v>118.14</v>
      </c>
      <c r="G213" s="3059">
        <v>2272157</v>
      </c>
      <c r="H213" s="3059" t="s">
        <v>3055</v>
      </c>
      <c r="I213" s="3058" t="s">
        <v>3054</v>
      </c>
      <c r="K213" s="3058">
        <f t="shared" si="7"/>
        <v>19232.749280514643</v>
      </c>
    </row>
    <row r="214" spans="1:11">
      <c r="K214" s="3058">
        <f>AVERAGE(K2:K213)</f>
        <v>22720.403118416976</v>
      </c>
    </row>
  </sheetData>
  <autoFilter ref="A1:G211"/>
  <phoneticPr fontId="141" type="noConversion"/>
  <pageMargins left="0.75" right="0.75" top="1" bottom="1" header="0.51180555555555551" footer="0.51180555555555551"/>
  <pageSetup paperSize="9" orientation="portrait" horizontalDpi="0" verticalDpi="0"/>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71"/>
  <sheetViews>
    <sheetView zoomScaleSheetLayoutView="100" workbookViewId="0">
      <selection activeCell="L29" sqref="L29"/>
    </sheetView>
  </sheetViews>
  <sheetFormatPr defaultRowHeight="14.25"/>
  <cols>
    <col min="1" max="15" width="9" style="3058"/>
    <col min="16" max="17" width="9.625" style="3058" bestFit="1" customWidth="1"/>
    <col min="18" max="16384" width="9" style="3058"/>
  </cols>
  <sheetData>
    <row r="1" spans="1:19">
      <c r="A1" s="3059">
        <v>1625</v>
      </c>
      <c r="B1" s="3058" t="s">
        <v>3078</v>
      </c>
      <c r="D1" s="3058">
        <v>201</v>
      </c>
      <c r="E1" s="3058">
        <v>114.51</v>
      </c>
      <c r="F1" s="3058">
        <v>22500</v>
      </c>
      <c r="G1" s="3059">
        <f t="shared" ref="G1:G64" si="0">E1*F1</f>
        <v>2576475</v>
      </c>
      <c r="H1" s="3059" t="s">
        <v>3055</v>
      </c>
      <c r="I1" s="3058" t="s">
        <v>3072</v>
      </c>
      <c r="K1" s="3061"/>
      <c r="L1" s="3061"/>
      <c r="M1" s="3061"/>
      <c r="N1" s="3061"/>
      <c r="O1" s="3061"/>
      <c r="Q1" s="3058">
        <v>0.45</v>
      </c>
      <c r="R1" s="3058">
        <v>0.15</v>
      </c>
      <c r="S1" s="3058">
        <v>0.4</v>
      </c>
    </row>
    <row r="2" spans="1:19">
      <c r="A2" s="3059">
        <v>1626</v>
      </c>
      <c r="B2" s="3058" t="s">
        <v>3078</v>
      </c>
      <c r="D2" s="3058">
        <v>301</v>
      </c>
      <c r="E2" s="3058">
        <v>114.51</v>
      </c>
      <c r="F2" s="3058">
        <v>22500</v>
      </c>
      <c r="G2" s="3059">
        <f t="shared" si="0"/>
        <v>2576475</v>
      </c>
      <c r="H2" s="3059" t="s">
        <v>3055</v>
      </c>
      <c r="I2" s="3058" t="s">
        <v>3072</v>
      </c>
      <c r="K2" s="3089"/>
      <c r="L2" s="3089" t="s">
        <v>4720</v>
      </c>
      <c r="M2" s="3089" t="s">
        <v>4721</v>
      </c>
      <c r="N2" s="3089" t="s">
        <v>4722</v>
      </c>
      <c r="O2" s="3089" t="s">
        <v>4723</v>
      </c>
      <c r="P2" s="3089" t="s">
        <v>4724</v>
      </c>
      <c r="Q2" s="3090" t="s">
        <v>4725</v>
      </c>
      <c r="R2" s="3090" t="s">
        <v>4726</v>
      </c>
      <c r="S2" s="3090" t="s">
        <v>4727</v>
      </c>
    </row>
    <row r="3" spans="1:19">
      <c r="A3" s="3059">
        <v>1627</v>
      </c>
      <c r="B3" s="3058" t="s">
        <v>3078</v>
      </c>
      <c r="D3" s="3058">
        <v>401</v>
      </c>
      <c r="E3" s="3058">
        <v>114.51</v>
      </c>
      <c r="F3" s="3058">
        <v>22500</v>
      </c>
      <c r="G3" s="3059">
        <f t="shared" si="0"/>
        <v>2576475</v>
      </c>
      <c r="H3" s="3059" t="s">
        <v>3055</v>
      </c>
      <c r="I3" s="3058" t="s">
        <v>3072</v>
      </c>
      <c r="K3" s="3089" t="s">
        <v>4728</v>
      </c>
      <c r="L3" s="3090">
        <f>J100</f>
        <v>10851.500000000005</v>
      </c>
      <c r="M3" s="3090">
        <v>26</v>
      </c>
      <c r="N3" s="3090">
        <v>0</v>
      </c>
      <c r="O3" s="3090"/>
      <c r="P3" s="3090">
        <f>Q3+R3</f>
        <v>0</v>
      </c>
      <c r="Q3" s="3090">
        <f>N3/M3*$Q$1</f>
        <v>0</v>
      </c>
      <c r="R3" s="3090">
        <f>O3/M3*$R$1</f>
        <v>0</v>
      </c>
      <c r="S3" s="3090"/>
    </row>
    <row r="4" spans="1:19">
      <c r="A4" s="3059">
        <v>1628</v>
      </c>
      <c r="B4" s="3058" t="s">
        <v>3078</v>
      </c>
      <c r="D4" s="3058">
        <v>501</v>
      </c>
      <c r="E4" s="3058">
        <v>114.51</v>
      </c>
      <c r="F4" s="3058">
        <v>22500</v>
      </c>
      <c r="G4" s="3059">
        <f t="shared" si="0"/>
        <v>2576475</v>
      </c>
      <c r="H4" s="3059" t="s">
        <v>3055</v>
      </c>
      <c r="I4" s="3058" t="s">
        <v>3072</v>
      </c>
      <c r="K4" s="3089" t="s">
        <v>4729</v>
      </c>
      <c r="L4" s="3090">
        <f>J196</f>
        <v>10422.959999999992</v>
      </c>
      <c r="M4" s="3090">
        <v>25</v>
      </c>
      <c r="N4" s="3090">
        <v>0</v>
      </c>
      <c r="O4" s="3090"/>
      <c r="P4" s="3091">
        <f t="shared" ref="P4:P15" si="1">Q4+R4</f>
        <v>0</v>
      </c>
      <c r="Q4" s="3090">
        <f t="shared" ref="Q4:Q15" si="2">N4/M4*$Q$1</f>
        <v>0</v>
      </c>
      <c r="R4" s="3090">
        <f t="shared" ref="R4:R18" si="3">O4/M4*$R$1</f>
        <v>0</v>
      </c>
      <c r="S4" s="3090"/>
    </row>
    <row r="5" spans="1:19">
      <c r="A5" s="3059">
        <v>1629</v>
      </c>
      <c r="B5" s="3058" t="s">
        <v>3078</v>
      </c>
      <c r="D5" s="3058">
        <v>601</v>
      </c>
      <c r="E5" s="3058">
        <v>114.51</v>
      </c>
      <c r="F5" s="3058">
        <v>22500</v>
      </c>
      <c r="G5" s="3059">
        <f t="shared" si="0"/>
        <v>2576475</v>
      </c>
      <c r="H5" s="3059" t="s">
        <v>3055</v>
      </c>
      <c r="I5" s="3058" t="s">
        <v>3072</v>
      </c>
      <c r="K5" s="3089" t="s">
        <v>3089</v>
      </c>
      <c r="L5" s="3090">
        <f>J290</f>
        <v>11997.429999999997</v>
      </c>
      <c r="M5" s="3090">
        <v>24</v>
      </c>
      <c r="N5" s="3090">
        <v>0</v>
      </c>
      <c r="O5" s="3090"/>
      <c r="P5" s="3091">
        <f t="shared" si="1"/>
        <v>0</v>
      </c>
      <c r="Q5" s="3090">
        <f t="shared" si="2"/>
        <v>0</v>
      </c>
      <c r="R5" s="3090">
        <f t="shared" si="3"/>
        <v>0</v>
      </c>
      <c r="S5" s="3090"/>
    </row>
    <row r="6" spans="1:19">
      <c r="A6" s="3059">
        <v>1630</v>
      </c>
      <c r="B6" s="3058" t="s">
        <v>3078</v>
      </c>
      <c r="D6" s="3058">
        <v>701</v>
      </c>
      <c r="E6" s="3058">
        <v>114.51</v>
      </c>
      <c r="F6" s="3058">
        <v>22500</v>
      </c>
      <c r="G6" s="3059">
        <f t="shared" si="0"/>
        <v>2576475</v>
      </c>
      <c r="H6" s="3059" t="s">
        <v>3055</v>
      </c>
      <c r="I6" s="3058" t="s">
        <v>3072</v>
      </c>
      <c r="K6" s="3089" t="s">
        <v>3088</v>
      </c>
      <c r="L6" s="3090">
        <f>J384</f>
        <v>11795.849999999988</v>
      </c>
      <c r="M6" s="3090">
        <v>24</v>
      </c>
      <c r="N6" s="3090">
        <v>0</v>
      </c>
      <c r="O6" s="3090"/>
      <c r="P6" s="3091">
        <f t="shared" si="1"/>
        <v>0</v>
      </c>
      <c r="Q6" s="3090">
        <f t="shared" si="2"/>
        <v>0</v>
      </c>
      <c r="R6" s="3090">
        <f t="shared" si="3"/>
        <v>0</v>
      </c>
      <c r="S6" s="3090"/>
    </row>
    <row r="7" spans="1:19">
      <c r="A7" s="3059">
        <v>1631</v>
      </c>
      <c r="B7" s="3058" t="s">
        <v>3078</v>
      </c>
      <c r="D7" s="3058">
        <v>801</v>
      </c>
      <c r="E7" s="3058">
        <v>114.51</v>
      </c>
      <c r="F7" s="3058">
        <v>22500</v>
      </c>
      <c r="G7" s="3059">
        <f t="shared" si="0"/>
        <v>2576475</v>
      </c>
      <c r="H7" s="3059" t="s">
        <v>3055</v>
      </c>
      <c r="I7" s="3058" t="s">
        <v>3072</v>
      </c>
      <c r="K7" s="3089" t="s">
        <v>3087</v>
      </c>
      <c r="L7" s="3090">
        <f>J468</f>
        <v>11313.120000000014</v>
      </c>
      <c r="M7" s="3090">
        <v>22</v>
      </c>
      <c r="N7" s="3090">
        <v>0</v>
      </c>
      <c r="O7" s="3090"/>
      <c r="P7" s="3091">
        <f t="shared" si="1"/>
        <v>0</v>
      </c>
      <c r="Q7" s="3090">
        <f t="shared" si="2"/>
        <v>0</v>
      </c>
      <c r="R7" s="3090">
        <f t="shared" si="3"/>
        <v>0</v>
      </c>
      <c r="S7" s="3090"/>
    </row>
    <row r="8" spans="1:19">
      <c r="A8" s="3059">
        <v>1632</v>
      </c>
      <c r="B8" s="3058" t="s">
        <v>3078</v>
      </c>
      <c r="D8" s="3058">
        <v>901</v>
      </c>
      <c r="E8" s="3058">
        <v>114.51</v>
      </c>
      <c r="F8" s="3058">
        <v>22500</v>
      </c>
      <c r="G8" s="3059">
        <f t="shared" si="0"/>
        <v>2576475</v>
      </c>
      <c r="H8" s="3059" t="s">
        <v>3055</v>
      </c>
      <c r="I8" s="3058" t="s">
        <v>3072</v>
      </c>
      <c r="K8" s="3089" t="s">
        <v>3086</v>
      </c>
      <c r="L8" s="3090">
        <f>J568</f>
        <v>12492.000000000016</v>
      </c>
      <c r="M8" s="3090">
        <v>26</v>
      </c>
      <c r="N8" s="3090">
        <v>0</v>
      </c>
      <c r="O8" s="3090"/>
      <c r="P8" s="3091">
        <f t="shared" si="1"/>
        <v>0</v>
      </c>
      <c r="Q8" s="3090">
        <f t="shared" si="2"/>
        <v>0</v>
      </c>
      <c r="R8" s="3090">
        <f t="shared" si="3"/>
        <v>0</v>
      </c>
      <c r="S8" s="3090"/>
    </row>
    <row r="9" spans="1:19">
      <c r="A9" s="3059">
        <v>1633</v>
      </c>
      <c r="B9" s="3058" t="s">
        <v>3078</v>
      </c>
      <c r="D9" s="3058">
        <v>1001</v>
      </c>
      <c r="E9" s="3058">
        <v>114.51</v>
      </c>
      <c r="F9" s="3058">
        <v>22500</v>
      </c>
      <c r="G9" s="3059">
        <f t="shared" si="0"/>
        <v>2576475</v>
      </c>
      <c r="H9" s="3059" t="s">
        <v>3055</v>
      </c>
      <c r="I9" s="3058" t="s">
        <v>3072</v>
      </c>
      <c r="K9" s="3092" t="s">
        <v>3085</v>
      </c>
      <c r="L9" s="3092">
        <f>已取证未售!J107</f>
        <v>2801.15</v>
      </c>
      <c r="M9" s="3092">
        <v>26</v>
      </c>
      <c r="N9" s="3092">
        <v>18</v>
      </c>
      <c r="O9" s="3092">
        <v>4</v>
      </c>
      <c r="P9" s="3093">
        <f t="shared" si="1"/>
        <v>0.33461538461538465</v>
      </c>
      <c r="Q9" s="3093">
        <f t="shared" si="2"/>
        <v>0.31153846153846154</v>
      </c>
      <c r="R9" s="3093">
        <f t="shared" si="3"/>
        <v>2.3076923076923078E-2</v>
      </c>
      <c r="S9" s="3090"/>
    </row>
    <row r="10" spans="1:19">
      <c r="A10" s="3059">
        <v>1634</v>
      </c>
      <c r="B10" s="3058" t="s">
        <v>3078</v>
      </c>
      <c r="D10" s="3058">
        <v>1101</v>
      </c>
      <c r="E10" s="3058">
        <v>114.51</v>
      </c>
      <c r="F10" s="3058">
        <v>22500</v>
      </c>
      <c r="G10" s="3059">
        <f t="shared" si="0"/>
        <v>2576475</v>
      </c>
      <c r="H10" s="3059" t="s">
        <v>3055</v>
      </c>
      <c r="I10" s="3058" t="s">
        <v>3072</v>
      </c>
      <c r="K10" s="3094" t="s">
        <v>3084</v>
      </c>
      <c r="L10" s="3094">
        <f>已取证未售!J160+已取证未售!E207+已取证未售!E208+已取证未售!E209</f>
        <v>7758.8900000000076</v>
      </c>
      <c r="M10" s="3094">
        <v>26</v>
      </c>
      <c r="N10" s="3094">
        <v>22</v>
      </c>
      <c r="O10" s="3094">
        <v>5</v>
      </c>
      <c r="P10" s="3066">
        <f t="shared" si="1"/>
        <v>0.4096153846153846</v>
      </c>
      <c r="Q10" s="3066">
        <f t="shared" si="2"/>
        <v>0.38076923076923075</v>
      </c>
      <c r="R10" s="3066">
        <f t="shared" si="3"/>
        <v>2.8846153846153848E-2</v>
      </c>
      <c r="S10" s="3090"/>
    </row>
    <row r="11" spans="1:19">
      <c r="A11" s="3059">
        <v>1635</v>
      </c>
      <c r="B11" s="3058" t="s">
        <v>3078</v>
      </c>
      <c r="D11" s="3058">
        <v>1201</v>
      </c>
      <c r="E11" s="3058">
        <v>114.51</v>
      </c>
      <c r="F11" s="3058">
        <v>22500</v>
      </c>
      <c r="G11" s="3059">
        <f t="shared" si="0"/>
        <v>2576475</v>
      </c>
      <c r="H11" s="3059" t="s">
        <v>3055</v>
      </c>
      <c r="I11" s="3058" t="s">
        <v>3072</v>
      </c>
      <c r="K11" s="3094" t="s">
        <v>3083</v>
      </c>
      <c r="L11" s="3094">
        <f>已取证未售!J206+已取证未售!E210+已取证未售!E211</f>
        <v>6578.03</v>
      </c>
      <c r="M11" s="3094">
        <v>26</v>
      </c>
      <c r="N11" s="3094">
        <v>22</v>
      </c>
      <c r="O11" s="3094">
        <v>5</v>
      </c>
      <c r="P11" s="3066">
        <f t="shared" si="1"/>
        <v>0.4096153846153846</v>
      </c>
      <c r="Q11" s="3066">
        <f t="shared" si="2"/>
        <v>0.38076923076923075</v>
      </c>
      <c r="R11" s="3066">
        <f t="shared" si="3"/>
        <v>2.8846153846153848E-2</v>
      </c>
      <c r="S11" s="3090"/>
    </row>
    <row r="12" spans="1:19">
      <c r="A12" s="3059">
        <v>1636</v>
      </c>
      <c r="B12" s="3058" t="s">
        <v>3078</v>
      </c>
      <c r="D12" s="3058">
        <v>1301</v>
      </c>
      <c r="E12" s="3058">
        <v>114.51</v>
      </c>
      <c r="F12" s="3058">
        <v>22500</v>
      </c>
      <c r="G12" s="3059">
        <f t="shared" si="0"/>
        <v>2576475</v>
      </c>
      <c r="H12" s="3059" t="s">
        <v>3055</v>
      </c>
      <c r="I12" s="3058" t="s">
        <v>3072</v>
      </c>
      <c r="K12" s="3092" t="s">
        <v>3082</v>
      </c>
      <c r="L12" s="3092">
        <f>已取证未售!J21+已取证未售!E212+已取证未售!E213</f>
        <v>3112.58</v>
      </c>
      <c r="M12" s="3092">
        <v>26</v>
      </c>
      <c r="N12" s="3092">
        <v>18</v>
      </c>
      <c r="O12" s="3092">
        <v>5</v>
      </c>
      <c r="P12" s="3065">
        <f t="shared" si="1"/>
        <v>0.3403846153846154</v>
      </c>
      <c r="Q12" s="3065">
        <f t="shared" si="2"/>
        <v>0.31153846153846154</v>
      </c>
      <c r="R12" s="3065">
        <f t="shared" si="3"/>
        <v>2.8846153846153848E-2</v>
      </c>
      <c r="S12" s="3090"/>
    </row>
    <row r="13" spans="1:19">
      <c r="A13" s="3059">
        <v>1637</v>
      </c>
      <c r="B13" s="3058" t="s">
        <v>3078</v>
      </c>
      <c r="D13" s="3058">
        <v>1401</v>
      </c>
      <c r="E13" s="3058">
        <v>114.51</v>
      </c>
      <c r="F13" s="3058">
        <v>22500</v>
      </c>
      <c r="G13" s="3059">
        <f t="shared" si="0"/>
        <v>2576475</v>
      </c>
      <c r="H13" s="3059" t="s">
        <v>3055</v>
      </c>
      <c r="I13" s="3058" t="s">
        <v>3072</v>
      </c>
      <c r="K13" s="3095" t="s">
        <v>3081</v>
      </c>
      <c r="L13" s="3095">
        <f>已取证未售!J46</f>
        <v>3174.3200000000006</v>
      </c>
      <c r="M13" s="3095">
        <v>26</v>
      </c>
      <c r="N13" s="3095">
        <v>15</v>
      </c>
      <c r="O13" s="3095">
        <v>5</v>
      </c>
      <c r="P13" s="3067">
        <f t="shared" si="1"/>
        <v>0.28846153846153844</v>
      </c>
      <c r="Q13" s="3067">
        <f t="shared" si="2"/>
        <v>0.25961538461538458</v>
      </c>
      <c r="R13" s="3067">
        <f t="shared" si="3"/>
        <v>2.8846153846153848E-2</v>
      </c>
      <c r="S13" s="3090"/>
    </row>
    <row r="14" spans="1:19">
      <c r="A14" s="3059">
        <v>1638</v>
      </c>
      <c r="B14" s="3058" t="s">
        <v>3078</v>
      </c>
      <c r="D14" s="3058">
        <v>1501</v>
      </c>
      <c r="E14" s="3058">
        <v>114.51</v>
      </c>
      <c r="F14" s="3058">
        <v>22500</v>
      </c>
      <c r="G14" s="3059">
        <f t="shared" si="0"/>
        <v>2576475</v>
      </c>
      <c r="H14" s="3059" t="s">
        <v>3055</v>
      </c>
      <c r="I14" s="3058" t="s">
        <v>3072</v>
      </c>
      <c r="K14" s="3095" t="s">
        <v>3080</v>
      </c>
      <c r="L14" s="3095">
        <f>已取证未售!J78</f>
        <v>4150.4099999999989</v>
      </c>
      <c r="M14" s="3095">
        <v>26</v>
      </c>
      <c r="N14" s="3095">
        <v>16</v>
      </c>
      <c r="O14" s="3095">
        <v>3</v>
      </c>
      <c r="P14" s="3067">
        <f t="shared" si="1"/>
        <v>0.29423076923076924</v>
      </c>
      <c r="Q14" s="3067">
        <f t="shared" si="2"/>
        <v>0.27692307692307694</v>
      </c>
      <c r="R14" s="3067">
        <f t="shared" si="3"/>
        <v>1.7307692307692309E-2</v>
      </c>
      <c r="S14" s="3090"/>
    </row>
    <row r="15" spans="1:19">
      <c r="A15" s="3059">
        <v>1639</v>
      </c>
      <c r="B15" s="3058" t="s">
        <v>3078</v>
      </c>
      <c r="D15" s="3058">
        <v>1601</v>
      </c>
      <c r="E15" s="3058">
        <v>114.51</v>
      </c>
      <c r="F15" s="3058">
        <v>22500</v>
      </c>
      <c r="G15" s="3059">
        <f t="shared" si="0"/>
        <v>2576475</v>
      </c>
      <c r="H15" s="3059" t="s">
        <v>3055</v>
      </c>
      <c r="I15" s="3058" t="s">
        <v>3072</v>
      </c>
      <c r="K15" s="3092" t="s">
        <v>3079</v>
      </c>
      <c r="L15" s="3092">
        <f>已取证未售!J86</f>
        <v>878.29</v>
      </c>
      <c r="M15" s="3092">
        <v>26</v>
      </c>
      <c r="N15" s="3092">
        <v>18</v>
      </c>
      <c r="O15" s="3092">
        <v>3</v>
      </c>
      <c r="P15" s="3065">
        <f t="shared" si="1"/>
        <v>0.32884615384615384</v>
      </c>
      <c r="Q15" s="3065">
        <f t="shared" si="2"/>
        <v>0.31153846153846154</v>
      </c>
      <c r="R15" s="3065">
        <f t="shared" si="3"/>
        <v>1.7307692307692309E-2</v>
      </c>
      <c r="S15" s="3090"/>
    </row>
    <row r="16" spans="1:19">
      <c r="A16" s="3059">
        <v>1640</v>
      </c>
      <c r="B16" s="3058" t="s">
        <v>3078</v>
      </c>
      <c r="D16" s="3058">
        <v>1701</v>
      </c>
      <c r="E16" s="3058">
        <v>114.51</v>
      </c>
      <c r="F16" s="3058">
        <v>22500</v>
      </c>
      <c r="G16" s="3059">
        <f t="shared" si="0"/>
        <v>2576475</v>
      </c>
      <c r="H16" s="3059" t="s">
        <v>3055</v>
      </c>
      <c r="I16" s="3058" t="s">
        <v>3072</v>
      </c>
      <c r="K16" s="3089" t="s">
        <v>4730</v>
      </c>
      <c r="L16" s="3090">
        <f>商业!J12</f>
        <v>1222.7700000000002</v>
      </c>
      <c r="M16" s="3090">
        <v>2</v>
      </c>
      <c r="N16" s="3090">
        <v>2</v>
      </c>
      <c r="O16" s="3090">
        <v>2</v>
      </c>
      <c r="P16" s="3065">
        <v>0.8</v>
      </c>
      <c r="Q16" s="3096">
        <f>N16/M16</f>
        <v>1</v>
      </c>
      <c r="R16" s="3097">
        <f>O16/M16</f>
        <v>1</v>
      </c>
      <c r="S16" s="3090"/>
    </row>
    <row r="17" spans="1:19">
      <c r="A17" s="3059">
        <v>1641</v>
      </c>
      <c r="B17" s="3058" t="s">
        <v>3078</v>
      </c>
      <c r="D17" s="3058">
        <v>1801</v>
      </c>
      <c r="E17" s="3058">
        <v>114.51</v>
      </c>
      <c r="F17" s="3058">
        <v>22500</v>
      </c>
      <c r="G17" s="3059">
        <f t="shared" si="0"/>
        <v>2576475</v>
      </c>
      <c r="H17" s="3059" t="s">
        <v>3055</v>
      </c>
      <c r="I17" s="3058" t="s">
        <v>3072</v>
      </c>
      <c r="K17" s="3089" t="s">
        <v>4731</v>
      </c>
      <c r="L17" s="3090">
        <f>商业!J17</f>
        <v>583.78</v>
      </c>
      <c r="M17" s="3090">
        <v>2</v>
      </c>
      <c r="N17" s="3090">
        <v>2</v>
      </c>
      <c r="O17" s="3090">
        <v>0</v>
      </c>
      <c r="P17" s="3065">
        <v>0.45</v>
      </c>
      <c r="Q17" s="3096">
        <f>N17/M17</f>
        <v>1</v>
      </c>
      <c r="R17" s="3097">
        <f>O17/M17</f>
        <v>0</v>
      </c>
      <c r="S17" s="3090"/>
    </row>
    <row r="18" spans="1:19">
      <c r="A18" s="3059">
        <v>1642</v>
      </c>
      <c r="B18" s="3058" t="s">
        <v>3078</v>
      </c>
      <c r="D18" s="3058">
        <v>1901</v>
      </c>
      <c r="E18" s="3058">
        <v>114.51</v>
      </c>
      <c r="F18" s="3058">
        <v>22500</v>
      </c>
      <c r="G18" s="3059">
        <f t="shared" si="0"/>
        <v>2576475</v>
      </c>
      <c r="H18" s="3059" t="s">
        <v>3055</v>
      </c>
      <c r="I18" s="3058" t="s">
        <v>3072</v>
      </c>
      <c r="K18" s="3089" t="s">
        <v>4732</v>
      </c>
      <c r="L18" s="3090">
        <f>商业!J24</f>
        <v>684.26</v>
      </c>
      <c r="M18" s="3090">
        <v>1</v>
      </c>
      <c r="N18" s="3090">
        <v>0</v>
      </c>
      <c r="O18" s="3090">
        <v>0</v>
      </c>
      <c r="P18" s="3092">
        <v>0</v>
      </c>
      <c r="Q18" s="3092">
        <f>N18/M18*0.5</f>
        <v>0</v>
      </c>
      <c r="R18" s="3092">
        <f t="shared" si="3"/>
        <v>0</v>
      </c>
      <c r="S18" s="3090"/>
    </row>
    <row r="19" spans="1:19">
      <c r="A19" s="3059">
        <v>1643</v>
      </c>
      <c r="B19" s="3058" t="s">
        <v>3078</v>
      </c>
      <c r="D19" s="3058">
        <v>2001</v>
      </c>
      <c r="E19" s="3058">
        <v>114.51</v>
      </c>
      <c r="F19" s="3058">
        <v>22500</v>
      </c>
      <c r="G19" s="3059">
        <f t="shared" si="0"/>
        <v>2576475</v>
      </c>
      <c r="H19" s="3059" t="s">
        <v>3055</v>
      </c>
      <c r="I19" s="3058" t="s">
        <v>3072</v>
      </c>
      <c r="K19" s="3061"/>
    </row>
    <row r="20" spans="1:19">
      <c r="A20" s="3059">
        <v>1644</v>
      </c>
      <c r="B20" s="3058" t="s">
        <v>3078</v>
      </c>
      <c r="D20" s="3058">
        <v>2101</v>
      </c>
      <c r="E20" s="3058">
        <v>114.51</v>
      </c>
      <c r="F20" s="3058">
        <v>22500</v>
      </c>
      <c r="G20" s="3059">
        <f t="shared" si="0"/>
        <v>2576475</v>
      </c>
      <c r="H20" s="3059" t="s">
        <v>3055</v>
      </c>
      <c r="I20" s="3058" t="s">
        <v>3072</v>
      </c>
      <c r="K20" s="3061"/>
    </row>
    <row r="21" spans="1:19">
      <c r="A21" s="3059">
        <v>1645</v>
      </c>
      <c r="B21" s="3058" t="s">
        <v>3078</v>
      </c>
      <c r="D21" s="3058">
        <v>2201</v>
      </c>
      <c r="E21" s="3058">
        <v>114.51</v>
      </c>
      <c r="F21" s="3058">
        <v>22500</v>
      </c>
      <c r="G21" s="3059">
        <f t="shared" si="0"/>
        <v>2576475</v>
      </c>
      <c r="H21" s="3059" t="s">
        <v>3055</v>
      </c>
      <c r="I21" s="3058" t="s">
        <v>3072</v>
      </c>
      <c r="K21" s="3061"/>
    </row>
    <row r="22" spans="1:19">
      <c r="A22" s="3059">
        <v>1646</v>
      </c>
      <c r="B22" s="3058" t="s">
        <v>3078</v>
      </c>
      <c r="D22" s="3058">
        <v>2301</v>
      </c>
      <c r="E22" s="3058">
        <v>114.51</v>
      </c>
      <c r="F22" s="3058">
        <v>22500</v>
      </c>
      <c r="G22" s="3059">
        <f t="shared" si="0"/>
        <v>2576475</v>
      </c>
      <c r="H22" s="3059" t="s">
        <v>3055</v>
      </c>
      <c r="I22" s="3058" t="s">
        <v>3072</v>
      </c>
      <c r="K22" s="3061"/>
    </row>
    <row r="23" spans="1:19">
      <c r="A23" s="3059">
        <v>1647</v>
      </c>
      <c r="B23" s="3058" t="s">
        <v>3078</v>
      </c>
      <c r="D23" s="3058">
        <v>2401</v>
      </c>
      <c r="E23" s="3058">
        <v>114.51</v>
      </c>
      <c r="F23" s="3058">
        <v>22500</v>
      </c>
      <c r="G23" s="3059">
        <f t="shared" si="0"/>
        <v>2576475</v>
      </c>
      <c r="H23" s="3059" t="s">
        <v>3055</v>
      </c>
      <c r="I23" s="3058" t="s">
        <v>3072</v>
      </c>
    </row>
    <row r="24" spans="1:19">
      <c r="A24" s="3059">
        <v>1648</v>
      </c>
      <c r="B24" s="3058" t="s">
        <v>3078</v>
      </c>
      <c r="D24" s="3058">
        <v>2501</v>
      </c>
      <c r="E24" s="3058">
        <v>114.51</v>
      </c>
      <c r="F24" s="3058">
        <v>22500</v>
      </c>
      <c r="G24" s="3059">
        <f t="shared" si="0"/>
        <v>2576475</v>
      </c>
      <c r="H24" s="3059" t="s">
        <v>3055</v>
      </c>
      <c r="I24" s="3058" t="s">
        <v>3072</v>
      </c>
    </row>
    <row r="25" spans="1:19">
      <c r="A25" s="3059">
        <v>1649</v>
      </c>
      <c r="B25" s="3058" t="s">
        <v>3078</v>
      </c>
      <c r="D25" s="3058">
        <v>2601</v>
      </c>
      <c r="E25" s="3058">
        <v>114.51</v>
      </c>
      <c r="F25" s="3058">
        <v>22500</v>
      </c>
      <c r="G25" s="3059">
        <f t="shared" si="0"/>
        <v>2576475</v>
      </c>
      <c r="H25" s="3059" t="s">
        <v>3055</v>
      </c>
      <c r="I25" s="3058" t="s">
        <v>3072</v>
      </c>
    </row>
    <row r="26" spans="1:19">
      <c r="A26" s="3059">
        <v>1650</v>
      </c>
      <c r="B26" s="3058" t="s">
        <v>3078</v>
      </c>
      <c r="D26" s="3058">
        <v>202</v>
      </c>
      <c r="E26" s="3058">
        <v>102.55</v>
      </c>
      <c r="F26" s="3058">
        <v>22500</v>
      </c>
      <c r="G26" s="3059">
        <f t="shared" si="0"/>
        <v>2307375</v>
      </c>
      <c r="H26" s="3059" t="s">
        <v>3055</v>
      </c>
      <c r="I26" s="3058" t="s">
        <v>3072</v>
      </c>
    </row>
    <row r="27" spans="1:19">
      <c r="A27" s="3059">
        <v>1651</v>
      </c>
      <c r="B27" s="3058" t="s">
        <v>3078</v>
      </c>
      <c r="D27" s="3058">
        <v>302</v>
      </c>
      <c r="E27" s="3058">
        <v>102.55</v>
      </c>
      <c r="F27" s="3058">
        <v>22500</v>
      </c>
      <c r="G27" s="3059">
        <f t="shared" si="0"/>
        <v>2307375</v>
      </c>
      <c r="H27" s="3059" t="s">
        <v>3055</v>
      </c>
      <c r="I27" s="3058" t="s">
        <v>3072</v>
      </c>
    </row>
    <row r="28" spans="1:19">
      <c r="A28" s="3059">
        <v>1652</v>
      </c>
      <c r="B28" s="3058" t="s">
        <v>3078</v>
      </c>
      <c r="D28" s="3058">
        <v>402</v>
      </c>
      <c r="E28" s="3058">
        <v>102.55</v>
      </c>
      <c r="F28" s="3058">
        <v>22500</v>
      </c>
      <c r="G28" s="3059">
        <f t="shared" si="0"/>
        <v>2307375</v>
      </c>
      <c r="H28" s="3059" t="s">
        <v>3055</v>
      </c>
      <c r="I28" s="3058" t="s">
        <v>3072</v>
      </c>
    </row>
    <row r="29" spans="1:19">
      <c r="A29" s="3059">
        <v>1653</v>
      </c>
      <c r="B29" s="3058" t="s">
        <v>3078</v>
      </c>
      <c r="D29" s="3058">
        <v>502</v>
      </c>
      <c r="E29" s="3058">
        <v>102.55</v>
      </c>
      <c r="F29" s="3058">
        <v>22500</v>
      </c>
      <c r="G29" s="3059">
        <f t="shared" si="0"/>
        <v>2307375</v>
      </c>
      <c r="H29" s="3059" t="s">
        <v>3055</v>
      </c>
      <c r="I29" s="3058" t="s">
        <v>3072</v>
      </c>
    </row>
    <row r="30" spans="1:19">
      <c r="A30" s="3059">
        <v>1654</v>
      </c>
      <c r="B30" s="3058" t="s">
        <v>3078</v>
      </c>
      <c r="D30" s="3058">
        <v>602</v>
      </c>
      <c r="E30" s="3058">
        <v>102.55</v>
      </c>
      <c r="F30" s="3058">
        <v>22500</v>
      </c>
      <c r="G30" s="3059">
        <f t="shared" si="0"/>
        <v>2307375</v>
      </c>
      <c r="H30" s="3059" t="s">
        <v>3055</v>
      </c>
      <c r="I30" s="3058" t="s">
        <v>3072</v>
      </c>
    </row>
    <row r="31" spans="1:19">
      <c r="A31" s="3059">
        <v>1655</v>
      </c>
      <c r="B31" s="3058" t="s">
        <v>3078</v>
      </c>
      <c r="D31" s="3058">
        <v>702</v>
      </c>
      <c r="E31" s="3058">
        <v>102.55</v>
      </c>
      <c r="F31" s="3058">
        <v>22500</v>
      </c>
      <c r="G31" s="3059">
        <f t="shared" si="0"/>
        <v>2307375</v>
      </c>
      <c r="H31" s="3059" t="s">
        <v>3055</v>
      </c>
      <c r="I31" s="3058" t="s">
        <v>3072</v>
      </c>
    </row>
    <row r="32" spans="1:19">
      <c r="A32" s="3059">
        <v>1656</v>
      </c>
      <c r="B32" s="3058" t="s">
        <v>3078</v>
      </c>
      <c r="D32" s="3058">
        <v>802</v>
      </c>
      <c r="E32" s="3058">
        <v>102.55</v>
      </c>
      <c r="F32" s="3058">
        <v>22500</v>
      </c>
      <c r="G32" s="3059">
        <f t="shared" si="0"/>
        <v>2307375</v>
      </c>
      <c r="H32" s="3059" t="s">
        <v>3055</v>
      </c>
      <c r="I32" s="3058" t="s">
        <v>3072</v>
      </c>
    </row>
    <row r="33" spans="1:9">
      <c r="A33" s="3059">
        <v>1657</v>
      </c>
      <c r="B33" s="3058" t="s">
        <v>3078</v>
      </c>
      <c r="D33" s="3058">
        <v>902</v>
      </c>
      <c r="E33" s="3058">
        <v>102.55</v>
      </c>
      <c r="F33" s="3058">
        <v>22500</v>
      </c>
      <c r="G33" s="3059">
        <f t="shared" si="0"/>
        <v>2307375</v>
      </c>
      <c r="H33" s="3059" t="s">
        <v>3055</v>
      </c>
      <c r="I33" s="3058" t="s">
        <v>3072</v>
      </c>
    </row>
    <row r="34" spans="1:9">
      <c r="A34" s="3059">
        <v>1658</v>
      </c>
      <c r="B34" s="3058" t="s">
        <v>3078</v>
      </c>
      <c r="D34" s="3058">
        <v>1002</v>
      </c>
      <c r="E34" s="3058">
        <v>102.55</v>
      </c>
      <c r="F34" s="3058">
        <v>22500</v>
      </c>
      <c r="G34" s="3059">
        <f t="shared" si="0"/>
        <v>2307375</v>
      </c>
      <c r="H34" s="3059" t="s">
        <v>3055</v>
      </c>
      <c r="I34" s="3058" t="s">
        <v>3072</v>
      </c>
    </row>
    <row r="35" spans="1:9">
      <c r="A35" s="3059">
        <v>1659</v>
      </c>
      <c r="B35" s="3058" t="s">
        <v>3078</v>
      </c>
      <c r="D35" s="3058">
        <v>1102</v>
      </c>
      <c r="E35" s="3058">
        <v>102.55</v>
      </c>
      <c r="F35" s="3058">
        <v>22500</v>
      </c>
      <c r="G35" s="3059">
        <f t="shared" si="0"/>
        <v>2307375</v>
      </c>
      <c r="H35" s="3059" t="s">
        <v>3055</v>
      </c>
      <c r="I35" s="3058" t="s">
        <v>3072</v>
      </c>
    </row>
    <row r="36" spans="1:9">
      <c r="A36" s="3059">
        <v>1660</v>
      </c>
      <c r="B36" s="3058" t="s">
        <v>3078</v>
      </c>
      <c r="D36" s="3058">
        <v>1202</v>
      </c>
      <c r="E36" s="3058">
        <v>102.55</v>
      </c>
      <c r="F36" s="3058">
        <v>22500</v>
      </c>
      <c r="G36" s="3059">
        <f t="shared" si="0"/>
        <v>2307375</v>
      </c>
      <c r="H36" s="3059" t="s">
        <v>3055</v>
      </c>
      <c r="I36" s="3058" t="s">
        <v>3072</v>
      </c>
    </row>
    <row r="37" spans="1:9">
      <c r="A37" s="3059">
        <v>1661</v>
      </c>
      <c r="B37" s="3058" t="s">
        <v>3078</v>
      </c>
      <c r="D37" s="3058">
        <v>1302</v>
      </c>
      <c r="E37" s="3058">
        <v>102.55</v>
      </c>
      <c r="F37" s="3058">
        <v>22500</v>
      </c>
      <c r="G37" s="3059">
        <f t="shared" si="0"/>
        <v>2307375</v>
      </c>
      <c r="H37" s="3059" t="s">
        <v>3055</v>
      </c>
      <c r="I37" s="3058" t="s">
        <v>3072</v>
      </c>
    </row>
    <row r="38" spans="1:9">
      <c r="A38" s="3059">
        <v>1662</v>
      </c>
      <c r="B38" s="3058" t="s">
        <v>3078</v>
      </c>
      <c r="D38" s="3058">
        <v>1402</v>
      </c>
      <c r="E38" s="3058">
        <v>102.55</v>
      </c>
      <c r="F38" s="3058">
        <v>22500</v>
      </c>
      <c r="G38" s="3059">
        <f t="shared" si="0"/>
        <v>2307375</v>
      </c>
      <c r="H38" s="3059" t="s">
        <v>3055</v>
      </c>
      <c r="I38" s="3058" t="s">
        <v>3072</v>
      </c>
    </row>
    <row r="39" spans="1:9">
      <c r="A39" s="3059">
        <v>1663</v>
      </c>
      <c r="B39" s="3058" t="s">
        <v>3078</v>
      </c>
      <c r="D39" s="3058">
        <v>1502</v>
      </c>
      <c r="E39" s="3058">
        <v>102.55</v>
      </c>
      <c r="F39" s="3058">
        <v>22500</v>
      </c>
      <c r="G39" s="3059">
        <f t="shared" si="0"/>
        <v>2307375</v>
      </c>
      <c r="H39" s="3059" t="s">
        <v>3055</v>
      </c>
      <c r="I39" s="3058" t="s">
        <v>3072</v>
      </c>
    </row>
    <row r="40" spans="1:9">
      <c r="A40" s="3059">
        <v>1664</v>
      </c>
      <c r="B40" s="3058" t="s">
        <v>3078</v>
      </c>
      <c r="D40" s="3058">
        <v>1602</v>
      </c>
      <c r="E40" s="3058">
        <v>102.55</v>
      </c>
      <c r="F40" s="3058">
        <v>22500</v>
      </c>
      <c r="G40" s="3059">
        <f t="shared" si="0"/>
        <v>2307375</v>
      </c>
      <c r="H40" s="3059" t="s">
        <v>3055</v>
      </c>
      <c r="I40" s="3058" t="s">
        <v>3072</v>
      </c>
    </row>
    <row r="41" spans="1:9">
      <c r="A41" s="3059">
        <v>1665</v>
      </c>
      <c r="B41" s="3058" t="s">
        <v>3078</v>
      </c>
      <c r="D41" s="3058">
        <v>1702</v>
      </c>
      <c r="E41" s="3058">
        <v>102.55</v>
      </c>
      <c r="F41" s="3058">
        <v>22500</v>
      </c>
      <c r="G41" s="3059">
        <f t="shared" si="0"/>
        <v>2307375</v>
      </c>
      <c r="H41" s="3059" t="s">
        <v>3055</v>
      </c>
      <c r="I41" s="3058" t="s">
        <v>3072</v>
      </c>
    </row>
    <row r="42" spans="1:9">
      <c r="A42" s="3059">
        <v>1666</v>
      </c>
      <c r="B42" s="3058" t="s">
        <v>3078</v>
      </c>
      <c r="D42" s="3058">
        <v>1802</v>
      </c>
      <c r="E42" s="3058">
        <v>102.55</v>
      </c>
      <c r="F42" s="3058">
        <v>22500</v>
      </c>
      <c r="G42" s="3059">
        <f t="shared" si="0"/>
        <v>2307375</v>
      </c>
      <c r="H42" s="3059" t="s">
        <v>3055</v>
      </c>
      <c r="I42" s="3058" t="s">
        <v>3072</v>
      </c>
    </row>
    <row r="43" spans="1:9">
      <c r="A43" s="3059">
        <v>1667</v>
      </c>
      <c r="B43" s="3058" t="s">
        <v>3078</v>
      </c>
      <c r="D43" s="3058">
        <v>1902</v>
      </c>
      <c r="E43" s="3058">
        <v>102.55</v>
      </c>
      <c r="F43" s="3058">
        <v>22500</v>
      </c>
      <c r="G43" s="3059">
        <f t="shared" si="0"/>
        <v>2307375</v>
      </c>
      <c r="H43" s="3059" t="s">
        <v>3055</v>
      </c>
      <c r="I43" s="3058" t="s">
        <v>3072</v>
      </c>
    </row>
    <row r="44" spans="1:9">
      <c r="A44" s="3059">
        <v>1668</v>
      </c>
      <c r="B44" s="3058" t="s">
        <v>3078</v>
      </c>
      <c r="D44" s="3058">
        <v>2002</v>
      </c>
      <c r="E44" s="3058">
        <v>102.55</v>
      </c>
      <c r="F44" s="3058">
        <v>22500</v>
      </c>
      <c r="G44" s="3059">
        <f t="shared" si="0"/>
        <v>2307375</v>
      </c>
      <c r="H44" s="3059" t="s">
        <v>3055</v>
      </c>
      <c r="I44" s="3058" t="s">
        <v>3072</v>
      </c>
    </row>
    <row r="45" spans="1:9">
      <c r="A45" s="3059">
        <v>1669</v>
      </c>
      <c r="B45" s="3058" t="s">
        <v>3078</v>
      </c>
      <c r="D45" s="3058">
        <v>2102</v>
      </c>
      <c r="E45" s="3058">
        <v>102.55</v>
      </c>
      <c r="F45" s="3058">
        <v>22500</v>
      </c>
      <c r="G45" s="3059">
        <f t="shared" si="0"/>
        <v>2307375</v>
      </c>
      <c r="H45" s="3059" t="s">
        <v>3055</v>
      </c>
      <c r="I45" s="3058" t="s">
        <v>3072</v>
      </c>
    </row>
    <row r="46" spans="1:9">
      <c r="A46" s="3059">
        <v>1670</v>
      </c>
      <c r="B46" s="3058" t="s">
        <v>3078</v>
      </c>
      <c r="D46" s="3058">
        <v>2202</v>
      </c>
      <c r="E46" s="3058">
        <v>102.55</v>
      </c>
      <c r="F46" s="3058">
        <v>22500</v>
      </c>
      <c r="G46" s="3059">
        <f t="shared" si="0"/>
        <v>2307375</v>
      </c>
      <c r="H46" s="3059" t="s">
        <v>3055</v>
      </c>
      <c r="I46" s="3058" t="s">
        <v>3072</v>
      </c>
    </row>
    <row r="47" spans="1:9">
      <c r="A47" s="3059">
        <v>1671</v>
      </c>
      <c r="B47" s="3058" t="s">
        <v>3078</v>
      </c>
      <c r="D47" s="3058">
        <v>2302</v>
      </c>
      <c r="E47" s="3058">
        <v>102.55</v>
      </c>
      <c r="F47" s="3058">
        <v>22500</v>
      </c>
      <c r="G47" s="3059">
        <f t="shared" si="0"/>
        <v>2307375</v>
      </c>
      <c r="H47" s="3059" t="s">
        <v>3055</v>
      </c>
      <c r="I47" s="3058" t="s">
        <v>3072</v>
      </c>
    </row>
    <row r="48" spans="1:9">
      <c r="A48" s="3059">
        <v>1672</v>
      </c>
      <c r="B48" s="3058" t="s">
        <v>3078</v>
      </c>
      <c r="D48" s="3058">
        <v>2402</v>
      </c>
      <c r="E48" s="3058">
        <v>102.55</v>
      </c>
      <c r="F48" s="3058">
        <v>22500</v>
      </c>
      <c r="G48" s="3059">
        <f t="shared" si="0"/>
        <v>2307375</v>
      </c>
      <c r="H48" s="3059" t="s">
        <v>3055</v>
      </c>
      <c r="I48" s="3058" t="s">
        <v>3072</v>
      </c>
    </row>
    <row r="49" spans="1:9">
      <c r="A49" s="3059">
        <v>1673</v>
      </c>
      <c r="B49" s="3058" t="s">
        <v>3078</v>
      </c>
      <c r="D49" s="3058">
        <v>2502</v>
      </c>
      <c r="E49" s="3058">
        <v>102.55</v>
      </c>
      <c r="F49" s="3058">
        <v>22500</v>
      </c>
      <c r="G49" s="3059">
        <f t="shared" si="0"/>
        <v>2307375</v>
      </c>
      <c r="H49" s="3059" t="s">
        <v>3055</v>
      </c>
      <c r="I49" s="3058" t="s">
        <v>3072</v>
      </c>
    </row>
    <row r="50" spans="1:9">
      <c r="A50" s="3059">
        <v>1674</v>
      </c>
      <c r="B50" s="3058" t="s">
        <v>3078</v>
      </c>
      <c r="D50" s="3058">
        <v>2602</v>
      </c>
      <c r="E50" s="3058">
        <v>102.55</v>
      </c>
      <c r="F50" s="3058">
        <v>22500</v>
      </c>
      <c r="G50" s="3059">
        <f t="shared" si="0"/>
        <v>2307375</v>
      </c>
      <c r="H50" s="3059" t="s">
        <v>3055</v>
      </c>
      <c r="I50" s="3058" t="s">
        <v>3072</v>
      </c>
    </row>
    <row r="51" spans="1:9">
      <c r="A51" s="3059">
        <v>1675</v>
      </c>
      <c r="B51" s="3058" t="s">
        <v>3078</v>
      </c>
      <c r="D51" s="3058">
        <v>203</v>
      </c>
      <c r="E51" s="3058">
        <v>102.49</v>
      </c>
      <c r="F51" s="3058">
        <v>22500</v>
      </c>
      <c r="G51" s="3059">
        <f t="shared" si="0"/>
        <v>2306025</v>
      </c>
      <c r="H51" s="3059" t="s">
        <v>3055</v>
      </c>
      <c r="I51" s="3058" t="s">
        <v>3072</v>
      </c>
    </row>
    <row r="52" spans="1:9">
      <c r="A52" s="3059">
        <v>1676</v>
      </c>
      <c r="B52" s="3058" t="s">
        <v>3078</v>
      </c>
      <c r="D52" s="3058">
        <v>303</v>
      </c>
      <c r="E52" s="3058">
        <v>102.49</v>
      </c>
      <c r="F52" s="3058">
        <v>22500</v>
      </c>
      <c r="G52" s="3059">
        <f t="shared" si="0"/>
        <v>2306025</v>
      </c>
      <c r="H52" s="3059" t="s">
        <v>3055</v>
      </c>
      <c r="I52" s="3058" t="s">
        <v>3072</v>
      </c>
    </row>
    <row r="53" spans="1:9">
      <c r="A53" s="3059">
        <v>1677</v>
      </c>
      <c r="B53" s="3058" t="s">
        <v>3078</v>
      </c>
      <c r="D53" s="3058">
        <v>403</v>
      </c>
      <c r="E53" s="3058">
        <v>102.49</v>
      </c>
      <c r="F53" s="3058">
        <v>22500</v>
      </c>
      <c r="G53" s="3059">
        <f t="shared" si="0"/>
        <v>2306025</v>
      </c>
      <c r="H53" s="3059" t="s">
        <v>3055</v>
      </c>
      <c r="I53" s="3058" t="s">
        <v>3072</v>
      </c>
    </row>
    <row r="54" spans="1:9">
      <c r="A54" s="3059">
        <v>1678</v>
      </c>
      <c r="B54" s="3058" t="s">
        <v>3078</v>
      </c>
      <c r="D54" s="3058">
        <v>503</v>
      </c>
      <c r="E54" s="3058">
        <v>102.49</v>
      </c>
      <c r="F54" s="3058">
        <v>22500</v>
      </c>
      <c r="G54" s="3059">
        <f t="shared" si="0"/>
        <v>2306025</v>
      </c>
      <c r="H54" s="3059" t="s">
        <v>3055</v>
      </c>
      <c r="I54" s="3058" t="s">
        <v>3072</v>
      </c>
    </row>
    <row r="55" spans="1:9">
      <c r="A55" s="3059">
        <v>1679</v>
      </c>
      <c r="B55" s="3058" t="s">
        <v>3078</v>
      </c>
      <c r="D55" s="3058">
        <v>603</v>
      </c>
      <c r="E55" s="3058">
        <v>102.49</v>
      </c>
      <c r="F55" s="3058">
        <v>22500</v>
      </c>
      <c r="G55" s="3059">
        <f t="shared" si="0"/>
        <v>2306025</v>
      </c>
      <c r="H55" s="3059" t="s">
        <v>3055</v>
      </c>
      <c r="I55" s="3058" t="s">
        <v>3072</v>
      </c>
    </row>
    <row r="56" spans="1:9">
      <c r="A56" s="3059">
        <v>1680</v>
      </c>
      <c r="B56" s="3058" t="s">
        <v>3078</v>
      </c>
      <c r="D56" s="3058">
        <v>703</v>
      </c>
      <c r="E56" s="3058">
        <v>102.49</v>
      </c>
      <c r="F56" s="3058">
        <v>22500</v>
      </c>
      <c r="G56" s="3059">
        <f t="shared" si="0"/>
        <v>2306025</v>
      </c>
      <c r="H56" s="3059" t="s">
        <v>3055</v>
      </c>
      <c r="I56" s="3058" t="s">
        <v>3072</v>
      </c>
    </row>
    <row r="57" spans="1:9">
      <c r="A57" s="3059">
        <v>1681</v>
      </c>
      <c r="B57" s="3058" t="s">
        <v>3078</v>
      </c>
      <c r="D57" s="3058">
        <v>803</v>
      </c>
      <c r="E57" s="3058">
        <v>102.49</v>
      </c>
      <c r="F57" s="3058">
        <v>22500</v>
      </c>
      <c r="G57" s="3059">
        <f t="shared" si="0"/>
        <v>2306025</v>
      </c>
      <c r="H57" s="3059" t="s">
        <v>3055</v>
      </c>
      <c r="I57" s="3058" t="s">
        <v>3072</v>
      </c>
    </row>
    <row r="58" spans="1:9">
      <c r="A58" s="3059">
        <v>1682</v>
      </c>
      <c r="B58" s="3058" t="s">
        <v>3078</v>
      </c>
      <c r="D58" s="3058">
        <v>903</v>
      </c>
      <c r="E58" s="3058">
        <v>102.49</v>
      </c>
      <c r="F58" s="3058">
        <v>22500</v>
      </c>
      <c r="G58" s="3059">
        <f t="shared" si="0"/>
        <v>2306025</v>
      </c>
      <c r="H58" s="3059" t="s">
        <v>3055</v>
      </c>
      <c r="I58" s="3058" t="s">
        <v>3072</v>
      </c>
    </row>
    <row r="59" spans="1:9">
      <c r="A59" s="3059">
        <v>1683</v>
      </c>
      <c r="B59" s="3058" t="s">
        <v>3078</v>
      </c>
      <c r="D59" s="3058">
        <v>1003</v>
      </c>
      <c r="E59" s="3058">
        <v>102.49</v>
      </c>
      <c r="F59" s="3058">
        <v>22500</v>
      </c>
      <c r="G59" s="3059">
        <f t="shared" si="0"/>
        <v>2306025</v>
      </c>
      <c r="H59" s="3059" t="s">
        <v>3055</v>
      </c>
      <c r="I59" s="3058" t="s">
        <v>3072</v>
      </c>
    </row>
    <row r="60" spans="1:9">
      <c r="A60" s="3059">
        <v>1684</v>
      </c>
      <c r="B60" s="3058" t="s">
        <v>3078</v>
      </c>
      <c r="D60" s="3058">
        <v>1103</v>
      </c>
      <c r="E60" s="3058">
        <v>102.49</v>
      </c>
      <c r="F60" s="3058">
        <v>22500</v>
      </c>
      <c r="G60" s="3059">
        <f t="shared" si="0"/>
        <v>2306025</v>
      </c>
      <c r="H60" s="3059" t="s">
        <v>3055</v>
      </c>
      <c r="I60" s="3058" t="s">
        <v>3072</v>
      </c>
    </row>
    <row r="61" spans="1:9">
      <c r="A61" s="3059">
        <v>1685</v>
      </c>
      <c r="B61" s="3058" t="s">
        <v>3078</v>
      </c>
      <c r="D61" s="3058">
        <v>1203</v>
      </c>
      <c r="E61" s="3058">
        <v>102.49</v>
      </c>
      <c r="F61" s="3058">
        <v>22500</v>
      </c>
      <c r="G61" s="3059">
        <f t="shared" si="0"/>
        <v>2306025</v>
      </c>
      <c r="H61" s="3059" t="s">
        <v>3055</v>
      </c>
      <c r="I61" s="3058" t="s">
        <v>3072</v>
      </c>
    </row>
    <row r="62" spans="1:9">
      <c r="A62" s="3059">
        <v>1686</v>
      </c>
      <c r="B62" s="3058" t="s">
        <v>3078</v>
      </c>
      <c r="D62" s="3058">
        <v>1303</v>
      </c>
      <c r="E62" s="3058">
        <v>102.49</v>
      </c>
      <c r="F62" s="3058">
        <v>22500</v>
      </c>
      <c r="G62" s="3059">
        <f t="shared" si="0"/>
        <v>2306025</v>
      </c>
      <c r="H62" s="3059" t="s">
        <v>3055</v>
      </c>
      <c r="I62" s="3058" t="s">
        <v>3072</v>
      </c>
    </row>
    <row r="63" spans="1:9">
      <c r="A63" s="3059">
        <v>1687</v>
      </c>
      <c r="B63" s="3058" t="s">
        <v>3078</v>
      </c>
      <c r="D63" s="3058">
        <v>1403</v>
      </c>
      <c r="E63" s="3058">
        <v>102.49</v>
      </c>
      <c r="F63" s="3058">
        <v>22500</v>
      </c>
      <c r="G63" s="3059">
        <f t="shared" si="0"/>
        <v>2306025</v>
      </c>
      <c r="H63" s="3059" t="s">
        <v>3055</v>
      </c>
      <c r="I63" s="3058" t="s">
        <v>3072</v>
      </c>
    </row>
    <row r="64" spans="1:9">
      <c r="A64" s="3059">
        <v>1688</v>
      </c>
      <c r="B64" s="3058" t="s">
        <v>3078</v>
      </c>
      <c r="D64" s="3058">
        <v>1503</v>
      </c>
      <c r="E64" s="3058">
        <v>102.49</v>
      </c>
      <c r="F64" s="3058">
        <v>22500</v>
      </c>
      <c r="G64" s="3059">
        <f t="shared" si="0"/>
        <v>2306025</v>
      </c>
      <c r="H64" s="3059" t="s">
        <v>3055</v>
      </c>
      <c r="I64" s="3058" t="s">
        <v>3072</v>
      </c>
    </row>
    <row r="65" spans="1:9">
      <c r="A65" s="3059">
        <v>1689</v>
      </c>
      <c r="B65" s="3058" t="s">
        <v>3078</v>
      </c>
      <c r="D65" s="3058">
        <v>1603</v>
      </c>
      <c r="E65" s="3058">
        <v>102.49</v>
      </c>
      <c r="F65" s="3058">
        <v>22500</v>
      </c>
      <c r="G65" s="3059">
        <f t="shared" ref="G65:G128" si="4">E65*F65</f>
        <v>2306025</v>
      </c>
      <c r="H65" s="3059" t="s">
        <v>3055</v>
      </c>
      <c r="I65" s="3058" t="s">
        <v>3072</v>
      </c>
    </row>
    <row r="66" spans="1:9">
      <c r="A66" s="3059">
        <v>1690</v>
      </c>
      <c r="B66" s="3058" t="s">
        <v>3078</v>
      </c>
      <c r="D66" s="3058">
        <v>1703</v>
      </c>
      <c r="E66" s="3058">
        <v>102.49</v>
      </c>
      <c r="F66" s="3058">
        <v>22500</v>
      </c>
      <c r="G66" s="3059">
        <f t="shared" si="4"/>
        <v>2306025</v>
      </c>
      <c r="H66" s="3059" t="s">
        <v>3055</v>
      </c>
      <c r="I66" s="3058" t="s">
        <v>3072</v>
      </c>
    </row>
    <row r="67" spans="1:9">
      <c r="A67" s="3059">
        <v>1691</v>
      </c>
      <c r="B67" s="3058" t="s">
        <v>3078</v>
      </c>
      <c r="D67" s="3058">
        <v>1803</v>
      </c>
      <c r="E67" s="3058">
        <v>102.49</v>
      </c>
      <c r="F67" s="3058">
        <v>22500</v>
      </c>
      <c r="G67" s="3059">
        <f t="shared" si="4"/>
        <v>2306025</v>
      </c>
      <c r="H67" s="3059" t="s">
        <v>3055</v>
      </c>
      <c r="I67" s="3058" t="s">
        <v>3072</v>
      </c>
    </row>
    <row r="68" spans="1:9">
      <c r="A68" s="3059">
        <v>1692</v>
      </c>
      <c r="B68" s="3058" t="s">
        <v>3078</v>
      </c>
      <c r="D68" s="3058">
        <v>1903</v>
      </c>
      <c r="E68" s="3058">
        <v>102.49</v>
      </c>
      <c r="F68" s="3058">
        <v>22500</v>
      </c>
      <c r="G68" s="3059">
        <f t="shared" si="4"/>
        <v>2306025</v>
      </c>
      <c r="H68" s="3059" t="s">
        <v>3055</v>
      </c>
      <c r="I68" s="3058" t="s">
        <v>3072</v>
      </c>
    </row>
    <row r="69" spans="1:9">
      <c r="A69" s="3059">
        <v>1693</v>
      </c>
      <c r="B69" s="3058" t="s">
        <v>3078</v>
      </c>
      <c r="D69" s="3058">
        <v>2003</v>
      </c>
      <c r="E69" s="3058">
        <v>102.49</v>
      </c>
      <c r="F69" s="3058">
        <v>22500</v>
      </c>
      <c r="G69" s="3059">
        <f t="shared" si="4"/>
        <v>2306025</v>
      </c>
      <c r="H69" s="3059" t="s">
        <v>3055</v>
      </c>
      <c r="I69" s="3058" t="s">
        <v>3072</v>
      </c>
    </row>
    <row r="70" spans="1:9">
      <c r="A70" s="3059">
        <v>1694</v>
      </c>
      <c r="B70" s="3058" t="s">
        <v>3078</v>
      </c>
      <c r="D70" s="3058">
        <v>2103</v>
      </c>
      <c r="E70" s="3058">
        <v>102.49</v>
      </c>
      <c r="F70" s="3058">
        <v>22500</v>
      </c>
      <c r="G70" s="3059">
        <f t="shared" si="4"/>
        <v>2306025</v>
      </c>
      <c r="H70" s="3059" t="s">
        <v>3055</v>
      </c>
      <c r="I70" s="3058" t="s">
        <v>3072</v>
      </c>
    </row>
    <row r="71" spans="1:9">
      <c r="A71" s="3059">
        <v>1695</v>
      </c>
      <c r="B71" s="3058" t="s">
        <v>3078</v>
      </c>
      <c r="D71" s="3058">
        <v>2203</v>
      </c>
      <c r="E71" s="3058">
        <v>102.49</v>
      </c>
      <c r="F71" s="3058">
        <v>22500</v>
      </c>
      <c r="G71" s="3059">
        <f t="shared" si="4"/>
        <v>2306025</v>
      </c>
      <c r="H71" s="3059" t="s">
        <v>3055</v>
      </c>
      <c r="I71" s="3058" t="s">
        <v>3072</v>
      </c>
    </row>
    <row r="72" spans="1:9">
      <c r="A72" s="3059">
        <v>1696</v>
      </c>
      <c r="B72" s="3058" t="s">
        <v>3078</v>
      </c>
      <c r="D72" s="3058">
        <v>2303</v>
      </c>
      <c r="E72" s="3058">
        <v>102.49</v>
      </c>
      <c r="F72" s="3058">
        <v>22500</v>
      </c>
      <c r="G72" s="3059">
        <f t="shared" si="4"/>
        <v>2306025</v>
      </c>
      <c r="H72" s="3059" t="s">
        <v>3055</v>
      </c>
      <c r="I72" s="3058" t="s">
        <v>3072</v>
      </c>
    </row>
    <row r="73" spans="1:9">
      <c r="A73" s="3059">
        <v>1697</v>
      </c>
      <c r="B73" s="3058" t="s">
        <v>3078</v>
      </c>
      <c r="D73" s="3058">
        <v>2403</v>
      </c>
      <c r="E73" s="3058">
        <v>102.49</v>
      </c>
      <c r="F73" s="3058">
        <v>22500</v>
      </c>
      <c r="G73" s="3059">
        <f t="shared" si="4"/>
        <v>2306025</v>
      </c>
      <c r="H73" s="3059" t="s">
        <v>3055</v>
      </c>
      <c r="I73" s="3058" t="s">
        <v>3072</v>
      </c>
    </row>
    <row r="74" spans="1:9">
      <c r="A74" s="3059">
        <v>1698</v>
      </c>
      <c r="B74" s="3058" t="s">
        <v>3078</v>
      </c>
      <c r="D74" s="3058">
        <v>2503</v>
      </c>
      <c r="E74" s="3058">
        <v>102.49</v>
      </c>
      <c r="F74" s="3058">
        <v>22500</v>
      </c>
      <c r="G74" s="3059">
        <f t="shared" si="4"/>
        <v>2306025</v>
      </c>
      <c r="H74" s="3059" t="s">
        <v>3055</v>
      </c>
      <c r="I74" s="3058" t="s">
        <v>3072</v>
      </c>
    </row>
    <row r="75" spans="1:9">
      <c r="A75" s="3059">
        <v>1699</v>
      </c>
      <c r="B75" s="3058" t="s">
        <v>3078</v>
      </c>
      <c r="D75" s="3058">
        <v>2603</v>
      </c>
      <c r="E75" s="3058">
        <v>102.49</v>
      </c>
      <c r="F75" s="3058">
        <v>22500</v>
      </c>
      <c r="G75" s="3059">
        <f t="shared" si="4"/>
        <v>2306025</v>
      </c>
      <c r="H75" s="3059" t="s">
        <v>3055</v>
      </c>
      <c r="I75" s="3058" t="s">
        <v>3072</v>
      </c>
    </row>
    <row r="76" spans="1:9">
      <c r="A76" s="3059">
        <v>1700</v>
      </c>
      <c r="B76" s="3058" t="s">
        <v>3078</v>
      </c>
      <c r="D76" s="3058">
        <v>204</v>
      </c>
      <c r="E76" s="3058">
        <v>114.51</v>
      </c>
      <c r="F76" s="3058">
        <v>22500</v>
      </c>
      <c r="G76" s="3059">
        <f t="shared" si="4"/>
        <v>2576475</v>
      </c>
      <c r="H76" s="3059" t="s">
        <v>3055</v>
      </c>
      <c r="I76" s="3058" t="s">
        <v>3072</v>
      </c>
    </row>
    <row r="77" spans="1:9">
      <c r="A77" s="3059">
        <v>1701</v>
      </c>
      <c r="B77" s="3058" t="s">
        <v>3078</v>
      </c>
      <c r="D77" s="3058">
        <v>304</v>
      </c>
      <c r="E77" s="3058">
        <v>114.51</v>
      </c>
      <c r="F77" s="3058">
        <v>22500</v>
      </c>
      <c r="G77" s="3059">
        <f t="shared" si="4"/>
        <v>2576475</v>
      </c>
      <c r="H77" s="3059" t="s">
        <v>3055</v>
      </c>
      <c r="I77" s="3058" t="s">
        <v>3072</v>
      </c>
    </row>
    <row r="78" spans="1:9">
      <c r="A78" s="3059">
        <v>1702</v>
      </c>
      <c r="B78" s="3058" t="s">
        <v>3078</v>
      </c>
      <c r="D78" s="3058">
        <v>404</v>
      </c>
      <c r="E78" s="3058">
        <v>114.51</v>
      </c>
      <c r="F78" s="3058">
        <v>22500</v>
      </c>
      <c r="G78" s="3059">
        <f t="shared" si="4"/>
        <v>2576475</v>
      </c>
      <c r="H78" s="3059" t="s">
        <v>3055</v>
      </c>
      <c r="I78" s="3058" t="s">
        <v>3072</v>
      </c>
    </row>
    <row r="79" spans="1:9">
      <c r="A79" s="3059">
        <v>1703</v>
      </c>
      <c r="B79" s="3058" t="s">
        <v>3078</v>
      </c>
      <c r="D79" s="3058">
        <v>504</v>
      </c>
      <c r="E79" s="3058">
        <v>114.51</v>
      </c>
      <c r="F79" s="3058">
        <v>22500</v>
      </c>
      <c r="G79" s="3059">
        <f t="shared" si="4"/>
        <v>2576475</v>
      </c>
      <c r="H79" s="3059" t="s">
        <v>3055</v>
      </c>
      <c r="I79" s="3058" t="s">
        <v>3072</v>
      </c>
    </row>
    <row r="80" spans="1:9">
      <c r="A80" s="3059">
        <v>1704</v>
      </c>
      <c r="B80" s="3058" t="s">
        <v>3078</v>
      </c>
      <c r="D80" s="3058">
        <v>604</v>
      </c>
      <c r="E80" s="3058">
        <v>114.51</v>
      </c>
      <c r="F80" s="3058">
        <v>22500</v>
      </c>
      <c r="G80" s="3059">
        <f t="shared" si="4"/>
        <v>2576475</v>
      </c>
      <c r="H80" s="3059" t="s">
        <v>3055</v>
      </c>
      <c r="I80" s="3058" t="s">
        <v>3072</v>
      </c>
    </row>
    <row r="81" spans="1:9">
      <c r="A81" s="3059">
        <v>1705</v>
      </c>
      <c r="B81" s="3058" t="s">
        <v>3078</v>
      </c>
      <c r="D81" s="3058">
        <v>704</v>
      </c>
      <c r="E81" s="3058">
        <v>114.51</v>
      </c>
      <c r="F81" s="3058">
        <v>22500</v>
      </c>
      <c r="G81" s="3059">
        <f t="shared" si="4"/>
        <v>2576475</v>
      </c>
      <c r="H81" s="3059" t="s">
        <v>3055</v>
      </c>
      <c r="I81" s="3058" t="s">
        <v>3072</v>
      </c>
    </row>
    <row r="82" spans="1:9">
      <c r="A82" s="3059">
        <v>1706</v>
      </c>
      <c r="B82" s="3058" t="s">
        <v>3078</v>
      </c>
      <c r="D82" s="3058">
        <v>804</v>
      </c>
      <c r="E82" s="3058">
        <v>114.51</v>
      </c>
      <c r="F82" s="3058">
        <v>22500</v>
      </c>
      <c r="G82" s="3059">
        <f t="shared" si="4"/>
        <v>2576475</v>
      </c>
      <c r="H82" s="3059" t="s">
        <v>3055</v>
      </c>
      <c r="I82" s="3058" t="s">
        <v>3072</v>
      </c>
    </row>
    <row r="83" spans="1:9">
      <c r="A83" s="3059">
        <v>1707</v>
      </c>
      <c r="B83" s="3058" t="s">
        <v>3078</v>
      </c>
      <c r="D83" s="3058">
        <v>904</v>
      </c>
      <c r="E83" s="3058">
        <v>114.51</v>
      </c>
      <c r="F83" s="3058">
        <v>22500</v>
      </c>
      <c r="G83" s="3059">
        <f t="shared" si="4"/>
        <v>2576475</v>
      </c>
      <c r="H83" s="3059" t="s">
        <v>3055</v>
      </c>
      <c r="I83" s="3058" t="s">
        <v>3072</v>
      </c>
    </row>
    <row r="84" spans="1:9">
      <c r="A84" s="3059">
        <v>1708</v>
      </c>
      <c r="B84" s="3058" t="s">
        <v>3078</v>
      </c>
      <c r="D84" s="3058">
        <v>1004</v>
      </c>
      <c r="E84" s="3058">
        <v>114.51</v>
      </c>
      <c r="F84" s="3058">
        <v>22500</v>
      </c>
      <c r="G84" s="3059">
        <f t="shared" si="4"/>
        <v>2576475</v>
      </c>
      <c r="H84" s="3059" t="s">
        <v>3055</v>
      </c>
      <c r="I84" s="3058" t="s">
        <v>3072</v>
      </c>
    </row>
    <row r="85" spans="1:9">
      <c r="A85" s="3059">
        <v>1709</v>
      </c>
      <c r="B85" s="3058" t="s">
        <v>3078</v>
      </c>
      <c r="D85" s="3058">
        <v>1104</v>
      </c>
      <c r="E85" s="3058">
        <v>114.51</v>
      </c>
      <c r="F85" s="3058">
        <v>22500</v>
      </c>
      <c r="G85" s="3059">
        <f t="shared" si="4"/>
        <v>2576475</v>
      </c>
      <c r="H85" s="3059" t="s">
        <v>3055</v>
      </c>
      <c r="I85" s="3058" t="s">
        <v>3072</v>
      </c>
    </row>
    <row r="86" spans="1:9">
      <c r="A86" s="3059">
        <v>1710</v>
      </c>
      <c r="B86" s="3058" t="s">
        <v>3078</v>
      </c>
      <c r="D86" s="3058">
        <v>1204</v>
      </c>
      <c r="E86" s="3058">
        <v>114.51</v>
      </c>
      <c r="F86" s="3058">
        <v>22500</v>
      </c>
      <c r="G86" s="3059">
        <f t="shared" si="4"/>
        <v>2576475</v>
      </c>
      <c r="H86" s="3059" t="s">
        <v>3055</v>
      </c>
      <c r="I86" s="3058" t="s">
        <v>3072</v>
      </c>
    </row>
    <row r="87" spans="1:9">
      <c r="A87" s="3059">
        <v>1711</v>
      </c>
      <c r="B87" s="3058" t="s">
        <v>3078</v>
      </c>
      <c r="D87" s="3058">
        <v>1304</v>
      </c>
      <c r="E87" s="3058">
        <v>114.51</v>
      </c>
      <c r="F87" s="3058">
        <v>22500</v>
      </c>
      <c r="G87" s="3059">
        <f t="shared" si="4"/>
        <v>2576475</v>
      </c>
      <c r="H87" s="3059" t="s">
        <v>3055</v>
      </c>
      <c r="I87" s="3058" t="s">
        <v>3072</v>
      </c>
    </row>
    <row r="88" spans="1:9">
      <c r="A88" s="3059">
        <v>1712</v>
      </c>
      <c r="B88" s="3058" t="s">
        <v>3078</v>
      </c>
      <c r="D88" s="3058">
        <v>1404</v>
      </c>
      <c r="E88" s="3058">
        <v>114.51</v>
      </c>
      <c r="F88" s="3058">
        <v>22500</v>
      </c>
      <c r="G88" s="3059">
        <f t="shared" si="4"/>
        <v>2576475</v>
      </c>
      <c r="H88" s="3059" t="s">
        <v>3055</v>
      </c>
      <c r="I88" s="3058" t="s">
        <v>3072</v>
      </c>
    </row>
    <row r="89" spans="1:9">
      <c r="A89" s="3059">
        <v>1713</v>
      </c>
      <c r="B89" s="3058" t="s">
        <v>3078</v>
      </c>
      <c r="D89" s="3058">
        <v>1504</v>
      </c>
      <c r="E89" s="3058">
        <v>114.51</v>
      </c>
      <c r="F89" s="3058">
        <v>22500</v>
      </c>
      <c r="G89" s="3059">
        <f t="shared" si="4"/>
        <v>2576475</v>
      </c>
      <c r="H89" s="3059" t="s">
        <v>3055</v>
      </c>
      <c r="I89" s="3058" t="s">
        <v>3072</v>
      </c>
    </row>
    <row r="90" spans="1:9">
      <c r="A90" s="3059">
        <v>1714</v>
      </c>
      <c r="B90" s="3058" t="s">
        <v>3078</v>
      </c>
      <c r="D90" s="3058">
        <v>1604</v>
      </c>
      <c r="E90" s="3058">
        <v>114.51</v>
      </c>
      <c r="F90" s="3058">
        <v>22500</v>
      </c>
      <c r="G90" s="3059">
        <f t="shared" si="4"/>
        <v>2576475</v>
      </c>
      <c r="H90" s="3059" t="s">
        <v>3055</v>
      </c>
      <c r="I90" s="3058" t="s">
        <v>3072</v>
      </c>
    </row>
    <row r="91" spans="1:9">
      <c r="A91" s="3059">
        <v>1715</v>
      </c>
      <c r="B91" s="3058" t="s">
        <v>3078</v>
      </c>
      <c r="D91" s="3058">
        <v>1704</v>
      </c>
      <c r="E91" s="3058">
        <v>114.51</v>
      </c>
      <c r="F91" s="3058">
        <v>22500</v>
      </c>
      <c r="G91" s="3059">
        <f t="shared" si="4"/>
        <v>2576475</v>
      </c>
      <c r="H91" s="3059" t="s">
        <v>3055</v>
      </c>
      <c r="I91" s="3058" t="s">
        <v>3072</v>
      </c>
    </row>
    <row r="92" spans="1:9">
      <c r="A92" s="3059">
        <v>1716</v>
      </c>
      <c r="B92" s="3058" t="s">
        <v>3078</v>
      </c>
      <c r="D92" s="3058">
        <v>1804</v>
      </c>
      <c r="E92" s="3058">
        <v>114.51</v>
      </c>
      <c r="F92" s="3058">
        <v>22500</v>
      </c>
      <c r="G92" s="3059">
        <f t="shared" si="4"/>
        <v>2576475</v>
      </c>
      <c r="H92" s="3059" t="s">
        <v>3055</v>
      </c>
      <c r="I92" s="3058" t="s">
        <v>3072</v>
      </c>
    </row>
    <row r="93" spans="1:9">
      <c r="A93" s="3059">
        <v>1717</v>
      </c>
      <c r="B93" s="3058" t="s">
        <v>3078</v>
      </c>
      <c r="D93" s="3058">
        <v>1904</v>
      </c>
      <c r="E93" s="3058">
        <v>114.51</v>
      </c>
      <c r="F93" s="3058">
        <v>22500</v>
      </c>
      <c r="G93" s="3059">
        <f t="shared" si="4"/>
        <v>2576475</v>
      </c>
      <c r="H93" s="3059" t="s">
        <v>3055</v>
      </c>
      <c r="I93" s="3058" t="s">
        <v>3072</v>
      </c>
    </row>
    <row r="94" spans="1:9">
      <c r="A94" s="3059">
        <v>1718</v>
      </c>
      <c r="B94" s="3058" t="s">
        <v>3078</v>
      </c>
      <c r="D94" s="3058">
        <v>2004</v>
      </c>
      <c r="E94" s="3058">
        <v>114.51</v>
      </c>
      <c r="F94" s="3058">
        <v>22500</v>
      </c>
      <c r="G94" s="3059">
        <f t="shared" si="4"/>
        <v>2576475</v>
      </c>
      <c r="H94" s="3059" t="s">
        <v>3055</v>
      </c>
      <c r="I94" s="3058" t="s">
        <v>3072</v>
      </c>
    </row>
    <row r="95" spans="1:9">
      <c r="A95" s="3059">
        <v>1719</v>
      </c>
      <c r="B95" s="3058" t="s">
        <v>3078</v>
      </c>
      <c r="D95" s="3058">
        <v>2104</v>
      </c>
      <c r="E95" s="3058">
        <v>114.51</v>
      </c>
      <c r="F95" s="3058">
        <v>22500</v>
      </c>
      <c r="G95" s="3059">
        <f t="shared" si="4"/>
        <v>2576475</v>
      </c>
      <c r="H95" s="3059" t="s">
        <v>3055</v>
      </c>
      <c r="I95" s="3058" t="s">
        <v>3072</v>
      </c>
    </row>
    <row r="96" spans="1:9">
      <c r="A96" s="3059">
        <v>1720</v>
      </c>
      <c r="B96" s="3058" t="s">
        <v>3078</v>
      </c>
      <c r="D96" s="3058">
        <v>2204</v>
      </c>
      <c r="E96" s="3058">
        <v>114.51</v>
      </c>
      <c r="F96" s="3058">
        <v>22500</v>
      </c>
      <c r="G96" s="3059">
        <f t="shared" si="4"/>
        <v>2576475</v>
      </c>
      <c r="H96" s="3059" t="s">
        <v>3055</v>
      </c>
      <c r="I96" s="3058" t="s">
        <v>3072</v>
      </c>
    </row>
    <row r="97" spans="1:10">
      <c r="A97" s="3059">
        <v>1721</v>
      </c>
      <c r="B97" s="3058" t="s">
        <v>3078</v>
      </c>
      <c r="D97" s="3058">
        <v>2304</v>
      </c>
      <c r="E97" s="3058">
        <v>114.51</v>
      </c>
      <c r="F97" s="3058">
        <v>22500</v>
      </c>
      <c r="G97" s="3059">
        <f t="shared" si="4"/>
        <v>2576475</v>
      </c>
      <c r="H97" s="3059" t="s">
        <v>3055</v>
      </c>
      <c r="I97" s="3058" t="s">
        <v>3072</v>
      </c>
    </row>
    <row r="98" spans="1:10">
      <c r="A98" s="3059">
        <v>1722</v>
      </c>
      <c r="B98" s="3058" t="s">
        <v>3078</v>
      </c>
      <c r="D98" s="3058">
        <v>2404</v>
      </c>
      <c r="E98" s="3058">
        <v>114.51</v>
      </c>
      <c r="F98" s="3058">
        <v>22500</v>
      </c>
      <c r="G98" s="3059">
        <f t="shared" si="4"/>
        <v>2576475</v>
      </c>
      <c r="H98" s="3059" t="s">
        <v>3055</v>
      </c>
      <c r="I98" s="3058" t="s">
        <v>3072</v>
      </c>
    </row>
    <row r="99" spans="1:10">
      <c r="A99" s="3059">
        <v>1723</v>
      </c>
      <c r="B99" s="3058" t="s">
        <v>3078</v>
      </c>
      <c r="D99" s="3058">
        <v>2504</v>
      </c>
      <c r="E99" s="3058">
        <v>114.51</v>
      </c>
      <c r="F99" s="3058">
        <v>22500</v>
      </c>
      <c r="G99" s="3059">
        <f t="shared" si="4"/>
        <v>2576475</v>
      </c>
      <c r="H99" s="3059" t="s">
        <v>3055</v>
      </c>
      <c r="I99" s="3058" t="s">
        <v>3072</v>
      </c>
    </row>
    <row r="100" spans="1:10">
      <c r="A100" s="3059">
        <v>1724</v>
      </c>
      <c r="B100" s="3058" t="s">
        <v>3078</v>
      </c>
      <c r="D100" s="3058">
        <v>2604</v>
      </c>
      <c r="E100" s="3058">
        <v>114.51</v>
      </c>
      <c r="F100" s="3058">
        <v>22500</v>
      </c>
      <c r="G100" s="3059">
        <f t="shared" si="4"/>
        <v>2576475</v>
      </c>
      <c r="H100" s="3059" t="s">
        <v>3055</v>
      </c>
      <c r="I100" s="3058" t="s">
        <v>3072</v>
      </c>
      <c r="J100" s="3058">
        <f>SUM(E1:E100)</f>
        <v>10851.500000000005</v>
      </c>
    </row>
    <row r="101" spans="1:10">
      <c r="A101" s="3059">
        <v>1725</v>
      </c>
      <c r="B101" s="3058" t="s">
        <v>3077</v>
      </c>
      <c r="D101" s="3058">
        <v>201</v>
      </c>
      <c r="E101" s="3058">
        <v>114.57</v>
      </c>
      <c r="F101" s="3058">
        <v>22500</v>
      </c>
      <c r="G101" s="3059">
        <f t="shared" si="4"/>
        <v>2577825</v>
      </c>
      <c r="H101" s="3059" t="s">
        <v>3055</v>
      </c>
      <c r="I101" s="3058" t="s">
        <v>3072</v>
      </c>
    </row>
    <row r="102" spans="1:10">
      <c r="A102" s="3059">
        <v>1726</v>
      </c>
      <c r="B102" s="3058" t="s">
        <v>3077</v>
      </c>
      <c r="D102" s="3058">
        <v>301</v>
      </c>
      <c r="E102" s="3058">
        <v>114.57</v>
      </c>
      <c r="F102" s="3058">
        <v>22500</v>
      </c>
      <c r="G102" s="3059">
        <f t="shared" si="4"/>
        <v>2577825</v>
      </c>
      <c r="H102" s="3059" t="s">
        <v>3055</v>
      </c>
      <c r="I102" s="3058" t="s">
        <v>3072</v>
      </c>
    </row>
    <row r="103" spans="1:10">
      <c r="A103" s="3059">
        <v>1727</v>
      </c>
      <c r="B103" s="3058" t="s">
        <v>3077</v>
      </c>
      <c r="D103" s="3058">
        <v>401</v>
      </c>
      <c r="E103" s="3058">
        <v>114.57</v>
      </c>
      <c r="F103" s="3058">
        <v>22500</v>
      </c>
      <c r="G103" s="3059">
        <f t="shared" si="4"/>
        <v>2577825</v>
      </c>
      <c r="H103" s="3059" t="s">
        <v>3055</v>
      </c>
      <c r="I103" s="3058" t="s">
        <v>3072</v>
      </c>
    </row>
    <row r="104" spans="1:10">
      <c r="A104" s="3059">
        <v>1728</v>
      </c>
      <c r="B104" s="3058" t="s">
        <v>3077</v>
      </c>
      <c r="D104" s="3058">
        <v>501</v>
      </c>
      <c r="E104" s="3058">
        <v>114.57</v>
      </c>
      <c r="F104" s="3058">
        <v>22500</v>
      </c>
      <c r="G104" s="3059">
        <f t="shared" si="4"/>
        <v>2577825</v>
      </c>
      <c r="H104" s="3059" t="s">
        <v>3055</v>
      </c>
      <c r="I104" s="3058" t="s">
        <v>3072</v>
      </c>
    </row>
    <row r="105" spans="1:10">
      <c r="A105" s="3059">
        <v>1729</v>
      </c>
      <c r="B105" s="3058" t="s">
        <v>3077</v>
      </c>
      <c r="D105" s="3058">
        <v>601</v>
      </c>
      <c r="E105" s="3058">
        <v>114.57</v>
      </c>
      <c r="F105" s="3058">
        <v>22500</v>
      </c>
      <c r="G105" s="3059">
        <f t="shared" si="4"/>
        <v>2577825</v>
      </c>
      <c r="H105" s="3059" t="s">
        <v>3055</v>
      </c>
      <c r="I105" s="3058" t="s">
        <v>3072</v>
      </c>
    </row>
    <row r="106" spans="1:10">
      <c r="A106" s="3059">
        <v>1730</v>
      </c>
      <c r="B106" s="3058" t="s">
        <v>3077</v>
      </c>
      <c r="D106" s="3058">
        <v>701</v>
      </c>
      <c r="E106" s="3058">
        <v>114.57</v>
      </c>
      <c r="F106" s="3058">
        <v>22500</v>
      </c>
      <c r="G106" s="3059">
        <f t="shared" si="4"/>
        <v>2577825</v>
      </c>
      <c r="H106" s="3059" t="s">
        <v>3055</v>
      </c>
      <c r="I106" s="3058" t="s">
        <v>3072</v>
      </c>
    </row>
    <row r="107" spans="1:10">
      <c r="A107" s="3059">
        <v>1731</v>
      </c>
      <c r="B107" s="3058" t="s">
        <v>3077</v>
      </c>
      <c r="D107" s="3058">
        <v>801</v>
      </c>
      <c r="E107" s="3058">
        <v>114.57</v>
      </c>
      <c r="F107" s="3058">
        <v>22500</v>
      </c>
      <c r="G107" s="3059">
        <f t="shared" si="4"/>
        <v>2577825</v>
      </c>
      <c r="H107" s="3059" t="s">
        <v>3055</v>
      </c>
      <c r="I107" s="3058" t="s">
        <v>3072</v>
      </c>
    </row>
    <row r="108" spans="1:10">
      <c r="A108" s="3059">
        <v>1732</v>
      </c>
      <c r="B108" s="3058" t="s">
        <v>3077</v>
      </c>
      <c r="D108" s="3058">
        <v>901</v>
      </c>
      <c r="E108" s="3058">
        <v>114.57</v>
      </c>
      <c r="F108" s="3058">
        <v>22500</v>
      </c>
      <c r="G108" s="3059">
        <f t="shared" si="4"/>
        <v>2577825</v>
      </c>
      <c r="H108" s="3059" t="s">
        <v>3055</v>
      </c>
      <c r="I108" s="3058" t="s">
        <v>3072</v>
      </c>
    </row>
    <row r="109" spans="1:10">
      <c r="A109" s="3059">
        <v>1733</v>
      </c>
      <c r="B109" s="3058" t="s">
        <v>3077</v>
      </c>
      <c r="D109" s="3058">
        <v>1001</v>
      </c>
      <c r="E109" s="3058">
        <v>114.57</v>
      </c>
      <c r="F109" s="3058">
        <v>22500</v>
      </c>
      <c r="G109" s="3059">
        <f t="shared" si="4"/>
        <v>2577825</v>
      </c>
      <c r="H109" s="3059" t="s">
        <v>3055</v>
      </c>
      <c r="I109" s="3058" t="s">
        <v>3072</v>
      </c>
    </row>
    <row r="110" spans="1:10">
      <c r="A110" s="3059">
        <v>1734</v>
      </c>
      <c r="B110" s="3058" t="s">
        <v>3077</v>
      </c>
      <c r="D110" s="3058">
        <v>1101</v>
      </c>
      <c r="E110" s="3058">
        <v>114.57</v>
      </c>
      <c r="F110" s="3058">
        <v>22500</v>
      </c>
      <c r="G110" s="3059">
        <f t="shared" si="4"/>
        <v>2577825</v>
      </c>
      <c r="H110" s="3059" t="s">
        <v>3055</v>
      </c>
      <c r="I110" s="3058" t="s">
        <v>3072</v>
      </c>
    </row>
    <row r="111" spans="1:10">
      <c r="A111" s="3059">
        <v>1735</v>
      </c>
      <c r="B111" s="3058" t="s">
        <v>3077</v>
      </c>
      <c r="D111" s="3058">
        <v>1201</v>
      </c>
      <c r="E111" s="3058">
        <v>114.57</v>
      </c>
      <c r="F111" s="3058">
        <v>22500</v>
      </c>
      <c r="G111" s="3059">
        <f t="shared" si="4"/>
        <v>2577825</v>
      </c>
      <c r="H111" s="3059" t="s">
        <v>3055</v>
      </c>
      <c r="I111" s="3058" t="s">
        <v>3072</v>
      </c>
    </row>
    <row r="112" spans="1:10">
      <c r="A112" s="3059">
        <v>1736</v>
      </c>
      <c r="B112" s="3058" t="s">
        <v>3077</v>
      </c>
      <c r="D112" s="3058">
        <v>1301</v>
      </c>
      <c r="E112" s="3058">
        <v>114.57</v>
      </c>
      <c r="F112" s="3058">
        <v>22500</v>
      </c>
      <c r="G112" s="3059">
        <f t="shared" si="4"/>
        <v>2577825</v>
      </c>
      <c r="H112" s="3059" t="s">
        <v>3055</v>
      </c>
      <c r="I112" s="3058" t="s">
        <v>3072</v>
      </c>
    </row>
    <row r="113" spans="1:9">
      <c r="A113" s="3059">
        <v>1737</v>
      </c>
      <c r="B113" s="3058" t="s">
        <v>3077</v>
      </c>
      <c r="D113" s="3058">
        <v>1401</v>
      </c>
      <c r="E113" s="3058">
        <v>114.57</v>
      </c>
      <c r="F113" s="3058">
        <v>22500</v>
      </c>
      <c r="G113" s="3059">
        <f t="shared" si="4"/>
        <v>2577825</v>
      </c>
      <c r="H113" s="3059" t="s">
        <v>3055</v>
      </c>
      <c r="I113" s="3058" t="s">
        <v>3072</v>
      </c>
    </row>
    <row r="114" spans="1:9">
      <c r="A114" s="3059">
        <v>1738</v>
      </c>
      <c r="B114" s="3058" t="s">
        <v>3077</v>
      </c>
      <c r="D114" s="3058">
        <v>1501</v>
      </c>
      <c r="E114" s="3058">
        <v>114.57</v>
      </c>
      <c r="F114" s="3058">
        <v>22500</v>
      </c>
      <c r="G114" s="3059">
        <f t="shared" si="4"/>
        <v>2577825</v>
      </c>
      <c r="H114" s="3059" t="s">
        <v>3055</v>
      </c>
      <c r="I114" s="3058" t="s">
        <v>3072</v>
      </c>
    </row>
    <row r="115" spans="1:9">
      <c r="A115" s="3059">
        <v>1739</v>
      </c>
      <c r="B115" s="3058" t="s">
        <v>3077</v>
      </c>
      <c r="D115" s="3058">
        <v>1601</v>
      </c>
      <c r="E115" s="3058">
        <v>114.57</v>
      </c>
      <c r="F115" s="3058">
        <v>22500</v>
      </c>
      <c r="G115" s="3059">
        <f t="shared" si="4"/>
        <v>2577825</v>
      </c>
      <c r="H115" s="3059" t="s">
        <v>3055</v>
      </c>
      <c r="I115" s="3058" t="s">
        <v>3072</v>
      </c>
    </row>
    <row r="116" spans="1:9">
      <c r="A116" s="3059">
        <v>1740</v>
      </c>
      <c r="B116" s="3058" t="s">
        <v>3077</v>
      </c>
      <c r="D116" s="3058">
        <v>1701</v>
      </c>
      <c r="E116" s="3058">
        <v>114.57</v>
      </c>
      <c r="F116" s="3058">
        <v>22500</v>
      </c>
      <c r="G116" s="3059">
        <f t="shared" si="4"/>
        <v>2577825</v>
      </c>
      <c r="H116" s="3059" t="s">
        <v>3055</v>
      </c>
      <c r="I116" s="3058" t="s">
        <v>3072</v>
      </c>
    </row>
    <row r="117" spans="1:9">
      <c r="A117" s="3059">
        <v>1741</v>
      </c>
      <c r="B117" s="3058" t="s">
        <v>3077</v>
      </c>
      <c r="D117" s="3058">
        <v>1801</v>
      </c>
      <c r="E117" s="3058">
        <v>114.57</v>
      </c>
      <c r="F117" s="3058">
        <v>22500</v>
      </c>
      <c r="G117" s="3059">
        <f t="shared" si="4"/>
        <v>2577825</v>
      </c>
      <c r="H117" s="3059" t="s">
        <v>3055</v>
      </c>
      <c r="I117" s="3058" t="s">
        <v>3072</v>
      </c>
    </row>
    <row r="118" spans="1:9">
      <c r="A118" s="3059">
        <v>1742</v>
      </c>
      <c r="B118" s="3058" t="s">
        <v>3077</v>
      </c>
      <c r="D118" s="3058">
        <v>1901</v>
      </c>
      <c r="E118" s="3058">
        <v>114.57</v>
      </c>
      <c r="F118" s="3058">
        <v>22500</v>
      </c>
      <c r="G118" s="3059">
        <f t="shared" si="4"/>
        <v>2577825</v>
      </c>
      <c r="H118" s="3059" t="s">
        <v>3055</v>
      </c>
      <c r="I118" s="3058" t="s">
        <v>3072</v>
      </c>
    </row>
    <row r="119" spans="1:9">
      <c r="A119" s="3059">
        <v>1743</v>
      </c>
      <c r="B119" s="3058" t="s">
        <v>3077</v>
      </c>
      <c r="D119" s="3058">
        <v>2001</v>
      </c>
      <c r="E119" s="3058">
        <v>114.57</v>
      </c>
      <c r="F119" s="3058">
        <v>22500</v>
      </c>
      <c r="G119" s="3059">
        <f t="shared" si="4"/>
        <v>2577825</v>
      </c>
      <c r="H119" s="3059" t="s">
        <v>3055</v>
      </c>
      <c r="I119" s="3058" t="s">
        <v>3072</v>
      </c>
    </row>
    <row r="120" spans="1:9">
      <c r="A120" s="3059">
        <v>1744</v>
      </c>
      <c r="B120" s="3058" t="s">
        <v>3077</v>
      </c>
      <c r="D120" s="3058">
        <v>2101</v>
      </c>
      <c r="E120" s="3058">
        <v>114.57</v>
      </c>
      <c r="F120" s="3058">
        <v>22500</v>
      </c>
      <c r="G120" s="3059">
        <f t="shared" si="4"/>
        <v>2577825</v>
      </c>
      <c r="H120" s="3059" t="s">
        <v>3055</v>
      </c>
      <c r="I120" s="3058" t="s">
        <v>3072</v>
      </c>
    </row>
    <row r="121" spans="1:9">
      <c r="A121" s="3059">
        <v>1745</v>
      </c>
      <c r="B121" s="3058" t="s">
        <v>3077</v>
      </c>
      <c r="D121" s="3058">
        <v>2201</v>
      </c>
      <c r="E121" s="3058">
        <v>114.57</v>
      </c>
      <c r="F121" s="3058">
        <v>22500</v>
      </c>
      <c r="G121" s="3059">
        <f t="shared" si="4"/>
        <v>2577825</v>
      </c>
      <c r="H121" s="3059" t="s">
        <v>3055</v>
      </c>
      <c r="I121" s="3058" t="s">
        <v>3072</v>
      </c>
    </row>
    <row r="122" spans="1:9">
      <c r="A122" s="3059">
        <v>1746</v>
      </c>
      <c r="B122" s="3058" t="s">
        <v>3077</v>
      </c>
      <c r="D122" s="3058">
        <v>2301</v>
      </c>
      <c r="E122" s="3058">
        <v>114.57</v>
      </c>
      <c r="F122" s="3058">
        <v>22500</v>
      </c>
      <c r="G122" s="3059">
        <f t="shared" si="4"/>
        <v>2577825</v>
      </c>
      <c r="H122" s="3059" t="s">
        <v>3055</v>
      </c>
      <c r="I122" s="3058" t="s">
        <v>3072</v>
      </c>
    </row>
    <row r="123" spans="1:9">
      <c r="A123" s="3059">
        <v>1747</v>
      </c>
      <c r="B123" s="3058" t="s">
        <v>3077</v>
      </c>
      <c r="D123" s="3058">
        <v>2401</v>
      </c>
      <c r="E123" s="3058">
        <v>114.57</v>
      </c>
      <c r="F123" s="3058">
        <v>22500</v>
      </c>
      <c r="G123" s="3059">
        <f t="shared" si="4"/>
        <v>2577825</v>
      </c>
      <c r="H123" s="3059" t="s">
        <v>3055</v>
      </c>
      <c r="I123" s="3058" t="s">
        <v>3072</v>
      </c>
    </row>
    <row r="124" spans="1:9">
      <c r="A124" s="3059">
        <v>1748</v>
      </c>
      <c r="B124" s="3058" t="s">
        <v>3077</v>
      </c>
      <c r="D124" s="3058">
        <v>2501</v>
      </c>
      <c r="E124" s="3058">
        <v>114.57</v>
      </c>
      <c r="F124" s="3058">
        <v>22500</v>
      </c>
      <c r="G124" s="3059">
        <f t="shared" si="4"/>
        <v>2577825</v>
      </c>
      <c r="H124" s="3059" t="s">
        <v>3055</v>
      </c>
      <c r="I124" s="3058" t="s">
        <v>3072</v>
      </c>
    </row>
    <row r="125" spans="1:9">
      <c r="A125" s="3059">
        <v>1749</v>
      </c>
      <c r="B125" s="3058" t="s">
        <v>3077</v>
      </c>
      <c r="D125" s="3058">
        <v>202</v>
      </c>
      <c r="E125" s="3058">
        <v>102.61</v>
      </c>
      <c r="F125" s="3058">
        <v>22500</v>
      </c>
      <c r="G125" s="3059">
        <f t="shared" si="4"/>
        <v>2308725</v>
      </c>
      <c r="H125" s="3059" t="s">
        <v>3055</v>
      </c>
      <c r="I125" s="3058" t="s">
        <v>3072</v>
      </c>
    </row>
    <row r="126" spans="1:9">
      <c r="A126" s="3059">
        <v>1750</v>
      </c>
      <c r="B126" s="3058" t="s">
        <v>3077</v>
      </c>
      <c r="D126" s="3058">
        <v>302</v>
      </c>
      <c r="E126" s="3058">
        <v>102.61</v>
      </c>
      <c r="F126" s="3058">
        <v>22500</v>
      </c>
      <c r="G126" s="3059">
        <f t="shared" si="4"/>
        <v>2308725</v>
      </c>
      <c r="H126" s="3059" t="s">
        <v>3055</v>
      </c>
      <c r="I126" s="3058" t="s">
        <v>3072</v>
      </c>
    </row>
    <row r="127" spans="1:9">
      <c r="A127" s="3059">
        <v>1751</v>
      </c>
      <c r="B127" s="3058" t="s">
        <v>3077</v>
      </c>
      <c r="D127" s="3058">
        <v>402</v>
      </c>
      <c r="E127" s="3058">
        <v>102.61</v>
      </c>
      <c r="F127" s="3058">
        <v>22500</v>
      </c>
      <c r="G127" s="3059">
        <f t="shared" si="4"/>
        <v>2308725</v>
      </c>
      <c r="H127" s="3059" t="s">
        <v>3055</v>
      </c>
      <c r="I127" s="3058" t="s">
        <v>3072</v>
      </c>
    </row>
    <row r="128" spans="1:9">
      <c r="A128" s="3059">
        <v>1752</v>
      </c>
      <c r="B128" s="3058" t="s">
        <v>3077</v>
      </c>
      <c r="D128" s="3058">
        <v>502</v>
      </c>
      <c r="E128" s="3058">
        <v>102.61</v>
      </c>
      <c r="F128" s="3058">
        <v>22500</v>
      </c>
      <c r="G128" s="3059">
        <f t="shared" si="4"/>
        <v>2308725</v>
      </c>
      <c r="H128" s="3059" t="s">
        <v>3055</v>
      </c>
      <c r="I128" s="3058" t="s">
        <v>3072</v>
      </c>
    </row>
    <row r="129" spans="1:9">
      <c r="A129" s="3059">
        <v>1753</v>
      </c>
      <c r="B129" s="3058" t="s">
        <v>3077</v>
      </c>
      <c r="D129" s="3058">
        <v>602</v>
      </c>
      <c r="E129" s="3058">
        <v>102.61</v>
      </c>
      <c r="F129" s="3058">
        <v>22500</v>
      </c>
      <c r="G129" s="3059">
        <f t="shared" ref="G129:G192" si="5">E129*F129</f>
        <v>2308725</v>
      </c>
      <c r="H129" s="3059" t="s">
        <v>3055</v>
      </c>
      <c r="I129" s="3058" t="s">
        <v>3072</v>
      </c>
    </row>
    <row r="130" spans="1:9">
      <c r="A130" s="3059">
        <v>1754</v>
      </c>
      <c r="B130" s="3058" t="s">
        <v>3077</v>
      </c>
      <c r="D130" s="3058">
        <v>702</v>
      </c>
      <c r="E130" s="3058">
        <v>102.61</v>
      </c>
      <c r="F130" s="3058">
        <v>22500</v>
      </c>
      <c r="G130" s="3059">
        <f t="shared" si="5"/>
        <v>2308725</v>
      </c>
      <c r="H130" s="3059" t="s">
        <v>3055</v>
      </c>
      <c r="I130" s="3058" t="s">
        <v>3072</v>
      </c>
    </row>
    <row r="131" spans="1:9">
      <c r="A131" s="3059">
        <v>1755</v>
      </c>
      <c r="B131" s="3058" t="s">
        <v>3077</v>
      </c>
      <c r="D131" s="3058">
        <v>802</v>
      </c>
      <c r="E131" s="3058">
        <v>102.61</v>
      </c>
      <c r="F131" s="3058">
        <v>22500</v>
      </c>
      <c r="G131" s="3059">
        <f t="shared" si="5"/>
        <v>2308725</v>
      </c>
      <c r="H131" s="3059" t="s">
        <v>3055</v>
      </c>
      <c r="I131" s="3058" t="s">
        <v>3072</v>
      </c>
    </row>
    <row r="132" spans="1:9">
      <c r="A132" s="3059">
        <v>1756</v>
      </c>
      <c r="B132" s="3058" t="s">
        <v>3077</v>
      </c>
      <c r="D132" s="3058">
        <v>902</v>
      </c>
      <c r="E132" s="3058">
        <v>102.61</v>
      </c>
      <c r="F132" s="3058">
        <v>22500</v>
      </c>
      <c r="G132" s="3059">
        <f t="shared" si="5"/>
        <v>2308725</v>
      </c>
      <c r="H132" s="3059" t="s">
        <v>3055</v>
      </c>
      <c r="I132" s="3058" t="s">
        <v>3072</v>
      </c>
    </row>
    <row r="133" spans="1:9">
      <c r="A133" s="3059">
        <v>1757</v>
      </c>
      <c r="B133" s="3058" t="s">
        <v>3077</v>
      </c>
      <c r="D133" s="3058">
        <v>1002</v>
      </c>
      <c r="E133" s="3058">
        <v>102.61</v>
      </c>
      <c r="F133" s="3058">
        <v>22500</v>
      </c>
      <c r="G133" s="3059">
        <f t="shared" si="5"/>
        <v>2308725</v>
      </c>
      <c r="H133" s="3059" t="s">
        <v>3055</v>
      </c>
      <c r="I133" s="3058" t="s">
        <v>3072</v>
      </c>
    </row>
    <row r="134" spans="1:9">
      <c r="A134" s="3059">
        <v>1758</v>
      </c>
      <c r="B134" s="3058" t="s">
        <v>3077</v>
      </c>
      <c r="D134" s="3058">
        <v>1102</v>
      </c>
      <c r="E134" s="3058">
        <v>102.61</v>
      </c>
      <c r="F134" s="3058">
        <v>22500</v>
      </c>
      <c r="G134" s="3059">
        <f t="shared" si="5"/>
        <v>2308725</v>
      </c>
      <c r="H134" s="3059" t="s">
        <v>3055</v>
      </c>
      <c r="I134" s="3058" t="s">
        <v>3072</v>
      </c>
    </row>
    <row r="135" spans="1:9">
      <c r="A135" s="3059">
        <v>1759</v>
      </c>
      <c r="B135" s="3058" t="s">
        <v>3077</v>
      </c>
      <c r="D135" s="3058">
        <v>1202</v>
      </c>
      <c r="E135" s="3058">
        <v>102.61</v>
      </c>
      <c r="F135" s="3058">
        <v>22500</v>
      </c>
      <c r="G135" s="3059">
        <f t="shared" si="5"/>
        <v>2308725</v>
      </c>
      <c r="H135" s="3059" t="s">
        <v>3055</v>
      </c>
      <c r="I135" s="3058" t="s">
        <v>3072</v>
      </c>
    </row>
    <row r="136" spans="1:9">
      <c r="A136" s="3059">
        <v>1760</v>
      </c>
      <c r="B136" s="3058" t="s">
        <v>3077</v>
      </c>
      <c r="D136" s="3058">
        <v>1302</v>
      </c>
      <c r="E136" s="3058">
        <v>102.61</v>
      </c>
      <c r="F136" s="3058">
        <v>22500</v>
      </c>
      <c r="G136" s="3059">
        <f t="shared" si="5"/>
        <v>2308725</v>
      </c>
      <c r="H136" s="3059" t="s">
        <v>3055</v>
      </c>
      <c r="I136" s="3058" t="s">
        <v>3072</v>
      </c>
    </row>
    <row r="137" spans="1:9">
      <c r="A137" s="3059">
        <v>1761</v>
      </c>
      <c r="B137" s="3058" t="s">
        <v>3077</v>
      </c>
      <c r="D137" s="3058">
        <v>1402</v>
      </c>
      <c r="E137" s="3058">
        <v>102.61</v>
      </c>
      <c r="F137" s="3058">
        <v>22500</v>
      </c>
      <c r="G137" s="3059">
        <f t="shared" si="5"/>
        <v>2308725</v>
      </c>
      <c r="H137" s="3059" t="s">
        <v>3055</v>
      </c>
      <c r="I137" s="3058" t="s">
        <v>3072</v>
      </c>
    </row>
    <row r="138" spans="1:9">
      <c r="A138" s="3059">
        <v>1762</v>
      </c>
      <c r="B138" s="3058" t="s">
        <v>3077</v>
      </c>
      <c r="D138" s="3058">
        <v>1502</v>
      </c>
      <c r="E138" s="3058">
        <v>102.61</v>
      </c>
      <c r="F138" s="3058">
        <v>22500</v>
      </c>
      <c r="G138" s="3059">
        <f t="shared" si="5"/>
        <v>2308725</v>
      </c>
      <c r="H138" s="3059" t="s">
        <v>3055</v>
      </c>
      <c r="I138" s="3058" t="s">
        <v>3072</v>
      </c>
    </row>
    <row r="139" spans="1:9">
      <c r="A139" s="3059">
        <v>1763</v>
      </c>
      <c r="B139" s="3058" t="s">
        <v>3077</v>
      </c>
      <c r="D139" s="3058">
        <v>1602</v>
      </c>
      <c r="E139" s="3058">
        <v>102.61</v>
      </c>
      <c r="F139" s="3058">
        <v>22500</v>
      </c>
      <c r="G139" s="3059">
        <f t="shared" si="5"/>
        <v>2308725</v>
      </c>
      <c r="H139" s="3059" t="s">
        <v>3055</v>
      </c>
      <c r="I139" s="3058" t="s">
        <v>3072</v>
      </c>
    </row>
    <row r="140" spans="1:9">
      <c r="A140" s="3059">
        <v>1764</v>
      </c>
      <c r="B140" s="3058" t="s">
        <v>3077</v>
      </c>
      <c r="D140" s="3058">
        <v>1702</v>
      </c>
      <c r="E140" s="3058">
        <v>102.61</v>
      </c>
      <c r="F140" s="3058">
        <v>22500</v>
      </c>
      <c r="G140" s="3059">
        <f t="shared" si="5"/>
        <v>2308725</v>
      </c>
      <c r="H140" s="3059" t="s">
        <v>3055</v>
      </c>
      <c r="I140" s="3058" t="s">
        <v>3072</v>
      </c>
    </row>
    <row r="141" spans="1:9">
      <c r="A141" s="3059">
        <v>1765</v>
      </c>
      <c r="B141" s="3058" t="s">
        <v>3077</v>
      </c>
      <c r="D141" s="3058">
        <v>1802</v>
      </c>
      <c r="E141" s="3058">
        <v>102.61</v>
      </c>
      <c r="F141" s="3058">
        <v>22500</v>
      </c>
      <c r="G141" s="3059">
        <f t="shared" si="5"/>
        <v>2308725</v>
      </c>
      <c r="H141" s="3059" t="s">
        <v>3055</v>
      </c>
      <c r="I141" s="3058" t="s">
        <v>3072</v>
      </c>
    </row>
    <row r="142" spans="1:9">
      <c r="A142" s="3059">
        <v>1766</v>
      </c>
      <c r="B142" s="3058" t="s">
        <v>3077</v>
      </c>
      <c r="D142" s="3058">
        <v>1902</v>
      </c>
      <c r="E142" s="3058">
        <v>102.61</v>
      </c>
      <c r="F142" s="3058">
        <v>22500</v>
      </c>
      <c r="G142" s="3059">
        <f t="shared" si="5"/>
        <v>2308725</v>
      </c>
      <c r="H142" s="3059" t="s">
        <v>3055</v>
      </c>
      <c r="I142" s="3058" t="s">
        <v>3072</v>
      </c>
    </row>
    <row r="143" spans="1:9">
      <c r="A143" s="3059">
        <v>1767</v>
      </c>
      <c r="B143" s="3058" t="s">
        <v>3077</v>
      </c>
      <c r="D143" s="3058">
        <v>2002</v>
      </c>
      <c r="E143" s="3058">
        <v>102.61</v>
      </c>
      <c r="F143" s="3058">
        <v>22500</v>
      </c>
      <c r="G143" s="3059">
        <f t="shared" si="5"/>
        <v>2308725</v>
      </c>
      <c r="H143" s="3059" t="s">
        <v>3055</v>
      </c>
      <c r="I143" s="3058" t="s">
        <v>3072</v>
      </c>
    </row>
    <row r="144" spans="1:9">
      <c r="A144" s="3059">
        <v>1768</v>
      </c>
      <c r="B144" s="3058" t="s">
        <v>3077</v>
      </c>
      <c r="D144" s="3058">
        <v>2102</v>
      </c>
      <c r="E144" s="3058">
        <v>102.61</v>
      </c>
      <c r="F144" s="3058">
        <v>22500</v>
      </c>
      <c r="G144" s="3059">
        <f t="shared" si="5"/>
        <v>2308725</v>
      </c>
      <c r="H144" s="3059" t="s">
        <v>3055</v>
      </c>
      <c r="I144" s="3058" t="s">
        <v>3072</v>
      </c>
    </row>
    <row r="145" spans="1:9">
      <c r="A145" s="3059">
        <v>1769</v>
      </c>
      <c r="B145" s="3058" t="s">
        <v>3077</v>
      </c>
      <c r="D145" s="3058">
        <v>2202</v>
      </c>
      <c r="E145" s="3058">
        <v>102.61</v>
      </c>
      <c r="F145" s="3058">
        <v>22500</v>
      </c>
      <c r="G145" s="3059">
        <f t="shared" si="5"/>
        <v>2308725</v>
      </c>
      <c r="H145" s="3059" t="s">
        <v>3055</v>
      </c>
      <c r="I145" s="3058" t="s">
        <v>3072</v>
      </c>
    </row>
    <row r="146" spans="1:9">
      <c r="A146" s="3059">
        <v>1770</v>
      </c>
      <c r="B146" s="3058" t="s">
        <v>3077</v>
      </c>
      <c r="D146" s="3058">
        <v>2302</v>
      </c>
      <c r="E146" s="3058">
        <v>102.61</v>
      </c>
      <c r="F146" s="3058">
        <v>22500</v>
      </c>
      <c r="G146" s="3059">
        <f t="shared" si="5"/>
        <v>2308725</v>
      </c>
      <c r="H146" s="3059" t="s">
        <v>3055</v>
      </c>
      <c r="I146" s="3058" t="s">
        <v>3072</v>
      </c>
    </row>
    <row r="147" spans="1:9">
      <c r="A147" s="3059">
        <v>1771</v>
      </c>
      <c r="B147" s="3058" t="s">
        <v>3077</v>
      </c>
      <c r="D147" s="3058">
        <v>2402</v>
      </c>
      <c r="E147" s="3058">
        <v>102.61</v>
      </c>
      <c r="F147" s="3058">
        <v>22500</v>
      </c>
      <c r="G147" s="3059">
        <f t="shared" si="5"/>
        <v>2308725</v>
      </c>
      <c r="H147" s="3059" t="s">
        <v>3055</v>
      </c>
      <c r="I147" s="3058" t="s">
        <v>3072</v>
      </c>
    </row>
    <row r="148" spans="1:9">
      <c r="A148" s="3059">
        <v>1772</v>
      </c>
      <c r="B148" s="3058" t="s">
        <v>3077</v>
      </c>
      <c r="D148" s="3058">
        <v>2502</v>
      </c>
      <c r="E148" s="3058">
        <v>102.61</v>
      </c>
      <c r="F148" s="3058">
        <v>22500</v>
      </c>
      <c r="G148" s="3059">
        <f t="shared" si="5"/>
        <v>2308725</v>
      </c>
      <c r="H148" s="3059" t="s">
        <v>3055</v>
      </c>
      <c r="I148" s="3058" t="s">
        <v>3072</v>
      </c>
    </row>
    <row r="149" spans="1:9">
      <c r="A149" s="3059">
        <v>1773</v>
      </c>
      <c r="B149" s="3058" t="s">
        <v>3077</v>
      </c>
      <c r="D149" s="3058">
        <v>203</v>
      </c>
      <c r="E149" s="3058">
        <v>102.54</v>
      </c>
      <c r="F149" s="3058">
        <v>22500</v>
      </c>
      <c r="G149" s="3059">
        <f t="shared" si="5"/>
        <v>2307150</v>
      </c>
      <c r="H149" s="3059" t="s">
        <v>3055</v>
      </c>
      <c r="I149" s="3058" t="s">
        <v>3072</v>
      </c>
    </row>
    <row r="150" spans="1:9">
      <c r="A150" s="3059">
        <v>1774</v>
      </c>
      <c r="B150" s="3058" t="s">
        <v>3077</v>
      </c>
      <c r="D150" s="3058">
        <v>303</v>
      </c>
      <c r="E150" s="3058">
        <v>102.54</v>
      </c>
      <c r="F150" s="3058">
        <v>22500</v>
      </c>
      <c r="G150" s="3059">
        <f t="shared" si="5"/>
        <v>2307150</v>
      </c>
      <c r="H150" s="3059" t="s">
        <v>3055</v>
      </c>
      <c r="I150" s="3058" t="s">
        <v>3072</v>
      </c>
    </row>
    <row r="151" spans="1:9">
      <c r="A151" s="3059">
        <v>1775</v>
      </c>
      <c r="B151" s="3058" t="s">
        <v>3077</v>
      </c>
      <c r="D151" s="3058">
        <v>403</v>
      </c>
      <c r="E151" s="3058">
        <v>102.54</v>
      </c>
      <c r="F151" s="3058">
        <v>22500</v>
      </c>
      <c r="G151" s="3059">
        <f t="shared" si="5"/>
        <v>2307150</v>
      </c>
      <c r="H151" s="3059" t="s">
        <v>3055</v>
      </c>
      <c r="I151" s="3058" t="s">
        <v>3072</v>
      </c>
    </row>
    <row r="152" spans="1:9">
      <c r="A152" s="3059">
        <v>1776</v>
      </c>
      <c r="B152" s="3058" t="s">
        <v>3077</v>
      </c>
      <c r="D152" s="3058">
        <v>503</v>
      </c>
      <c r="E152" s="3058">
        <v>102.54</v>
      </c>
      <c r="F152" s="3058">
        <v>22500</v>
      </c>
      <c r="G152" s="3059">
        <f t="shared" si="5"/>
        <v>2307150</v>
      </c>
      <c r="H152" s="3059" t="s">
        <v>3055</v>
      </c>
      <c r="I152" s="3058" t="s">
        <v>3072</v>
      </c>
    </row>
    <row r="153" spans="1:9">
      <c r="A153" s="3059">
        <v>1777</v>
      </c>
      <c r="B153" s="3058" t="s">
        <v>3077</v>
      </c>
      <c r="D153" s="3058">
        <v>603</v>
      </c>
      <c r="E153" s="3058">
        <v>102.54</v>
      </c>
      <c r="F153" s="3058">
        <v>22500</v>
      </c>
      <c r="G153" s="3059">
        <f t="shared" si="5"/>
        <v>2307150</v>
      </c>
      <c r="H153" s="3059" t="s">
        <v>3055</v>
      </c>
      <c r="I153" s="3058" t="s">
        <v>3072</v>
      </c>
    </row>
    <row r="154" spans="1:9">
      <c r="A154" s="3059">
        <v>1778</v>
      </c>
      <c r="B154" s="3058" t="s">
        <v>3077</v>
      </c>
      <c r="D154" s="3058">
        <v>703</v>
      </c>
      <c r="E154" s="3058">
        <v>102.54</v>
      </c>
      <c r="F154" s="3058">
        <v>22500</v>
      </c>
      <c r="G154" s="3059">
        <f t="shared" si="5"/>
        <v>2307150</v>
      </c>
      <c r="H154" s="3059" t="s">
        <v>3055</v>
      </c>
      <c r="I154" s="3058" t="s">
        <v>3072</v>
      </c>
    </row>
    <row r="155" spans="1:9">
      <c r="A155" s="3059">
        <v>1779</v>
      </c>
      <c r="B155" s="3058" t="s">
        <v>3077</v>
      </c>
      <c r="D155" s="3058">
        <v>803</v>
      </c>
      <c r="E155" s="3058">
        <v>102.54</v>
      </c>
      <c r="F155" s="3058">
        <v>22500</v>
      </c>
      <c r="G155" s="3059">
        <f t="shared" si="5"/>
        <v>2307150</v>
      </c>
      <c r="H155" s="3059" t="s">
        <v>3055</v>
      </c>
      <c r="I155" s="3058" t="s">
        <v>3072</v>
      </c>
    </row>
    <row r="156" spans="1:9">
      <c r="A156" s="3059">
        <v>1780</v>
      </c>
      <c r="B156" s="3058" t="s">
        <v>3077</v>
      </c>
      <c r="D156" s="3058">
        <v>903</v>
      </c>
      <c r="E156" s="3058">
        <v>102.54</v>
      </c>
      <c r="F156" s="3058">
        <v>22500</v>
      </c>
      <c r="G156" s="3059">
        <f t="shared" si="5"/>
        <v>2307150</v>
      </c>
      <c r="H156" s="3059" t="s">
        <v>3055</v>
      </c>
      <c r="I156" s="3058" t="s">
        <v>3072</v>
      </c>
    </row>
    <row r="157" spans="1:9">
      <c r="A157" s="3059">
        <v>1781</v>
      </c>
      <c r="B157" s="3058" t="s">
        <v>3077</v>
      </c>
      <c r="D157" s="3058">
        <v>1003</v>
      </c>
      <c r="E157" s="3058">
        <v>102.54</v>
      </c>
      <c r="F157" s="3058">
        <v>22500</v>
      </c>
      <c r="G157" s="3059">
        <f t="shared" si="5"/>
        <v>2307150</v>
      </c>
      <c r="H157" s="3059" t="s">
        <v>3055</v>
      </c>
      <c r="I157" s="3058" t="s">
        <v>3072</v>
      </c>
    </row>
    <row r="158" spans="1:9">
      <c r="A158" s="3059">
        <v>1782</v>
      </c>
      <c r="B158" s="3058" t="s">
        <v>3077</v>
      </c>
      <c r="D158" s="3058">
        <v>1103</v>
      </c>
      <c r="E158" s="3058">
        <v>102.54</v>
      </c>
      <c r="F158" s="3058">
        <v>22500</v>
      </c>
      <c r="G158" s="3059">
        <f t="shared" si="5"/>
        <v>2307150</v>
      </c>
      <c r="H158" s="3059" t="s">
        <v>3055</v>
      </c>
      <c r="I158" s="3058" t="s">
        <v>3072</v>
      </c>
    </row>
    <row r="159" spans="1:9">
      <c r="A159" s="3059">
        <v>1783</v>
      </c>
      <c r="B159" s="3058" t="s">
        <v>3077</v>
      </c>
      <c r="D159" s="3058">
        <v>1203</v>
      </c>
      <c r="E159" s="3058">
        <v>102.54</v>
      </c>
      <c r="F159" s="3058">
        <v>22500</v>
      </c>
      <c r="G159" s="3059">
        <f t="shared" si="5"/>
        <v>2307150</v>
      </c>
      <c r="H159" s="3059" t="s">
        <v>3055</v>
      </c>
      <c r="I159" s="3058" t="s">
        <v>3072</v>
      </c>
    </row>
    <row r="160" spans="1:9">
      <c r="A160" s="3059">
        <v>1784</v>
      </c>
      <c r="B160" s="3058" t="s">
        <v>3077</v>
      </c>
      <c r="D160" s="3058">
        <v>1303</v>
      </c>
      <c r="E160" s="3058">
        <v>102.54</v>
      </c>
      <c r="F160" s="3058">
        <v>22500</v>
      </c>
      <c r="G160" s="3059">
        <f t="shared" si="5"/>
        <v>2307150</v>
      </c>
      <c r="H160" s="3059" t="s">
        <v>3055</v>
      </c>
      <c r="I160" s="3058" t="s">
        <v>3072</v>
      </c>
    </row>
    <row r="161" spans="1:9">
      <c r="A161" s="3059">
        <v>1785</v>
      </c>
      <c r="B161" s="3058" t="s">
        <v>3077</v>
      </c>
      <c r="D161" s="3058">
        <v>1403</v>
      </c>
      <c r="E161" s="3058">
        <v>102.54</v>
      </c>
      <c r="F161" s="3058">
        <v>22500</v>
      </c>
      <c r="G161" s="3059">
        <f t="shared" si="5"/>
        <v>2307150</v>
      </c>
      <c r="H161" s="3059" t="s">
        <v>3055</v>
      </c>
      <c r="I161" s="3058" t="s">
        <v>3072</v>
      </c>
    </row>
    <row r="162" spans="1:9">
      <c r="A162" s="3059">
        <v>1786</v>
      </c>
      <c r="B162" s="3058" t="s">
        <v>3077</v>
      </c>
      <c r="D162" s="3058">
        <v>1503</v>
      </c>
      <c r="E162" s="3058">
        <v>102.54</v>
      </c>
      <c r="F162" s="3058">
        <v>22500</v>
      </c>
      <c r="G162" s="3059">
        <f t="shared" si="5"/>
        <v>2307150</v>
      </c>
      <c r="H162" s="3059" t="s">
        <v>3055</v>
      </c>
      <c r="I162" s="3058" t="s">
        <v>3072</v>
      </c>
    </row>
    <row r="163" spans="1:9">
      <c r="A163" s="3059">
        <v>1787</v>
      </c>
      <c r="B163" s="3058" t="s">
        <v>3077</v>
      </c>
      <c r="D163" s="3058">
        <v>1603</v>
      </c>
      <c r="E163" s="3058">
        <v>102.54</v>
      </c>
      <c r="F163" s="3058">
        <v>22500</v>
      </c>
      <c r="G163" s="3059">
        <f t="shared" si="5"/>
        <v>2307150</v>
      </c>
      <c r="H163" s="3059" t="s">
        <v>3055</v>
      </c>
      <c r="I163" s="3058" t="s">
        <v>3072</v>
      </c>
    </row>
    <row r="164" spans="1:9">
      <c r="A164" s="3059">
        <v>1788</v>
      </c>
      <c r="B164" s="3058" t="s">
        <v>3077</v>
      </c>
      <c r="D164" s="3058">
        <v>1703</v>
      </c>
      <c r="E164" s="3058">
        <v>102.54</v>
      </c>
      <c r="F164" s="3058">
        <v>22500</v>
      </c>
      <c r="G164" s="3059">
        <f t="shared" si="5"/>
        <v>2307150</v>
      </c>
      <c r="H164" s="3059" t="s">
        <v>3055</v>
      </c>
      <c r="I164" s="3058" t="s">
        <v>3072</v>
      </c>
    </row>
    <row r="165" spans="1:9">
      <c r="A165" s="3059">
        <v>1789</v>
      </c>
      <c r="B165" s="3058" t="s">
        <v>3077</v>
      </c>
      <c r="D165" s="3058">
        <v>1803</v>
      </c>
      <c r="E165" s="3058">
        <v>102.54</v>
      </c>
      <c r="F165" s="3058">
        <v>22500</v>
      </c>
      <c r="G165" s="3059">
        <f t="shared" si="5"/>
        <v>2307150</v>
      </c>
      <c r="H165" s="3059" t="s">
        <v>3055</v>
      </c>
      <c r="I165" s="3058" t="s">
        <v>3072</v>
      </c>
    </row>
    <row r="166" spans="1:9">
      <c r="A166" s="3059">
        <v>1790</v>
      </c>
      <c r="B166" s="3058" t="s">
        <v>3077</v>
      </c>
      <c r="D166" s="3058">
        <v>1903</v>
      </c>
      <c r="E166" s="3058">
        <v>102.54</v>
      </c>
      <c r="F166" s="3058">
        <v>22500</v>
      </c>
      <c r="G166" s="3059">
        <f t="shared" si="5"/>
        <v>2307150</v>
      </c>
      <c r="H166" s="3059" t="s">
        <v>3055</v>
      </c>
      <c r="I166" s="3058" t="s">
        <v>3072</v>
      </c>
    </row>
    <row r="167" spans="1:9">
      <c r="A167" s="3059">
        <v>1791</v>
      </c>
      <c r="B167" s="3058" t="s">
        <v>3077</v>
      </c>
      <c r="D167" s="3058">
        <v>2003</v>
      </c>
      <c r="E167" s="3058">
        <v>102.54</v>
      </c>
      <c r="F167" s="3058">
        <v>22500</v>
      </c>
      <c r="G167" s="3059">
        <f t="shared" si="5"/>
        <v>2307150</v>
      </c>
      <c r="H167" s="3059" t="s">
        <v>3055</v>
      </c>
      <c r="I167" s="3058" t="s">
        <v>3072</v>
      </c>
    </row>
    <row r="168" spans="1:9">
      <c r="A168" s="3059">
        <v>1792</v>
      </c>
      <c r="B168" s="3058" t="s">
        <v>3077</v>
      </c>
      <c r="D168" s="3058">
        <v>2103</v>
      </c>
      <c r="E168" s="3058">
        <v>102.54</v>
      </c>
      <c r="F168" s="3058">
        <v>22500</v>
      </c>
      <c r="G168" s="3059">
        <f t="shared" si="5"/>
        <v>2307150</v>
      </c>
      <c r="H168" s="3059" t="s">
        <v>3055</v>
      </c>
      <c r="I168" s="3058" t="s">
        <v>3072</v>
      </c>
    </row>
    <row r="169" spans="1:9">
      <c r="A169" s="3059">
        <v>1793</v>
      </c>
      <c r="B169" s="3058" t="s">
        <v>3077</v>
      </c>
      <c r="D169" s="3058">
        <v>2203</v>
      </c>
      <c r="E169" s="3058">
        <v>102.54</v>
      </c>
      <c r="F169" s="3058">
        <v>22500</v>
      </c>
      <c r="G169" s="3059">
        <f t="shared" si="5"/>
        <v>2307150</v>
      </c>
      <c r="H169" s="3059" t="s">
        <v>3055</v>
      </c>
      <c r="I169" s="3058" t="s">
        <v>3072</v>
      </c>
    </row>
    <row r="170" spans="1:9">
      <c r="A170" s="3059">
        <v>1794</v>
      </c>
      <c r="B170" s="3058" t="s">
        <v>3077</v>
      </c>
      <c r="D170" s="3058">
        <v>2303</v>
      </c>
      <c r="E170" s="3058">
        <v>102.54</v>
      </c>
      <c r="F170" s="3058">
        <v>22500</v>
      </c>
      <c r="G170" s="3059">
        <f t="shared" si="5"/>
        <v>2307150</v>
      </c>
      <c r="H170" s="3059" t="s">
        <v>3055</v>
      </c>
      <c r="I170" s="3058" t="s">
        <v>3072</v>
      </c>
    </row>
    <row r="171" spans="1:9">
      <c r="A171" s="3059">
        <v>1795</v>
      </c>
      <c r="B171" s="3058" t="s">
        <v>3077</v>
      </c>
      <c r="D171" s="3058">
        <v>2403</v>
      </c>
      <c r="E171" s="3058">
        <v>102.54</v>
      </c>
      <c r="F171" s="3058">
        <v>22500</v>
      </c>
      <c r="G171" s="3059">
        <f t="shared" si="5"/>
        <v>2307150</v>
      </c>
      <c r="H171" s="3059" t="s">
        <v>3055</v>
      </c>
      <c r="I171" s="3058" t="s">
        <v>3072</v>
      </c>
    </row>
    <row r="172" spans="1:9">
      <c r="A172" s="3059">
        <v>1796</v>
      </c>
      <c r="B172" s="3058" t="s">
        <v>3077</v>
      </c>
      <c r="D172" s="3058">
        <v>2503</v>
      </c>
      <c r="E172" s="3058">
        <v>102.54</v>
      </c>
      <c r="F172" s="3058">
        <v>22500</v>
      </c>
      <c r="G172" s="3059">
        <f t="shared" si="5"/>
        <v>2307150</v>
      </c>
      <c r="H172" s="3059" t="s">
        <v>3055</v>
      </c>
      <c r="I172" s="3058" t="s">
        <v>3072</v>
      </c>
    </row>
    <row r="173" spans="1:9">
      <c r="A173" s="3059">
        <v>1797</v>
      </c>
      <c r="B173" s="3058" t="s">
        <v>3077</v>
      </c>
      <c r="D173" s="3058">
        <v>204</v>
      </c>
      <c r="E173" s="3058">
        <v>114.57</v>
      </c>
      <c r="F173" s="3058">
        <v>22500</v>
      </c>
      <c r="G173" s="3059">
        <f t="shared" si="5"/>
        <v>2577825</v>
      </c>
      <c r="H173" s="3059" t="s">
        <v>3055</v>
      </c>
      <c r="I173" s="3058" t="s">
        <v>3072</v>
      </c>
    </row>
    <row r="174" spans="1:9">
      <c r="A174" s="3059">
        <v>1798</v>
      </c>
      <c r="B174" s="3058" t="s">
        <v>3077</v>
      </c>
      <c r="D174" s="3058">
        <v>304</v>
      </c>
      <c r="E174" s="3058">
        <v>114.57</v>
      </c>
      <c r="F174" s="3058">
        <v>22500</v>
      </c>
      <c r="G174" s="3059">
        <f t="shared" si="5"/>
        <v>2577825</v>
      </c>
      <c r="H174" s="3059" t="s">
        <v>3055</v>
      </c>
      <c r="I174" s="3058" t="s">
        <v>3072</v>
      </c>
    </row>
    <row r="175" spans="1:9">
      <c r="A175" s="3059">
        <v>1799</v>
      </c>
      <c r="B175" s="3058" t="s">
        <v>3077</v>
      </c>
      <c r="D175" s="3058">
        <v>404</v>
      </c>
      <c r="E175" s="3058">
        <v>114.57</v>
      </c>
      <c r="F175" s="3058">
        <v>22500</v>
      </c>
      <c r="G175" s="3059">
        <f t="shared" si="5"/>
        <v>2577825</v>
      </c>
      <c r="H175" s="3059" t="s">
        <v>3055</v>
      </c>
      <c r="I175" s="3058" t="s">
        <v>3072</v>
      </c>
    </row>
    <row r="176" spans="1:9">
      <c r="A176" s="3059">
        <v>1800</v>
      </c>
      <c r="B176" s="3058" t="s">
        <v>3077</v>
      </c>
      <c r="D176" s="3058">
        <v>504</v>
      </c>
      <c r="E176" s="3058">
        <v>114.57</v>
      </c>
      <c r="F176" s="3058">
        <v>22500</v>
      </c>
      <c r="G176" s="3059">
        <f t="shared" si="5"/>
        <v>2577825</v>
      </c>
      <c r="H176" s="3059" t="s">
        <v>3055</v>
      </c>
      <c r="I176" s="3058" t="s">
        <v>3072</v>
      </c>
    </row>
    <row r="177" spans="1:9">
      <c r="A177" s="3059">
        <v>1801</v>
      </c>
      <c r="B177" s="3058" t="s">
        <v>3077</v>
      </c>
      <c r="D177" s="3058">
        <v>604</v>
      </c>
      <c r="E177" s="3058">
        <v>114.57</v>
      </c>
      <c r="F177" s="3058">
        <v>22500</v>
      </c>
      <c r="G177" s="3059">
        <f t="shared" si="5"/>
        <v>2577825</v>
      </c>
      <c r="H177" s="3059" t="s">
        <v>3055</v>
      </c>
      <c r="I177" s="3058" t="s">
        <v>3072</v>
      </c>
    </row>
    <row r="178" spans="1:9">
      <c r="A178" s="3059">
        <v>1802</v>
      </c>
      <c r="B178" s="3058" t="s">
        <v>3077</v>
      </c>
      <c r="D178" s="3058">
        <v>704</v>
      </c>
      <c r="E178" s="3058">
        <v>114.57</v>
      </c>
      <c r="F178" s="3058">
        <v>22500</v>
      </c>
      <c r="G178" s="3059">
        <f t="shared" si="5"/>
        <v>2577825</v>
      </c>
      <c r="H178" s="3059" t="s">
        <v>3055</v>
      </c>
      <c r="I178" s="3058" t="s">
        <v>3072</v>
      </c>
    </row>
    <row r="179" spans="1:9">
      <c r="A179" s="3059">
        <v>1803</v>
      </c>
      <c r="B179" s="3058" t="s">
        <v>3077</v>
      </c>
      <c r="D179" s="3058">
        <v>804</v>
      </c>
      <c r="E179" s="3058">
        <v>114.57</v>
      </c>
      <c r="F179" s="3058">
        <v>22500</v>
      </c>
      <c r="G179" s="3059">
        <f t="shared" si="5"/>
        <v>2577825</v>
      </c>
      <c r="H179" s="3059" t="s">
        <v>3055</v>
      </c>
      <c r="I179" s="3058" t="s">
        <v>3072</v>
      </c>
    </row>
    <row r="180" spans="1:9">
      <c r="A180" s="3059">
        <v>1804</v>
      </c>
      <c r="B180" s="3058" t="s">
        <v>3077</v>
      </c>
      <c r="D180" s="3058">
        <v>904</v>
      </c>
      <c r="E180" s="3058">
        <v>114.57</v>
      </c>
      <c r="F180" s="3058">
        <v>22500</v>
      </c>
      <c r="G180" s="3059">
        <f t="shared" si="5"/>
        <v>2577825</v>
      </c>
      <c r="H180" s="3059" t="s">
        <v>3055</v>
      </c>
      <c r="I180" s="3058" t="s">
        <v>3072</v>
      </c>
    </row>
    <row r="181" spans="1:9">
      <c r="A181" s="3059">
        <v>1805</v>
      </c>
      <c r="B181" s="3058" t="s">
        <v>3077</v>
      </c>
      <c r="D181" s="3058">
        <v>1004</v>
      </c>
      <c r="E181" s="3058">
        <v>114.57</v>
      </c>
      <c r="F181" s="3058">
        <v>22500</v>
      </c>
      <c r="G181" s="3059">
        <f t="shared" si="5"/>
        <v>2577825</v>
      </c>
      <c r="H181" s="3059" t="s">
        <v>3055</v>
      </c>
      <c r="I181" s="3058" t="s">
        <v>3072</v>
      </c>
    </row>
    <row r="182" spans="1:9">
      <c r="A182" s="3059">
        <v>1806</v>
      </c>
      <c r="B182" s="3058" t="s">
        <v>3077</v>
      </c>
      <c r="D182" s="3058">
        <v>1104</v>
      </c>
      <c r="E182" s="3058">
        <v>114.57</v>
      </c>
      <c r="F182" s="3058">
        <v>22500</v>
      </c>
      <c r="G182" s="3059">
        <f t="shared" si="5"/>
        <v>2577825</v>
      </c>
      <c r="H182" s="3059" t="s">
        <v>3055</v>
      </c>
      <c r="I182" s="3058" t="s">
        <v>3072</v>
      </c>
    </row>
    <row r="183" spans="1:9">
      <c r="A183" s="3059">
        <v>1807</v>
      </c>
      <c r="B183" s="3058" t="s">
        <v>3077</v>
      </c>
      <c r="D183" s="3058">
        <v>1204</v>
      </c>
      <c r="E183" s="3058">
        <v>114.57</v>
      </c>
      <c r="F183" s="3058">
        <v>22500</v>
      </c>
      <c r="G183" s="3059">
        <f t="shared" si="5"/>
        <v>2577825</v>
      </c>
      <c r="H183" s="3059" t="s">
        <v>3055</v>
      </c>
      <c r="I183" s="3058" t="s">
        <v>3072</v>
      </c>
    </row>
    <row r="184" spans="1:9">
      <c r="A184" s="3059">
        <v>1808</v>
      </c>
      <c r="B184" s="3058" t="s">
        <v>3077</v>
      </c>
      <c r="D184" s="3058">
        <v>1304</v>
      </c>
      <c r="E184" s="3058">
        <v>114.57</v>
      </c>
      <c r="F184" s="3058">
        <v>22500</v>
      </c>
      <c r="G184" s="3059">
        <f t="shared" si="5"/>
        <v>2577825</v>
      </c>
      <c r="H184" s="3059" t="s">
        <v>3055</v>
      </c>
      <c r="I184" s="3058" t="s">
        <v>3072</v>
      </c>
    </row>
    <row r="185" spans="1:9">
      <c r="A185" s="3059">
        <v>1809</v>
      </c>
      <c r="B185" s="3058" t="s">
        <v>3077</v>
      </c>
      <c r="D185" s="3058">
        <v>1404</v>
      </c>
      <c r="E185" s="3058">
        <v>114.57</v>
      </c>
      <c r="F185" s="3058">
        <v>22500</v>
      </c>
      <c r="G185" s="3059">
        <f t="shared" si="5"/>
        <v>2577825</v>
      </c>
      <c r="H185" s="3059" t="s">
        <v>3055</v>
      </c>
      <c r="I185" s="3058" t="s">
        <v>3072</v>
      </c>
    </row>
    <row r="186" spans="1:9">
      <c r="A186" s="3059">
        <v>1810</v>
      </c>
      <c r="B186" s="3058" t="s">
        <v>3077</v>
      </c>
      <c r="D186" s="3058">
        <v>1504</v>
      </c>
      <c r="E186" s="3058">
        <v>114.57</v>
      </c>
      <c r="F186" s="3058">
        <v>22500</v>
      </c>
      <c r="G186" s="3059">
        <f t="shared" si="5"/>
        <v>2577825</v>
      </c>
      <c r="H186" s="3059" t="s">
        <v>3055</v>
      </c>
      <c r="I186" s="3058" t="s">
        <v>3072</v>
      </c>
    </row>
    <row r="187" spans="1:9">
      <c r="A187" s="3059">
        <v>1811</v>
      </c>
      <c r="B187" s="3058" t="s">
        <v>3077</v>
      </c>
      <c r="D187" s="3058">
        <v>1604</v>
      </c>
      <c r="E187" s="3058">
        <v>114.57</v>
      </c>
      <c r="F187" s="3058">
        <v>22500</v>
      </c>
      <c r="G187" s="3059">
        <f t="shared" si="5"/>
        <v>2577825</v>
      </c>
      <c r="H187" s="3059" t="s">
        <v>3055</v>
      </c>
      <c r="I187" s="3058" t="s">
        <v>3072</v>
      </c>
    </row>
    <row r="188" spans="1:9">
      <c r="A188" s="3059">
        <v>1812</v>
      </c>
      <c r="B188" s="3058" t="s">
        <v>3077</v>
      </c>
      <c r="D188" s="3058">
        <v>1704</v>
      </c>
      <c r="E188" s="3058">
        <v>114.57</v>
      </c>
      <c r="F188" s="3058">
        <v>22500</v>
      </c>
      <c r="G188" s="3059">
        <f t="shared" si="5"/>
        <v>2577825</v>
      </c>
      <c r="H188" s="3059" t="s">
        <v>3055</v>
      </c>
      <c r="I188" s="3058" t="s">
        <v>3072</v>
      </c>
    </row>
    <row r="189" spans="1:9">
      <c r="A189" s="3059">
        <v>1813</v>
      </c>
      <c r="B189" s="3058" t="s">
        <v>3077</v>
      </c>
      <c r="D189" s="3058">
        <v>1804</v>
      </c>
      <c r="E189" s="3058">
        <v>114.57</v>
      </c>
      <c r="F189" s="3058">
        <v>22500</v>
      </c>
      <c r="G189" s="3059">
        <f t="shared" si="5"/>
        <v>2577825</v>
      </c>
      <c r="H189" s="3059" t="s">
        <v>3055</v>
      </c>
      <c r="I189" s="3058" t="s">
        <v>3072</v>
      </c>
    </row>
    <row r="190" spans="1:9">
      <c r="A190" s="3059">
        <v>1814</v>
      </c>
      <c r="B190" s="3058" t="s">
        <v>3077</v>
      </c>
      <c r="D190" s="3058">
        <v>1904</v>
      </c>
      <c r="E190" s="3058">
        <v>114.57</v>
      </c>
      <c r="F190" s="3058">
        <v>22500</v>
      </c>
      <c r="G190" s="3059">
        <f t="shared" si="5"/>
        <v>2577825</v>
      </c>
      <c r="H190" s="3059" t="s">
        <v>3055</v>
      </c>
      <c r="I190" s="3058" t="s">
        <v>3072</v>
      </c>
    </row>
    <row r="191" spans="1:9">
      <c r="A191" s="3059">
        <v>1815</v>
      </c>
      <c r="B191" s="3058" t="s">
        <v>3077</v>
      </c>
      <c r="D191" s="3058">
        <v>2004</v>
      </c>
      <c r="E191" s="3058">
        <v>114.57</v>
      </c>
      <c r="F191" s="3058">
        <v>22500</v>
      </c>
      <c r="G191" s="3059">
        <f t="shared" si="5"/>
        <v>2577825</v>
      </c>
      <c r="H191" s="3059" t="s">
        <v>3055</v>
      </c>
      <c r="I191" s="3058" t="s">
        <v>3072</v>
      </c>
    </row>
    <row r="192" spans="1:9">
      <c r="A192" s="3059">
        <v>1816</v>
      </c>
      <c r="B192" s="3058" t="s">
        <v>3077</v>
      </c>
      <c r="D192" s="3058">
        <v>2104</v>
      </c>
      <c r="E192" s="3058">
        <v>114.57</v>
      </c>
      <c r="F192" s="3058">
        <v>22500</v>
      </c>
      <c r="G192" s="3059">
        <f t="shared" si="5"/>
        <v>2577825</v>
      </c>
      <c r="H192" s="3059" t="s">
        <v>3055</v>
      </c>
      <c r="I192" s="3058" t="s">
        <v>3072</v>
      </c>
    </row>
    <row r="193" spans="1:10">
      <c r="A193" s="3059">
        <v>1817</v>
      </c>
      <c r="B193" s="3058" t="s">
        <v>3077</v>
      </c>
      <c r="D193" s="3058">
        <v>2204</v>
      </c>
      <c r="E193" s="3058">
        <v>114.57</v>
      </c>
      <c r="F193" s="3058">
        <v>22500</v>
      </c>
      <c r="G193" s="3059">
        <f t="shared" ref="G193:G256" si="6">E193*F193</f>
        <v>2577825</v>
      </c>
      <c r="H193" s="3059" t="s">
        <v>3055</v>
      </c>
      <c r="I193" s="3058" t="s">
        <v>3072</v>
      </c>
    </row>
    <row r="194" spans="1:10">
      <c r="A194" s="3059">
        <v>1818</v>
      </c>
      <c r="B194" s="3058" t="s">
        <v>3077</v>
      </c>
      <c r="D194" s="3058">
        <v>2304</v>
      </c>
      <c r="E194" s="3058">
        <v>114.57</v>
      </c>
      <c r="F194" s="3058">
        <v>22500</v>
      </c>
      <c r="G194" s="3059">
        <f t="shared" si="6"/>
        <v>2577825</v>
      </c>
      <c r="H194" s="3059" t="s">
        <v>3055</v>
      </c>
      <c r="I194" s="3058" t="s">
        <v>3072</v>
      </c>
    </row>
    <row r="195" spans="1:10">
      <c r="A195" s="3059">
        <v>1819</v>
      </c>
      <c r="B195" s="3058" t="s">
        <v>3077</v>
      </c>
      <c r="D195" s="3058">
        <v>2404</v>
      </c>
      <c r="E195" s="3058">
        <v>114.57</v>
      </c>
      <c r="F195" s="3058">
        <v>22500</v>
      </c>
      <c r="G195" s="3059">
        <f t="shared" si="6"/>
        <v>2577825</v>
      </c>
      <c r="H195" s="3059" t="s">
        <v>3055</v>
      </c>
      <c r="I195" s="3058" t="s">
        <v>3072</v>
      </c>
    </row>
    <row r="196" spans="1:10">
      <c r="A196" s="3059">
        <v>1820</v>
      </c>
      <c r="B196" s="3058" t="s">
        <v>3077</v>
      </c>
      <c r="D196" s="3058">
        <v>2504</v>
      </c>
      <c r="E196" s="3058">
        <v>114.57</v>
      </c>
      <c r="F196" s="3058">
        <v>22500</v>
      </c>
      <c r="G196" s="3059">
        <f t="shared" si="6"/>
        <v>2577825</v>
      </c>
      <c r="H196" s="3059" t="s">
        <v>3055</v>
      </c>
      <c r="I196" s="3058" t="s">
        <v>3072</v>
      </c>
      <c r="J196" s="3058">
        <f>SUM(E101:E196)</f>
        <v>10422.959999999992</v>
      </c>
    </row>
    <row r="197" spans="1:10">
      <c r="A197" s="3059">
        <v>1821</v>
      </c>
      <c r="B197" s="3058" t="s">
        <v>3076</v>
      </c>
      <c r="D197" s="3058">
        <v>101</v>
      </c>
      <c r="E197" s="3058">
        <v>240.27</v>
      </c>
      <c r="F197" s="3058">
        <v>22500</v>
      </c>
      <c r="G197" s="3059">
        <f t="shared" si="6"/>
        <v>5406075</v>
      </c>
      <c r="H197" s="3059" t="s">
        <v>3055</v>
      </c>
      <c r="I197" s="3058" t="s">
        <v>3072</v>
      </c>
    </row>
    <row r="198" spans="1:10">
      <c r="A198" s="3059">
        <v>1822</v>
      </c>
      <c r="B198" s="3058" t="s">
        <v>3076</v>
      </c>
      <c r="D198" s="3058">
        <v>201</v>
      </c>
      <c r="E198" s="3058">
        <v>128.15</v>
      </c>
      <c r="F198" s="3058">
        <v>22500</v>
      </c>
      <c r="G198" s="3059">
        <f t="shared" si="6"/>
        <v>2883375</v>
      </c>
      <c r="H198" s="3059" t="s">
        <v>3055</v>
      </c>
      <c r="I198" s="3058" t="s">
        <v>3072</v>
      </c>
    </row>
    <row r="199" spans="1:10">
      <c r="A199" s="3059">
        <v>1823</v>
      </c>
      <c r="B199" s="3058" t="s">
        <v>3076</v>
      </c>
      <c r="D199" s="3058">
        <v>301</v>
      </c>
      <c r="E199" s="3058">
        <v>128.15</v>
      </c>
      <c r="F199" s="3058">
        <v>22500</v>
      </c>
      <c r="G199" s="3059">
        <f t="shared" si="6"/>
        <v>2883375</v>
      </c>
      <c r="H199" s="3059" t="s">
        <v>3055</v>
      </c>
      <c r="I199" s="3058" t="s">
        <v>3072</v>
      </c>
    </row>
    <row r="200" spans="1:10">
      <c r="A200" s="3059">
        <v>1824</v>
      </c>
      <c r="B200" s="3058" t="s">
        <v>3076</v>
      </c>
      <c r="D200" s="3058">
        <v>401</v>
      </c>
      <c r="E200" s="3058">
        <v>128.15</v>
      </c>
      <c r="F200" s="3058">
        <v>22500</v>
      </c>
      <c r="G200" s="3059">
        <f t="shared" si="6"/>
        <v>2883375</v>
      </c>
      <c r="H200" s="3059" t="s">
        <v>3055</v>
      </c>
      <c r="I200" s="3058" t="s">
        <v>3072</v>
      </c>
    </row>
    <row r="201" spans="1:10">
      <c r="A201" s="3059">
        <v>1825</v>
      </c>
      <c r="B201" s="3058" t="s">
        <v>3076</v>
      </c>
      <c r="D201" s="3058">
        <v>501</v>
      </c>
      <c r="E201" s="3058">
        <v>128.15</v>
      </c>
      <c r="F201" s="3058">
        <v>22500</v>
      </c>
      <c r="G201" s="3059">
        <f t="shared" si="6"/>
        <v>2883375</v>
      </c>
      <c r="H201" s="3059" t="s">
        <v>3055</v>
      </c>
      <c r="I201" s="3058" t="s">
        <v>3072</v>
      </c>
    </row>
    <row r="202" spans="1:10">
      <c r="A202" s="3059">
        <v>1826</v>
      </c>
      <c r="B202" s="3058" t="s">
        <v>3076</v>
      </c>
      <c r="D202" s="3058">
        <v>601</v>
      </c>
      <c r="E202" s="3058">
        <v>128.15</v>
      </c>
      <c r="F202" s="3058">
        <v>22500</v>
      </c>
      <c r="G202" s="3059">
        <f t="shared" si="6"/>
        <v>2883375</v>
      </c>
      <c r="H202" s="3059" t="s">
        <v>3055</v>
      </c>
      <c r="I202" s="3058" t="s">
        <v>3072</v>
      </c>
    </row>
    <row r="203" spans="1:10">
      <c r="A203" s="3059">
        <v>1827</v>
      </c>
      <c r="B203" s="3058" t="s">
        <v>3076</v>
      </c>
      <c r="D203" s="3058">
        <v>701</v>
      </c>
      <c r="E203" s="3058">
        <v>128.15</v>
      </c>
      <c r="F203" s="3058">
        <v>22500</v>
      </c>
      <c r="G203" s="3059">
        <f t="shared" si="6"/>
        <v>2883375</v>
      </c>
      <c r="H203" s="3059" t="s">
        <v>3055</v>
      </c>
      <c r="I203" s="3058" t="s">
        <v>3072</v>
      </c>
    </row>
    <row r="204" spans="1:10">
      <c r="A204" s="3059">
        <v>1828</v>
      </c>
      <c r="B204" s="3058" t="s">
        <v>3076</v>
      </c>
      <c r="D204" s="3058">
        <v>801</v>
      </c>
      <c r="E204" s="3058">
        <v>128.15</v>
      </c>
      <c r="F204" s="3058">
        <v>22500</v>
      </c>
      <c r="G204" s="3059">
        <f t="shared" si="6"/>
        <v>2883375</v>
      </c>
      <c r="H204" s="3059" t="s">
        <v>3055</v>
      </c>
      <c r="I204" s="3058" t="s">
        <v>3072</v>
      </c>
    </row>
    <row r="205" spans="1:10">
      <c r="A205" s="3059">
        <v>1829</v>
      </c>
      <c r="B205" s="3058" t="s">
        <v>3076</v>
      </c>
      <c r="D205" s="3058">
        <v>901</v>
      </c>
      <c r="E205" s="3058">
        <v>128.15</v>
      </c>
      <c r="F205" s="3058">
        <v>22500</v>
      </c>
      <c r="G205" s="3059">
        <f t="shared" si="6"/>
        <v>2883375</v>
      </c>
      <c r="H205" s="3059" t="s">
        <v>3055</v>
      </c>
      <c r="I205" s="3058" t="s">
        <v>3072</v>
      </c>
    </row>
    <row r="206" spans="1:10">
      <c r="A206" s="3059">
        <v>1830</v>
      </c>
      <c r="B206" s="3058" t="s">
        <v>3076</v>
      </c>
      <c r="D206" s="3058">
        <v>1001</v>
      </c>
      <c r="E206" s="3058">
        <v>128.15</v>
      </c>
      <c r="F206" s="3058">
        <v>22500</v>
      </c>
      <c r="G206" s="3059">
        <f t="shared" si="6"/>
        <v>2883375</v>
      </c>
      <c r="H206" s="3059" t="s">
        <v>3055</v>
      </c>
      <c r="I206" s="3058" t="s">
        <v>3072</v>
      </c>
    </row>
    <row r="207" spans="1:10">
      <c r="A207" s="3059">
        <v>1831</v>
      </c>
      <c r="B207" s="3058" t="s">
        <v>3076</v>
      </c>
      <c r="D207" s="3058">
        <v>1101</v>
      </c>
      <c r="E207" s="3058">
        <v>128.15</v>
      </c>
      <c r="F207" s="3058">
        <v>22500</v>
      </c>
      <c r="G207" s="3059">
        <f t="shared" si="6"/>
        <v>2883375</v>
      </c>
      <c r="H207" s="3059" t="s">
        <v>3055</v>
      </c>
      <c r="I207" s="3058" t="s">
        <v>3072</v>
      </c>
    </row>
    <row r="208" spans="1:10">
      <c r="A208" s="3059">
        <v>1832</v>
      </c>
      <c r="B208" s="3058" t="s">
        <v>3076</v>
      </c>
      <c r="D208" s="3058">
        <v>1201</v>
      </c>
      <c r="E208" s="3058">
        <v>128.15</v>
      </c>
      <c r="F208" s="3058">
        <v>22500</v>
      </c>
      <c r="G208" s="3059">
        <f t="shared" si="6"/>
        <v>2883375</v>
      </c>
      <c r="H208" s="3059" t="s">
        <v>3055</v>
      </c>
      <c r="I208" s="3058" t="s">
        <v>3072</v>
      </c>
    </row>
    <row r="209" spans="1:9">
      <c r="A209" s="3059">
        <v>1833</v>
      </c>
      <c r="B209" s="3058" t="s">
        <v>3076</v>
      </c>
      <c r="D209" s="3058">
        <v>1301</v>
      </c>
      <c r="E209" s="3058">
        <v>128.15</v>
      </c>
      <c r="F209" s="3058">
        <v>22500</v>
      </c>
      <c r="G209" s="3059">
        <f t="shared" si="6"/>
        <v>2883375</v>
      </c>
      <c r="H209" s="3059" t="s">
        <v>3055</v>
      </c>
      <c r="I209" s="3058" t="s">
        <v>3072</v>
      </c>
    </row>
    <row r="210" spans="1:9">
      <c r="A210" s="3059">
        <v>1834</v>
      </c>
      <c r="B210" s="3058" t="s">
        <v>3076</v>
      </c>
      <c r="D210" s="3058">
        <v>1401</v>
      </c>
      <c r="E210" s="3058">
        <v>128.15</v>
      </c>
      <c r="F210" s="3058">
        <v>22500</v>
      </c>
      <c r="G210" s="3059">
        <f t="shared" si="6"/>
        <v>2883375</v>
      </c>
      <c r="H210" s="3059" t="s">
        <v>3055</v>
      </c>
      <c r="I210" s="3058" t="s">
        <v>3072</v>
      </c>
    </row>
    <row r="211" spans="1:9">
      <c r="A211" s="3059">
        <v>1835</v>
      </c>
      <c r="B211" s="3058" t="s">
        <v>3076</v>
      </c>
      <c r="D211" s="3058">
        <v>1501</v>
      </c>
      <c r="E211" s="3058">
        <v>128.15</v>
      </c>
      <c r="F211" s="3058">
        <v>22500</v>
      </c>
      <c r="G211" s="3059">
        <f t="shared" si="6"/>
        <v>2883375</v>
      </c>
      <c r="H211" s="3059" t="s">
        <v>3055</v>
      </c>
      <c r="I211" s="3058" t="s">
        <v>3072</v>
      </c>
    </row>
    <row r="212" spans="1:9">
      <c r="A212" s="3059">
        <v>1836</v>
      </c>
      <c r="B212" s="3058" t="s">
        <v>3076</v>
      </c>
      <c r="D212" s="3058">
        <v>1601</v>
      </c>
      <c r="E212" s="3058">
        <v>128.15</v>
      </c>
      <c r="F212" s="3058">
        <v>22500</v>
      </c>
      <c r="G212" s="3059">
        <f t="shared" si="6"/>
        <v>2883375</v>
      </c>
      <c r="H212" s="3059" t="s">
        <v>3055</v>
      </c>
      <c r="I212" s="3058" t="s">
        <v>3072</v>
      </c>
    </row>
    <row r="213" spans="1:9">
      <c r="A213" s="3059">
        <v>1837</v>
      </c>
      <c r="B213" s="3058" t="s">
        <v>3076</v>
      </c>
      <c r="D213" s="3058">
        <v>1701</v>
      </c>
      <c r="E213" s="3058">
        <v>128.15</v>
      </c>
      <c r="F213" s="3058">
        <v>22500</v>
      </c>
      <c r="G213" s="3059">
        <f t="shared" si="6"/>
        <v>2883375</v>
      </c>
      <c r="H213" s="3059" t="s">
        <v>3055</v>
      </c>
      <c r="I213" s="3058" t="s">
        <v>3072</v>
      </c>
    </row>
    <row r="214" spans="1:9">
      <c r="A214" s="3059">
        <v>1838</v>
      </c>
      <c r="B214" s="3058" t="s">
        <v>3076</v>
      </c>
      <c r="D214" s="3058">
        <v>1801</v>
      </c>
      <c r="E214" s="3058">
        <v>128.15</v>
      </c>
      <c r="F214" s="3058">
        <v>22500</v>
      </c>
      <c r="G214" s="3059">
        <f t="shared" si="6"/>
        <v>2883375</v>
      </c>
      <c r="H214" s="3059" t="s">
        <v>3055</v>
      </c>
      <c r="I214" s="3058" t="s">
        <v>3072</v>
      </c>
    </row>
    <row r="215" spans="1:9">
      <c r="A215" s="3059">
        <v>1839</v>
      </c>
      <c r="B215" s="3058" t="s">
        <v>3076</v>
      </c>
      <c r="D215" s="3058">
        <v>1901</v>
      </c>
      <c r="E215" s="3058">
        <v>128.15</v>
      </c>
      <c r="F215" s="3058">
        <v>22500</v>
      </c>
      <c r="G215" s="3059">
        <f t="shared" si="6"/>
        <v>2883375</v>
      </c>
      <c r="H215" s="3059" t="s">
        <v>3055</v>
      </c>
      <c r="I215" s="3058" t="s">
        <v>3072</v>
      </c>
    </row>
    <row r="216" spans="1:9">
      <c r="A216" s="3059">
        <v>1840</v>
      </c>
      <c r="B216" s="3058" t="s">
        <v>3076</v>
      </c>
      <c r="D216" s="3058">
        <v>2001</v>
      </c>
      <c r="E216" s="3058">
        <v>128.15</v>
      </c>
      <c r="F216" s="3058">
        <v>22500</v>
      </c>
      <c r="G216" s="3059">
        <f t="shared" si="6"/>
        <v>2883375</v>
      </c>
      <c r="H216" s="3059" t="s">
        <v>3055</v>
      </c>
      <c r="I216" s="3058" t="s">
        <v>3072</v>
      </c>
    </row>
    <row r="217" spans="1:9">
      <c r="A217" s="3059">
        <v>1841</v>
      </c>
      <c r="B217" s="3058" t="s">
        <v>3076</v>
      </c>
      <c r="D217" s="3058">
        <v>2101</v>
      </c>
      <c r="E217" s="3058">
        <v>128.15</v>
      </c>
      <c r="F217" s="3058">
        <v>22500</v>
      </c>
      <c r="G217" s="3059">
        <f t="shared" si="6"/>
        <v>2883375</v>
      </c>
      <c r="H217" s="3059" t="s">
        <v>3055</v>
      </c>
      <c r="I217" s="3058" t="s">
        <v>3072</v>
      </c>
    </row>
    <row r="218" spans="1:9">
      <c r="A218" s="3059">
        <v>1842</v>
      </c>
      <c r="B218" s="3058" t="s">
        <v>3076</v>
      </c>
      <c r="D218" s="3058">
        <v>2201</v>
      </c>
      <c r="E218" s="3058">
        <v>128.15</v>
      </c>
      <c r="F218" s="3058">
        <v>22500</v>
      </c>
      <c r="G218" s="3059">
        <f t="shared" si="6"/>
        <v>2883375</v>
      </c>
      <c r="H218" s="3059" t="s">
        <v>3055</v>
      </c>
      <c r="I218" s="3058" t="s">
        <v>3072</v>
      </c>
    </row>
    <row r="219" spans="1:9">
      <c r="A219" s="3059">
        <v>1843</v>
      </c>
      <c r="B219" s="3058" t="s">
        <v>3076</v>
      </c>
      <c r="D219" s="3058">
        <v>2301</v>
      </c>
      <c r="E219" s="3058">
        <v>128.15</v>
      </c>
      <c r="F219" s="3058">
        <v>22500</v>
      </c>
      <c r="G219" s="3059">
        <f t="shared" si="6"/>
        <v>2883375</v>
      </c>
      <c r="H219" s="3059" t="s">
        <v>3055</v>
      </c>
      <c r="I219" s="3058" t="s">
        <v>3072</v>
      </c>
    </row>
    <row r="220" spans="1:9">
      <c r="A220" s="3059">
        <v>1844</v>
      </c>
      <c r="B220" s="3058" t="s">
        <v>3076</v>
      </c>
      <c r="D220" s="3058">
        <v>2401</v>
      </c>
      <c r="E220" s="3058">
        <v>128.15</v>
      </c>
      <c r="F220" s="3058">
        <v>22500</v>
      </c>
      <c r="G220" s="3059">
        <f t="shared" si="6"/>
        <v>2883375</v>
      </c>
      <c r="H220" s="3059" t="s">
        <v>3055</v>
      </c>
      <c r="I220" s="3058" t="s">
        <v>3072</v>
      </c>
    </row>
    <row r="221" spans="1:9">
      <c r="A221" s="3059">
        <v>1845</v>
      </c>
      <c r="B221" s="3058" t="s">
        <v>3076</v>
      </c>
      <c r="D221" s="3058">
        <v>202</v>
      </c>
      <c r="E221" s="3058">
        <v>118.18</v>
      </c>
      <c r="F221" s="3058">
        <v>22500</v>
      </c>
      <c r="G221" s="3059">
        <f t="shared" si="6"/>
        <v>2659050</v>
      </c>
      <c r="H221" s="3059" t="s">
        <v>3055</v>
      </c>
      <c r="I221" s="3058" t="s">
        <v>3072</v>
      </c>
    </row>
    <row r="222" spans="1:9">
      <c r="A222" s="3059">
        <v>1846</v>
      </c>
      <c r="B222" s="3058" t="s">
        <v>3076</v>
      </c>
      <c r="D222" s="3058">
        <v>302</v>
      </c>
      <c r="E222" s="3058">
        <v>118.18</v>
      </c>
      <c r="F222" s="3058">
        <v>22500</v>
      </c>
      <c r="G222" s="3059">
        <f t="shared" si="6"/>
        <v>2659050</v>
      </c>
      <c r="H222" s="3059" t="s">
        <v>3055</v>
      </c>
      <c r="I222" s="3058" t="s">
        <v>3072</v>
      </c>
    </row>
    <row r="223" spans="1:9">
      <c r="A223" s="3059">
        <v>1847</v>
      </c>
      <c r="B223" s="3058" t="s">
        <v>3076</v>
      </c>
      <c r="D223" s="3058">
        <v>402</v>
      </c>
      <c r="E223" s="3058">
        <v>118.18</v>
      </c>
      <c r="F223" s="3058">
        <v>22500</v>
      </c>
      <c r="G223" s="3059">
        <f t="shared" si="6"/>
        <v>2659050</v>
      </c>
      <c r="H223" s="3059" t="s">
        <v>3055</v>
      </c>
      <c r="I223" s="3058" t="s">
        <v>3072</v>
      </c>
    </row>
    <row r="224" spans="1:9">
      <c r="A224" s="3059">
        <v>1848</v>
      </c>
      <c r="B224" s="3058" t="s">
        <v>3076</v>
      </c>
      <c r="D224" s="3058">
        <v>502</v>
      </c>
      <c r="E224" s="3058">
        <v>118.18</v>
      </c>
      <c r="F224" s="3058">
        <v>22500</v>
      </c>
      <c r="G224" s="3059">
        <f t="shared" si="6"/>
        <v>2659050</v>
      </c>
      <c r="H224" s="3059" t="s">
        <v>3055</v>
      </c>
      <c r="I224" s="3058" t="s">
        <v>3072</v>
      </c>
    </row>
    <row r="225" spans="1:9">
      <c r="A225" s="3059">
        <v>1849</v>
      </c>
      <c r="B225" s="3058" t="s">
        <v>3076</v>
      </c>
      <c r="D225" s="3058">
        <v>602</v>
      </c>
      <c r="E225" s="3058">
        <v>118.18</v>
      </c>
      <c r="F225" s="3058">
        <v>22500</v>
      </c>
      <c r="G225" s="3059">
        <f t="shared" si="6"/>
        <v>2659050</v>
      </c>
      <c r="H225" s="3059" t="s">
        <v>3055</v>
      </c>
      <c r="I225" s="3058" t="s">
        <v>3072</v>
      </c>
    </row>
    <row r="226" spans="1:9">
      <c r="A226" s="3059">
        <v>1850</v>
      </c>
      <c r="B226" s="3058" t="s">
        <v>3076</v>
      </c>
      <c r="D226" s="3058">
        <v>702</v>
      </c>
      <c r="E226" s="3058">
        <v>118.18</v>
      </c>
      <c r="F226" s="3058">
        <v>22500</v>
      </c>
      <c r="G226" s="3059">
        <f t="shared" si="6"/>
        <v>2659050</v>
      </c>
      <c r="H226" s="3059" t="s">
        <v>3055</v>
      </c>
      <c r="I226" s="3058" t="s">
        <v>3072</v>
      </c>
    </row>
    <row r="227" spans="1:9">
      <c r="A227" s="3059">
        <v>1851</v>
      </c>
      <c r="B227" s="3058" t="s">
        <v>3076</v>
      </c>
      <c r="D227" s="3058">
        <v>802</v>
      </c>
      <c r="E227" s="3058">
        <v>118.18</v>
      </c>
      <c r="F227" s="3058">
        <v>22500</v>
      </c>
      <c r="G227" s="3059">
        <f t="shared" si="6"/>
        <v>2659050</v>
      </c>
      <c r="H227" s="3059" t="s">
        <v>3055</v>
      </c>
      <c r="I227" s="3058" t="s">
        <v>3072</v>
      </c>
    </row>
    <row r="228" spans="1:9">
      <c r="A228" s="3059">
        <v>1852</v>
      </c>
      <c r="B228" s="3058" t="s">
        <v>3076</v>
      </c>
      <c r="D228" s="3058">
        <v>902</v>
      </c>
      <c r="E228" s="3058">
        <v>118.18</v>
      </c>
      <c r="F228" s="3058">
        <v>22500</v>
      </c>
      <c r="G228" s="3059">
        <f t="shared" si="6"/>
        <v>2659050</v>
      </c>
      <c r="H228" s="3059" t="s">
        <v>3055</v>
      </c>
      <c r="I228" s="3058" t="s">
        <v>3072</v>
      </c>
    </row>
    <row r="229" spans="1:9">
      <c r="A229" s="3059">
        <v>1853</v>
      </c>
      <c r="B229" s="3058" t="s">
        <v>3076</v>
      </c>
      <c r="D229" s="3058">
        <v>1002</v>
      </c>
      <c r="E229" s="3058">
        <v>118.18</v>
      </c>
      <c r="F229" s="3058">
        <v>22500</v>
      </c>
      <c r="G229" s="3059">
        <f t="shared" si="6"/>
        <v>2659050</v>
      </c>
      <c r="H229" s="3059" t="s">
        <v>3055</v>
      </c>
      <c r="I229" s="3058" t="s">
        <v>3072</v>
      </c>
    </row>
    <row r="230" spans="1:9">
      <c r="A230" s="3059">
        <v>1854</v>
      </c>
      <c r="B230" s="3058" t="s">
        <v>3076</v>
      </c>
      <c r="D230" s="3058">
        <v>1102</v>
      </c>
      <c r="E230" s="3058">
        <v>118.18</v>
      </c>
      <c r="F230" s="3058">
        <v>22500</v>
      </c>
      <c r="G230" s="3059">
        <f t="shared" si="6"/>
        <v>2659050</v>
      </c>
      <c r="H230" s="3059" t="s">
        <v>3055</v>
      </c>
      <c r="I230" s="3058" t="s">
        <v>3072</v>
      </c>
    </row>
    <row r="231" spans="1:9">
      <c r="A231" s="3059">
        <v>1855</v>
      </c>
      <c r="B231" s="3058" t="s">
        <v>3076</v>
      </c>
      <c r="D231" s="3058">
        <v>1202</v>
      </c>
      <c r="E231" s="3058">
        <v>118.18</v>
      </c>
      <c r="F231" s="3058">
        <v>22500</v>
      </c>
      <c r="G231" s="3059">
        <f t="shared" si="6"/>
        <v>2659050</v>
      </c>
      <c r="H231" s="3059" t="s">
        <v>3055</v>
      </c>
      <c r="I231" s="3058" t="s">
        <v>3072</v>
      </c>
    </row>
    <row r="232" spans="1:9">
      <c r="A232" s="3059">
        <v>1856</v>
      </c>
      <c r="B232" s="3058" t="s">
        <v>3076</v>
      </c>
      <c r="D232" s="3058">
        <v>1302</v>
      </c>
      <c r="E232" s="3058">
        <v>118.18</v>
      </c>
      <c r="F232" s="3058">
        <v>22500</v>
      </c>
      <c r="G232" s="3059">
        <f t="shared" si="6"/>
        <v>2659050</v>
      </c>
      <c r="H232" s="3059" t="s">
        <v>3055</v>
      </c>
      <c r="I232" s="3058" t="s">
        <v>3072</v>
      </c>
    </row>
    <row r="233" spans="1:9">
      <c r="A233" s="3059">
        <v>1857</v>
      </c>
      <c r="B233" s="3058" t="s">
        <v>3076</v>
      </c>
      <c r="D233" s="3058">
        <v>1402</v>
      </c>
      <c r="E233" s="3058">
        <v>118.18</v>
      </c>
      <c r="F233" s="3058">
        <v>22500</v>
      </c>
      <c r="G233" s="3059">
        <f t="shared" si="6"/>
        <v>2659050</v>
      </c>
      <c r="H233" s="3059" t="s">
        <v>3055</v>
      </c>
      <c r="I233" s="3058" t="s">
        <v>3072</v>
      </c>
    </row>
    <row r="234" spans="1:9">
      <c r="A234" s="3059">
        <v>1858</v>
      </c>
      <c r="B234" s="3058" t="s">
        <v>3076</v>
      </c>
      <c r="D234" s="3058">
        <v>1502</v>
      </c>
      <c r="E234" s="3058">
        <v>118.18</v>
      </c>
      <c r="F234" s="3058">
        <v>22500</v>
      </c>
      <c r="G234" s="3059">
        <f t="shared" si="6"/>
        <v>2659050</v>
      </c>
      <c r="H234" s="3059" t="s">
        <v>3055</v>
      </c>
      <c r="I234" s="3058" t="s">
        <v>3072</v>
      </c>
    </row>
    <row r="235" spans="1:9">
      <c r="A235" s="3059">
        <v>1859</v>
      </c>
      <c r="B235" s="3058" t="s">
        <v>3076</v>
      </c>
      <c r="D235" s="3058">
        <v>1602</v>
      </c>
      <c r="E235" s="3058">
        <v>118.18</v>
      </c>
      <c r="F235" s="3058">
        <v>22500</v>
      </c>
      <c r="G235" s="3059">
        <f t="shared" si="6"/>
        <v>2659050</v>
      </c>
      <c r="H235" s="3059" t="s">
        <v>3055</v>
      </c>
      <c r="I235" s="3058" t="s">
        <v>3072</v>
      </c>
    </row>
    <row r="236" spans="1:9">
      <c r="A236" s="3059">
        <v>1860</v>
      </c>
      <c r="B236" s="3058" t="s">
        <v>3076</v>
      </c>
      <c r="D236" s="3058">
        <v>1702</v>
      </c>
      <c r="E236" s="3058">
        <v>118.18</v>
      </c>
      <c r="F236" s="3058">
        <v>22500</v>
      </c>
      <c r="G236" s="3059">
        <f t="shared" si="6"/>
        <v>2659050</v>
      </c>
      <c r="H236" s="3059" t="s">
        <v>3055</v>
      </c>
      <c r="I236" s="3058" t="s">
        <v>3072</v>
      </c>
    </row>
    <row r="237" spans="1:9">
      <c r="A237" s="3059">
        <v>1861</v>
      </c>
      <c r="B237" s="3058" t="s">
        <v>3076</v>
      </c>
      <c r="D237" s="3058">
        <v>1802</v>
      </c>
      <c r="E237" s="3058">
        <v>118.18</v>
      </c>
      <c r="F237" s="3058">
        <v>22500</v>
      </c>
      <c r="G237" s="3059">
        <f t="shared" si="6"/>
        <v>2659050</v>
      </c>
      <c r="H237" s="3059" t="s">
        <v>3055</v>
      </c>
      <c r="I237" s="3058" t="s">
        <v>3072</v>
      </c>
    </row>
    <row r="238" spans="1:9">
      <c r="A238" s="3059">
        <v>1862</v>
      </c>
      <c r="B238" s="3058" t="s">
        <v>3076</v>
      </c>
      <c r="D238" s="3058">
        <v>1902</v>
      </c>
      <c r="E238" s="3058">
        <v>118.18</v>
      </c>
      <c r="F238" s="3058">
        <v>22500</v>
      </c>
      <c r="G238" s="3059">
        <f t="shared" si="6"/>
        <v>2659050</v>
      </c>
      <c r="H238" s="3059" t="s">
        <v>3055</v>
      </c>
      <c r="I238" s="3058" t="s">
        <v>3072</v>
      </c>
    </row>
    <row r="239" spans="1:9">
      <c r="A239" s="3059">
        <v>1863</v>
      </c>
      <c r="B239" s="3058" t="s">
        <v>3076</v>
      </c>
      <c r="D239" s="3058">
        <v>2002</v>
      </c>
      <c r="E239" s="3058">
        <v>118.18</v>
      </c>
      <c r="F239" s="3058">
        <v>22500</v>
      </c>
      <c r="G239" s="3059">
        <f t="shared" si="6"/>
        <v>2659050</v>
      </c>
      <c r="H239" s="3059" t="s">
        <v>3055</v>
      </c>
      <c r="I239" s="3058" t="s">
        <v>3072</v>
      </c>
    </row>
    <row r="240" spans="1:9">
      <c r="A240" s="3059">
        <v>1864</v>
      </c>
      <c r="B240" s="3058" t="s">
        <v>3076</v>
      </c>
      <c r="D240" s="3058">
        <v>2102</v>
      </c>
      <c r="E240" s="3058">
        <v>118.18</v>
      </c>
      <c r="F240" s="3058">
        <v>22500</v>
      </c>
      <c r="G240" s="3059">
        <f t="shared" si="6"/>
        <v>2659050</v>
      </c>
      <c r="H240" s="3059" t="s">
        <v>3055</v>
      </c>
      <c r="I240" s="3058" t="s">
        <v>3072</v>
      </c>
    </row>
    <row r="241" spans="1:9">
      <c r="A241" s="3059">
        <v>1865</v>
      </c>
      <c r="B241" s="3058" t="s">
        <v>3076</v>
      </c>
      <c r="D241" s="3058">
        <v>2202</v>
      </c>
      <c r="E241" s="3058">
        <v>118.18</v>
      </c>
      <c r="F241" s="3058">
        <v>22500</v>
      </c>
      <c r="G241" s="3059">
        <f t="shared" si="6"/>
        <v>2659050</v>
      </c>
      <c r="H241" s="3059" t="s">
        <v>3055</v>
      </c>
      <c r="I241" s="3058" t="s">
        <v>3072</v>
      </c>
    </row>
    <row r="242" spans="1:9">
      <c r="A242" s="3059">
        <v>1866</v>
      </c>
      <c r="B242" s="3058" t="s">
        <v>3076</v>
      </c>
      <c r="D242" s="3058">
        <v>2302</v>
      </c>
      <c r="E242" s="3058">
        <v>118.18</v>
      </c>
      <c r="F242" s="3058">
        <v>22500</v>
      </c>
      <c r="G242" s="3059">
        <f t="shared" si="6"/>
        <v>2659050</v>
      </c>
      <c r="H242" s="3059" t="s">
        <v>3055</v>
      </c>
      <c r="I242" s="3058" t="s">
        <v>3072</v>
      </c>
    </row>
    <row r="243" spans="1:9">
      <c r="A243" s="3059">
        <v>1867</v>
      </c>
      <c r="B243" s="3058" t="s">
        <v>3076</v>
      </c>
      <c r="D243" s="3058">
        <v>2402</v>
      </c>
      <c r="E243" s="3058">
        <v>118.18</v>
      </c>
      <c r="F243" s="3058">
        <v>22500</v>
      </c>
      <c r="G243" s="3059">
        <f t="shared" si="6"/>
        <v>2659050</v>
      </c>
      <c r="H243" s="3059" t="s">
        <v>3055</v>
      </c>
      <c r="I243" s="3058" t="s">
        <v>3072</v>
      </c>
    </row>
    <row r="244" spans="1:9">
      <c r="A244" s="3059">
        <v>1868</v>
      </c>
      <c r="B244" s="3058" t="s">
        <v>3076</v>
      </c>
      <c r="D244" s="3058">
        <v>203</v>
      </c>
      <c r="E244" s="3058">
        <v>118.05</v>
      </c>
      <c r="F244" s="3058">
        <v>22500</v>
      </c>
      <c r="G244" s="3059">
        <f t="shared" si="6"/>
        <v>2656125</v>
      </c>
      <c r="H244" s="3059" t="s">
        <v>3055</v>
      </c>
      <c r="I244" s="3058" t="s">
        <v>3072</v>
      </c>
    </row>
    <row r="245" spans="1:9">
      <c r="A245" s="3059">
        <v>1869</v>
      </c>
      <c r="B245" s="3058" t="s">
        <v>3076</v>
      </c>
      <c r="D245" s="3058">
        <v>303</v>
      </c>
      <c r="E245" s="3058">
        <v>118.05</v>
      </c>
      <c r="F245" s="3058">
        <v>22500</v>
      </c>
      <c r="G245" s="3059">
        <f t="shared" si="6"/>
        <v>2656125</v>
      </c>
      <c r="H245" s="3059" t="s">
        <v>3055</v>
      </c>
      <c r="I245" s="3058" t="s">
        <v>3072</v>
      </c>
    </row>
    <row r="246" spans="1:9">
      <c r="A246" s="3059">
        <v>1870</v>
      </c>
      <c r="B246" s="3058" t="s">
        <v>3076</v>
      </c>
      <c r="D246" s="3058">
        <v>403</v>
      </c>
      <c r="E246" s="3058">
        <v>118.05</v>
      </c>
      <c r="F246" s="3058">
        <v>22500</v>
      </c>
      <c r="G246" s="3059">
        <f t="shared" si="6"/>
        <v>2656125</v>
      </c>
      <c r="H246" s="3059" t="s">
        <v>3055</v>
      </c>
      <c r="I246" s="3058" t="s">
        <v>3072</v>
      </c>
    </row>
    <row r="247" spans="1:9">
      <c r="A247" s="3059">
        <v>1871</v>
      </c>
      <c r="B247" s="3058" t="s">
        <v>3076</v>
      </c>
      <c r="D247" s="3058">
        <v>503</v>
      </c>
      <c r="E247" s="3058">
        <v>118.05</v>
      </c>
      <c r="F247" s="3058">
        <v>22500</v>
      </c>
      <c r="G247" s="3059">
        <f t="shared" si="6"/>
        <v>2656125</v>
      </c>
      <c r="H247" s="3059" t="s">
        <v>3055</v>
      </c>
      <c r="I247" s="3058" t="s">
        <v>3072</v>
      </c>
    </row>
    <row r="248" spans="1:9">
      <c r="A248" s="3059">
        <v>1872</v>
      </c>
      <c r="B248" s="3058" t="s">
        <v>3076</v>
      </c>
      <c r="D248" s="3058">
        <v>603</v>
      </c>
      <c r="E248" s="3058">
        <v>118.05</v>
      </c>
      <c r="F248" s="3058">
        <v>22500</v>
      </c>
      <c r="G248" s="3059">
        <f t="shared" si="6"/>
        <v>2656125</v>
      </c>
      <c r="H248" s="3059" t="s">
        <v>3055</v>
      </c>
      <c r="I248" s="3058" t="s">
        <v>3072</v>
      </c>
    </row>
    <row r="249" spans="1:9">
      <c r="A249" s="3059">
        <v>1873</v>
      </c>
      <c r="B249" s="3058" t="s">
        <v>3076</v>
      </c>
      <c r="D249" s="3058">
        <v>703</v>
      </c>
      <c r="E249" s="3058">
        <v>118.05</v>
      </c>
      <c r="F249" s="3058">
        <v>22500</v>
      </c>
      <c r="G249" s="3059">
        <f t="shared" si="6"/>
        <v>2656125</v>
      </c>
      <c r="H249" s="3059" t="s">
        <v>3055</v>
      </c>
      <c r="I249" s="3058" t="s">
        <v>3072</v>
      </c>
    </row>
    <row r="250" spans="1:9">
      <c r="A250" s="3059">
        <v>1874</v>
      </c>
      <c r="B250" s="3058" t="s">
        <v>3076</v>
      </c>
      <c r="D250" s="3058">
        <v>803</v>
      </c>
      <c r="E250" s="3058">
        <v>118.05</v>
      </c>
      <c r="F250" s="3058">
        <v>22500</v>
      </c>
      <c r="G250" s="3059">
        <f t="shared" si="6"/>
        <v>2656125</v>
      </c>
      <c r="H250" s="3059" t="s">
        <v>3055</v>
      </c>
      <c r="I250" s="3058" t="s">
        <v>3072</v>
      </c>
    </row>
    <row r="251" spans="1:9">
      <c r="A251" s="3059">
        <v>1875</v>
      </c>
      <c r="B251" s="3058" t="s">
        <v>3076</v>
      </c>
      <c r="D251" s="3058">
        <v>903</v>
      </c>
      <c r="E251" s="3058">
        <v>118.05</v>
      </c>
      <c r="F251" s="3058">
        <v>22500</v>
      </c>
      <c r="G251" s="3059">
        <f t="shared" si="6"/>
        <v>2656125</v>
      </c>
      <c r="H251" s="3059" t="s">
        <v>3055</v>
      </c>
      <c r="I251" s="3058" t="s">
        <v>3072</v>
      </c>
    </row>
    <row r="252" spans="1:9">
      <c r="A252" s="3059">
        <v>1876</v>
      </c>
      <c r="B252" s="3058" t="s">
        <v>3076</v>
      </c>
      <c r="D252" s="3058">
        <v>1003</v>
      </c>
      <c r="E252" s="3058">
        <v>118.05</v>
      </c>
      <c r="F252" s="3058">
        <v>22500</v>
      </c>
      <c r="G252" s="3059">
        <f t="shared" si="6"/>
        <v>2656125</v>
      </c>
      <c r="H252" s="3059" t="s">
        <v>3055</v>
      </c>
      <c r="I252" s="3058" t="s">
        <v>3072</v>
      </c>
    </row>
    <row r="253" spans="1:9">
      <c r="A253" s="3059">
        <v>1877</v>
      </c>
      <c r="B253" s="3058" t="s">
        <v>3076</v>
      </c>
      <c r="D253" s="3058">
        <v>1103</v>
      </c>
      <c r="E253" s="3058">
        <v>118.05</v>
      </c>
      <c r="F253" s="3058">
        <v>22500</v>
      </c>
      <c r="G253" s="3059">
        <f t="shared" si="6"/>
        <v>2656125</v>
      </c>
      <c r="H253" s="3059" t="s">
        <v>3055</v>
      </c>
      <c r="I253" s="3058" t="s">
        <v>3072</v>
      </c>
    </row>
    <row r="254" spans="1:9">
      <c r="A254" s="3059">
        <v>1878</v>
      </c>
      <c r="B254" s="3058" t="s">
        <v>3076</v>
      </c>
      <c r="D254" s="3058">
        <v>1203</v>
      </c>
      <c r="E254" s="3058">
        <v>118.05</v>
      </c>
      <c r="F254" s="3058">
        <v>22500</v>
      </c>
      <c r="G254" s="3059">
        <f t="shared" si="6"/>
        <v>2656125</v>
      </c>
      <c r="H254" s="3059" t="s">
        <v>3055</v>
      </c>
      <c r="I254" s="3058" t="s">
        <v>3072</v>
      </c>
    </row>
    <row r="255" spans="1:9">
      <c r="A255" s="3059">
        <v>1879</v>
      </c>
      <c r="B255" s="3058" t="s">
        <v>3076</v>
      </c>
      <c r="D255" s="3058">
        <v>1303</v>
      </c>
      <c r="E255" s="3058">
        <v>118.05</v>
      </c>
      <c r="F255" s="3058">
        <v>22500</v>
      </c>
      <c r="G255" s="3059">
        <f t="shared" si="6"/>
        <v>2656125</v>
      </c>
      <c r="H255" s="3059" t="s">
        <v>3055</v>
      </c>
      <c r="I255" s="3058" t="s">
        <v>3072</v>
      </c>
    </row>
    <row r="256" spans="1:9">
      <c r="A256" s="3059">
        <v>1880</v>
      </c>
      <c r="B256" s="3058" t="s">
        <v>3076</v>
      </c>
      <c r="D256" s="3058">
        <v>1403</v>
      </c>
      <c r="E256" s="3058">
        <v>118.05</v>
      </c>
      <c r="F256" s="3058">
        <v>22500</v>
      </c>
      <c r="G256" s="3059">
        <f t="shared" si="6"/>
        <v>2656125</v>
      </c>
      <c r="H256" s="3059" t="s">
        <v>3055</v>
      </c>
      <c r="I256" s="3058" t="s">
        <v>3072</v>
      </c>
    </row>
    <row r="257" spans="1:9">
      <c r="A257" s="3059">
        <v>1881</v>
      </c>
      <c r="B257" s="3058" t="s">
        <v>3076</v>
      </c>
      <c r="D257" s="3058">
        <v>1503</v>
      </c>
      <c r="E257" s="3058">
        <v>118.05</v>
      </c>
      <c r="F257" s="3058">
        <v>22500</v>
      </c>
      <c r="G257" s="3059">
        <f t="shared" ref="G257:G320" si="7">E257*F257</f>
        <v>2656125</v>
      </c>
      <c r="H257" s="3059" t="s">
        <v>3055</v>
      </c>
      <c r="I257" s="3058" t="s">
        <v>3072</v>
      </c>
    </row>
    <row r="258" spans="1:9">
      <c r="A258" s="3059">
        <v>1882</v>
      </c>
      <c r="B258" s="3058" t="s">
        <v>3076</v>
      </c>
      <c r="D258" s="3058">
        <v>1603</v>
      </c>
      <c r="E258" s="3058">
        <v>118.05</v>
      </c>
      <c r="F258" s="3058">
        <v>22500</v>
      </c>
      <c r="G258" s="3059">
        <f t="shared" si="7"/>
        <v>2656125</v>
      </c>
      <c r="H258" s="3059" t="s">
        <v>3055</v>
      </c>
      <c r="I258" s="3058" t="s">
        <v>3072</v>
      </c>
    </row>
    <row r="259" spans="1:9">
      <c r="A259" s="3059">
        <v>1883</v>
      </c>
      <c r="B259" s="3058" t="s">
        <v>3076</v>
      </c>
      <c r="D259" s="3058">
        <v>1703</v>
      </c>
      <c r="E259" s="3058">
        <v>118.05</v>
      </c>
      <c r="F259" s="3058">
        <v>22500</v>
      </c>
      <c r="G259" s="3059">
        <f t="shared" si="7"/>
        <v>2656125</v>
      </c>
      <c r="H259" s="3059" t="s">
        <v>3055</v>
      </c>
      <c r="I259" s="3058" t="s">
        <v>3072</v>
      </c>
    </row>
    <row r="260" spans="1:9">
      <c r="A260" s="3059">
        <v>1884</v>
      </c>
      <c r="B260" s="3058" t="s">
        <v>3076</v>
      </c>
      <c r="D260" s="3058">
        <v>1803</v>
      </c>
      <c r="E260" s="3058">
        <v>118.05</v>
      </c>
      <c r="F260" s="3058">
        <v>22500</v>
      </c>
      <c r="G260" s="3059">
        <f t="shared" si="7"/>
        <v>2656125</v>
      </c>
      <c r="H260" s="3059" t="s">
        <v>3055</v>
      </c>
      <c r="I260" s="3058" t="s">
        <v>3072</v>
      </c>
    </row>
    <row r="261" spans="1:9">
      <c r="A261" s="3059">
        <v>1885</v>
      </c>
      <c r="B261" s="3058" t="s">
        <v>3076</v>
      </c>
      <c r="D261" s="3058">
        <v>1903</v>
      </c>
      <c r="E261" s="3058">
        <v>118.05</v>
      </c>
      <c r="F261" s="3058">
        <v>22500</v>
      </c>
      <c r="G261" s="3059">
        <f t="shared" si="7"/>
        <v>2656125</v>
      </c>
      <c r="H261" s="3059" t="s">
        <v>3055</v>
      </c>
      <c r="I261" s="3058" t="s">
        <v>3072</v>
      </c>
    </row>
    <row r="262" spans="1:9">
      <c r="A262" s="3059">
        <v>1886</v>
      </c>
      <c r="B262" s="3058" t="s">
        <v>3076</v>
      </c>
      <c r="D262" s="3058">
        <v>2003</v>
      </c>
      <c r="E262" s="3058">
        <v>118.05</v>
      </c>
      <c r="F262" s="3058">
        <v>22500</v>
      </c>
      <c r="G262" s="3059">
        <f t="shared" si="7"/>
        <v>2656125</v>
      </c>
      <c r="H262" s="3059" t="s">
        <v>3055</v>
      </c>
      <c r="I262" s="3058" t="s">
        <v>3072</v>
      </c>
    </row>
    <row r="263" spans="1:9">
      <c r="A263" s="3059">
        <v>1887</v>
      </c>
      <c r="B263" s="3058" t="s">
        <v>3076</v>
      </c>
      <c r="D263" s="3058">
        <v>2103</v>
      </c>
      <c r="E263" s="3058">
        <v>118.05</v>
      </c>
      <c r="F263" s="3058">
        <v>22500</v>
      </c>
      <c r="G263" s="3059">
        <f t="shared" si="7"/>
        <v>2656125</v>
      </c>
      <c r="H263" s="3059" t="s">
        <v>3055</v>
      </c>
      <c r="I263" s="3058" t="s">
        <v>3072</v>
      </c>
    </row>
    <row r="264" spans="1:9">
      <c r="A264" s="3059">
        <v>1888</v>
      </c>
      <c r="B264" s="3058" t="s">
        <v>3076</v>
      </c>
      <c r="D264" s="3058">
        <v>2203</v>
      </c>
      <c r="E264" s="3058">
        <v>118.05</v>
      </c>
      <c r="F264" s="3058">
        <v>22500</v>
      </c>
      <c r="G264" s="3059">
        <f t="shared" si="7"/>
        <v>2656125</v>
      </c>
      <c r="H264" s="3059" t="s">
        <v>3055</v>
      </c>
      <c r="I264" s="3058" t="s">
        <v>3072</v>
      </c>
    </row>
    <row r="265" spans="1:9">
      <c r="A265" s="3059">
        <v>1889</v>
      </c>
      <c r="B265" s="3058" t="s">
        <v>3076</v>
      </c>
      <c r="D265" s="3058">
        <v>2303</v>
      </c>
      <c r="E265" s="3058">
        <v>118.05</v>
      </c>
      <c r="F265" s="3058">
        <v>22500</v>
      </c>
      <c r="G265" s="3059">
        <f t="shared" si="7"/>
        <v>2656125</v>
      </c>
      <c r="H265" s="3059" t="s">
        <v>3055</v>
      </c>
      <c r="I265" s="3058" t="s">
        <v>3072</v>
      </c>
    </row>
    <row r="266" spans="1:9">
      <c r="A266" s="3059">
        <v>1890</v>
      </c>
      <c r="B266" s="3058" t="s">
        <v>3076</v>
      </c>
      <c r="D266" s="3058">
        <v>2403</v>
      </c>
      <c r="E266" s="3058">
        <v>118.05</v>
      </c>
      <c r="F266" s="3058">
        <v>22500</v>
      </c>
      <c r="G266" s="3059">
        <f t="shared" si="7"/>
        <v>2656125</v>
      </c>
      <c r="H266" s="3059" t="s">
        <v>3055</v>
      </c>
      <c r="I266" s="3058" t="s">
        <v>3072</v>
      </c>
    </row>
    <row r="267" spans="1:9">
      <c r="A267" s="3059">
        <v>1891</v>
      </c>
      <c r="B267" s="3058" t="s">
        <v>3076</v>
      </c>
      <c r="D267" s="3058">
        <v>104</v>
      </c>
      <c r="E267" s="3058">
        <v>175.97</v>
      </c>
      <c r="F267" s="3058">
        <v>22500</v>
      </c>
      <c r="G267" s="3059">
        <f t="shared" si="7"/>
        <v>3959325</v>
      </c>
      <c r="H267" s="3059" t="s">
        <v>3055</v>
      </c>
      <c r="I267" s="3058" t="s">
        <v>3072</v>
      </c>
    </row>
    <row r="268" spans="1:9">
      <c r="A268" s="3059">
        <v>1892</v>
      </c>
      <c r="B268" s="3058" t="s">
        <v>3076</v>
      </c>
      <c r="D268" s="3058">
        <v>204</v>
      </c>
      <c r="E268" s="3058">
        <v>128.15</v>
      </c>
      <c r="F268" s="3058">
        <v>22500</v>
      </c>
      <c r="G268" s="3059">
        <f t="shared" si="7"/>
        <v>2883375</v>
      </c>
      <c r="H268" s="3059" t="s">
        <v>3055</v>
      </c>
      <c r="I268" s="3058" t="s">
        <v>3072</v>
      </c>
    </row>
    <row r="269" spans="1:9">
      <c r="A269" s="3059">
        <v>1893</v>
      </c>
      <c r="B269" s="3058" t="s">
        <v>3076</v>
      </c>
      <c r="D269" s="3058">
        <v>304</v>
      </c>
      <c r="E269" s="3058">
        <v>129.15</v>
      </c>
      <c r="F269" s="3058">
        <v>22500</v>
      </c>
      <c r="G269" s="3059">
        <f t="shared" si="7"/>
        <v>2905875</v>
      </c>
      <c r="H269" s="3059" t="s">
        <v>3055</v>
      </c>
      <c r="I269" s="3058" t="s">
        <v>3072</v>
      </c>
    </row>
    <row r="270" spans="1:9">
      <c r="A270" s="3059">
        <v>1894</v>
      </c>
      <c r="B270" s="3058" t="s">
        <v>3076</v>
      </c>
      <c r="D270" s="3058">
        <v>404</v>
      </c>
      <c r="E270" s="3058">
        <v>130.15</v>
      </c>
      <c r="F270" s="3058">
        <v>22500</v>
      </c>
      <c r="G270" s="3059">
        <f t="shared" si="7"/>
        <v>2928375</v>
      </c>
      <c r="H270" s="3059" t="s">
        <v>3055</v>
      </c>
      <c r="I270" s="3058" t="s">
        <v>3072</v>
      </c>
    </row>
    <row r="271" spans="1:9">
      <c r="A271" s="3059">
        <v>1895</v>
      </c>
      <c r="B271" s="3058" t="s">
        <v>3076</v>
      </c>
      <c r="D271" s="3058">
        <v>504</v>
      </c>
      <c r="E271" s="3058">
        <v>131.15</v>
      </c>
      <c r="F271" s="3058">
        <v>22500</v>
      </c>
      <c r="G271" s="3059">
        <f t="shared" si="7"/>
        <v>2950875</v>
      </c>
      <c r="H271" s="3059" t="s">
        <v>3055</v>
      </c>
      <c r="I271" s="3058" t="s">
        <v>3072</v>
      </c>
    </row>
    <row r="272" spans="1:9">
      <c r="A272" s="3059">
        <v>1896</v>
      </c>
      <c r="B272" s="3058" t="s">
        <v>3076</v>
      </c>
      <c r="D272" s="3058">
        <v>604</v>
      </c>
      <c r="E272" s="3058">
        <v>132.15</v>
      </c>
      <c r="F272" s="3058">
        <v>22500</v>
      </c>
      <c r="G272" s="3059">
        <f t="shared" si="7"/>
        <v>2973375</v>
      </c>
      <c r="H272" s="3059" t="s">
        <v>3055</v>
      </c>
      <c r="I272" s="3058" t="s">
        <v>3072</v>
      </c>
    </row>
    <row r="273" spans="1:9">
      <c r="A273" s="3059">
        <v>1897</v>
      </c>
      <c r="B273" s="3058" t="s">
        <v>3076</v>
      </c>
      <c r="D273" s="3058">
        <v>704</v>
      </c>
      <c r="E273" s="3058">
        <v>133.15</v>
      </c>
      <c r="F273" s="3058">
        <v>22500</v>
      </c>
      <c r="G273" s="3059">
        <f t="shared" si="7"/>
        <v>2995875</v>
      </c>
      <c r="H273" s="3059" t="s">
        <v>3055</v>
      </c>
      <c r="I273" s="3058" t="s">
        <v>3072</v>
      </c>
    </row>
    <row r="274" spans="1:9">
      <c r="A274" s="3059">
        <v>1898</v>
      </c>
      <c r="B274" s="3058" t="s">
        <v>3076</v>
      </c>
      <c r="D274" s="3058">
        <v>804</v>
      </c>
      <c r="E274" s="3058">
        <v>134.15</v>
      </c>
      <c r="F274" s="3058">
        <v>22500</v>
      </c>
      <c r="G274" s="3059">
        <f t="shared" si="7"/>
        <v>3018375</v>
      </c>
      <c r="H274" s="3059" t="s">
        <v>3055</v>
      </c>
      <c r="I274" s="3058" t="s">
        <v>3072</v>
      </c>
    </row>
    <row r="275" spans="1:9">
      <c r="A275" s="3059">
        <v>1899</v>
      </c>
      <c r="B275" s="3058" t="s">
        <v>3076</v>
      </c>
      <c r="D275" s="3058">
        <v>904</v>
      </c>
      <c r="E275" s="3058">
        <v>135.15</v>
      </c>
      <c r="F275" s="3058">
        <v>22500</v>
      </c>
      <c r="G275" s="3059">
        <f t="shared" si="7"/>
        <v>3040875</v>
      </c>
      <c r="H275" s="3059" t="s">
        <v>3055</v>
      </c>
      <c r="I275" s="3058" t="s">
        <v>3072</v>
      </c>
    </row>
    <row r="276" spans="1:9">
      <c r="A276" s="3059">
        <v>1900</v>
      </c>
      <c r="B276" s="3058" t="s">
        <v>3076</v>
      </c>
      <c r="D276" s="3058">
        <v>1004</v>
      </c>
      <c r="E276" s="3058">
        <v>136.15</v>
      </c>
      <c r="F276" s="3058">
        <v>22500</v>
      </c>
      <c r="G276" s="3059">
        <f t="shared" si="7"/>
        <v>3063375</v>
      </c>
      <c r="H276" s="3059" t="s">
        <v>3055</v>
      </c>
      <c r="I276" s="3058" t="s">
        <v>3072</v>
      </c>
    </row>
    <row r="277" spans="1:9">
      <c r="A277" s="3059">
        <v>1901</v>
      </c>
      <c r="B277" s="3058" t="s">
        <v>3076</v>
      </c>
      <c r="D277" s="3058">
        <v>1104</v>
      </c>
      <c r="E277" s="3058">
        <v>137.15</v>
      </c>
      <c r="F277" s="3058">
        <v>22500</v>
      </c>
      <c r="G277" s="3059">
        <f t="shared" si="7"/>
        <v>3085875</v>
      </c>
      <c r="H277" s="3059" t="s">
        <v>3055</v>
      </c>
      <c r="I277" s="3058" t="s">
        <v>3072</v>
      </c>
    </row>
    <row r="278" spans="1:9">
      <c r="A278" s="3059">
        <v>1902</v>
      </c>
      <c r="B278" s="3058" t="s">
        <v>3076</v>
      </c>
      <c r="D278" s="3058">
        <v>1204</v>
      </c>
      <c r="E278" s="3058">
        <v>138.15</v>
      </c>
      <c r="F278" s="3058">
        <v>22500</v>
      </c>
      <c r="G278" s="3059">
        <f t="shared" si="7"/>
        <v>3108375</v>
      </c>
      <c r="H278" s="3059" t="s">
        <v>3055</v>
      </c>
      <c r="I278" s="3058" t="s">
        <v>3072</v>
      </c>
    </row>
    <row r="279" spans="1:9">
      <c r="A279" s="3059">
        <v>1903</v>
      </c>
      <c r="B279" s="3058" t="s">
        <v>3076</v>
      </c>
      <c r="D279" s="3058">
        <v>1304</v>
      </c>
      <c r="E279" s="3058">
        <v>139.15</v>
      </c>
      <c r="F279" s="3058">
        <v>22500</v>
      </c>
      <c r="G279" s="3059">
        <f t="shared" si="7"/>
        <v>3130875</v>
      </c>
      <c r="H279" s="3059" t="s">
        <v>3055</v>
      </c>
      <c r="I279" s="3058" t="s">
        <v>3072</v>
      </c>
    </row>
    <row r="280" spans="1:9">
      <c r="A280" s="3059">
        <v>1904</v>
      </c>
      <c r="B280" s="3058" t="s">
        <v>3076</v>
      </c>
      <c r="D280" s="3058">
        <v>1404</v>
      </c>
      <c r="E280" s="3058">
        <v>140.15</v>
      </c>
      <c r="F280" s="3058">
        <v>22500</v>
      </c>
      <c r="G280" s="3059">
        <f t="shared" si="7"/>
        <v>3153375</v>
      </c>
      <c r="H280" s="3059" t="s">
        <v>3055</v>
      </c>
      <c r="I280" s="3058" t="s">
        <v>3072</v>
      </c>
    </row>
    <row r="281" spans="1:9">
      <c r="A281" s="3059">
        <v>1905</v>
      </c>
      <c r="B281" s="3058" t="s">
        <v>3076</v>
      </c>
      <c r="D281" s="3058">
        <v>1504</v>
      </c>
      <c r="E281" s="3058">
        <v>141.15</v>
      </c>
      <c r="F281" s="3058">
        <v>22500</v>
      </c>
      <c r="G281" s="3059">
        <f t="shared" si="7"/>
        <v>3175875</v>
      </c>
      <c r="H281" s="3059" t="s">
        <v>3055</v>
      </c>
      <c r="I281" s="3058" t="s">
        <v>3072</v>
      </c>
    </row>
    <row r="282" spans="1:9">
      <c r="A282" s="3059">
        <v>1906</v>
      </c>
      <c r="B282" s="3058" t="s">
        <v>3076</v>
      </c>
      <c r="D282" s="3058">
        <v>1604</v>
      </c>
      <c r="E282" s="3058">
        <v>142.15</v>
      </c>
      <c r="F282" s="3058">
        <v>22500</v>
      </c>
      <c r="G282" s="3059">
        <f t="shared" si="7"/>
        <v>3198375</v>
      </c>
      <c r="H282" s="3059" t="s">
        <v>3055</v>
      </c>
      <c r="I282" s="3058" t="s">
        <v>3072</v>
      </c>
    </row>
    <row r="283" spans="1:9">
      <c r="A283" s="3059">
        <v>1907</v>
      </c>
      <c r="B283" s="3058" t="s">
        <v>3076</v>
      </c>
      <c r="D283" s="3058">
        <v>1704</v>
      </c>
      <c r="E283" s="3058">
        <v>143.15</v>
      </c>
      <c r="F283" s="3058">
        <v>22500</v>
      </c>
      <c r="G283" s="3059">
        <f t="shared" si="7"/>
        <v>3220875</v>
      </c>
      <c r="H283" s="3059" t="s">
        <v>3055</v>
      </c>
      <c r="I283" s="3058" t="s">
        <v>3072</v>
      </c>
    </row>
    <row r="284" spans="1:9">
      <c r="A284" s="3059">
        <v>1908</v>
      </c>
      <c r="B284" s="3058" t="s">
        <v>3076</v>
      </c>
      <c r="D284" s="3058">
        <v>1804</v>
      </c>
      <c r="E284" s="3058">
        <v>144.15</v>
      </c>
      <c r="F284" s="3058">
        <v>22500</v>
      </c>
      <c r="G284" s="3059">
        <f t="shared" si="7"/>
        <v>3243375</v>
      </c>
      <c r="H284" s="3059" t="s">
        <v>3055</v>
      </c>
      <c r="I284" s="3058" t="s">
        <v>3072</v>
      </c>
    </row>
    <row r="285" spans="1:9">
      <c r="A285" s="3059">
        <v>1909</v>
      </c>
      <c r="B285" s="3058" t="s">
        <v>3076</v>
      </c>
      <c r="D285" s="3058">
        <v>1904</v>
      </c>
      <c r="E285" s="3058">
        <v>145.15</v>
      </c>
      <c r="F285" s="3058">
        <v>22500</v>
      </c>
      <c r="G285" s="3059">
        <f t="shared" si="7"/>
        <v>3265875</v>
      </c>
      <c r="H285" s="3059" t="s">
        <v>3055</v>
      </c>
      <c r="I285" s="3058" t="s">
        <v>3072</v>
      </c>
    </row>
    <row r="286" spans="1:9">
      <c r="A286" s="3059">
        <v>1910</v>
      </c>
      <c r="B286" s="3058" t="s">
        <v>3076</v>
      </c>
      <c r="D286" s="3058">
        <v>2004</v>
      </c>
      <c r="E286" s="3058">
        <v>146.15</v>
      </c>
      <c r="F286" s="3058">
        <v>22500</v>
      </c>
      <c r="G286" s="3059">
        <f t="shared" si="7"/>
        <v>3288375</v>
      </c>
      <c r="H286" s="3059" t="s">
        <v>3055</v>
      </c>
      <c r="I286" s="3058" t="s">
        <v>3072</v>
      </c>
    </row>
    <row r="287" spans="1:9">
      <c r="A287" s="3059">
        <v>1911</v>
      </c>
      <c r="B287" s="3058" t="s">
        <v>3076</v>
      </c>
      <c r="D287" s="3058">
        <v>2104</v>
      </c>
      <c r="E287" s="3058">
        <v>147.15</v>
      </c>
      <c r="F287" s="3058">
        <v>22500</v>
      </c>
      <c r="G287" s="3059">
        <f t="shared" si="7"/>
        <v>3310875</v>
      </c>
      <c r="H287" s="3059" t="s">
        <v>3055</v>
      </c>
      <c r="I287" s="3058" t="s">
        <v>3072</v>
      </c>
    </row>
    <row r="288" spans="1:9">
      <c r="A288" s="3059">
        <v>1912</v>
      </c>
      <c r="B288" s="3058" t="s">
        <v>3076</v>
      </c>
      <c r="D288" s="3058">
        <v>2204</v>
      </c>
      <c r="E288" s="3058">
        <v>148.15</v>
      </c>
      <c r="F288" s="3058">
        <v>22500</v>
      </c>
      <c r="G288" s="3059">
        <f t="shared" si="7"/>
        <v>3333375</v>
      </c>
      <c r="H288" s="3059" t="s">
        <v>3055</v>
      </c>
      <c r="I288" s="3058" t="s">
        <v>3072</v>
      </c>
    </row>
    <row r="289" spans="1:10">
      <c r="A289" s="3059">
        <v>1913</v>
      </c>
      <c r="B289" s="3058" t="s">
        <v>3076</v>
      </c>
      <c r="D289" s="3058">
        <v>2304</v>
      </c>
      <c r="E289" s="3058">
        <v>149.15</v>
      </c>
      <c r="F289" s="3058">
        <v>22500</v>
      </c>
      <c r="G289" s="3059">
        <f t="shared" si="7"/>
        <v>3355875</v>
      </c>
      <c r="H289" s="3059" t="s">
        <v>3055</v>
      </c>
      <c r="I289" s="3058" t="s">
        <v>3072</v>
      </c>
    </row>
    <row r="290" spans="1:10">
      <c r="A290" s="3059">
        <v>1914</v>
      </c>
      <c r="B290" s="3058" t="s">
        <v>3076</v>
      </c>
      <c r="D290" s="3058">
        <v>2404</v>
      </c>
      <c r="E290" s="3058">
        <v>150.15</v>
      </c>
      <c r="F290" s="3058">
        <v>22500</v>
      </c>
      <c r="G290" s="3059">
        <f t="shared" si="7"/>
        <v>3378375</v>
      </c>
      <c r="H290" s="3059" t="s">
        <v>3055</v>
      </c>
      <c r="I290" s="3058" t="s">
        <v>3072</v>
      </c>
      <c r="J290" s="3058">
        <f>SUM(E197:E290)</f>
        <v>11997.429999999997</v>
      </c>
    </row>
    <row r="291" spans="1:10">
      <c r="A291" s="3059">
        <v>1915</v>
      </c>
      <c r="B291" s="3058" t="s">
        <v>3075</v>
      </c>
      <c r="D291" s="3058">
        <v>101</v>
      </c>
      <c r="E291" s="3058">
        <v>242.95</v>
      </c>
      <c r="F291" s="3058">
        <v>22500</v>
      </c>
      <c r="G291" s="3059">
        <f t="shared" si="7"/>
        <v>5466375</v>
      </c>
      <c r="H291" s="3059" t="s">
        <v>3055</v>
      </c>
      <c r="I291" s="3058" t="s">
        <v>3072</v>
      </c>
    </row>
    <row r="292" spans="1:10">
      <c r="A292" s="3059">
        <v>1916</v>
      </c>
      <c r="B292" s="3058" t="s">
        <v>3075</v>
      </c>
      <c r="D292" s="3058">
        <v>201</v>
      </c>
      <c r="E292" s="3058">
        <v>128.13999999999999</v>
      </c>
      <c r="F292" s="3058">
        <v>22500</v>
      </c>
      <c r="G292" s="3059">
        <f t="shared" si="7"/>
        <v>2883149.9999999995</v>
      </c>
      <c r="H292" s="3059" t="s">
        <v>3055</v>
      </c>
      <c r="I292" s="3058" t="s">
        <v>3072</v>
      </c>
    </row>
    <row r="293" spans="1:10">
      <c r="A293" s="3059">
        <v>1917</v>
      </c>
      <c r="B293" s="3058" t="s">
        <v>3075</v>
      </c>
      <c r="D293" s="3058">
        <v>301</v>
      </c>
      <c r="E293" s="3058">
        <v>128.13999999999999</v>
      </c>
      <c r="F293" s="3058">
        <v>22500</v>
      </c>
      <c r="G293" s="3059">
        <f t="shared" si="7"/>
        <v>2883149.9999999995</v>
      </c>
      <c r="H293" s="3059" t="s">
        <v>3055</v>
      </c>
      <c r="I293" s="3058" t="s">
        <v>3072</v>
      </c>
    </row>
    <row r="294" spans="1:10">
      <c r="A294" s="3059">
        <v>1918</v>
      </c>
      <c r="B294" s="3058" t="s">
        <v>3075</v>
      </c>
      <c r="D294" s="3058">
        <v>401</v>
      </c>
      <c r="E294" s="3058">
        <v>128.13999999999999</v>
      </c>
      <c r="F294" s="3058">
        <v>22500</v>
      </c>
      <c r="G294" s="3059">
        <f t="shared" si="7"/>
        <v>2883149.9999999995</v>
      </c>
      <c r="H294" s="3059" t="s">
        <v>3055</v>
      </c>
      <c r="I294" s="3058" t="s">
        <v>3072</v>
      </c>
    </row>
    <row r="295" spans="1:10">
      <c r="A295" s="3059">
        <v>1919</v>
      </c>
      <c r="B295" s="3058" t="s">
        <v>3075</v>
      </c>
      <c r="D295" s="3058">
        <v>501</v>
      </c>
      <c r="E295" s="3058">
        <v>128.13999999999999</v>
      </c>
      <c r="F295" s="3058">
        <v>22500</v>
      </c>
      <c r="G295" s="3059">
        <f t="shared" si="7"/>
        <v>2883149.9999999995</v>
      </c>
      <c r="H295" s="3059" t="s">
        <v>3055</v>
      </c>
      <c r="I295" s="3058" t="s">
        <v>3072</v>
      </c>
    </row>
    <row r="296" spans="1:10">
      <c r="A296" s="3059">
        <v>1920</v>
      </c>
      <c r="B296" s="3058" t="s">
        <v>3075</v>
      </c>
      <c r="D296" s="3058">
        <v>601</v>
      </c>
      <c r="E296" s="3058">
        <v>128.13999999999999</v>
      </c>
      <c r="F296" s="3058">
        <v>22500</v>
      </c>
      <c r="G296" s="3059">
        <f t="shared" si="7"/>
        <v>2883149.9999999995</v>
      </c>
      <c r="H296" s="3059" t="s">
        <v>3055</v>
      </c>
      <c r="I296" s="3058" t="s">
        <v>3072</v>
      </c>
    </row>
    <row r="297" spans="1:10">
      <c r="A297" s="3059">
        <v>1921</v>
      </c>
      <c r="B297" s="3058" t="s">
        <v>3075</v>
      </c>
      <c r="D297" s="3058">
        <v>701</v>
      </c>
      <c r="E297" s="3058">
        <v>128.13999999999999</v>
      </c>
      <c r="F297" s="3058">
        <v>22500</v>
      </c>
      <c r="G297" s="3059">
        <f t="shared" si="7"/>
        <v>2883149.9999999995</v>
      </c>
      <c r="H297" s="3059" t="s">
        <v>3055</v>
      </c>
      <c r="I297" s="3058" t="s">
        <v>3072</v>
      </c>
    </row>
    <row r="298" spans="1:10">
      <c r="A298" s="3059">
        <v>1922</v>
      </c>
      <c r="B298" s="3058" t="s">
        <v>3075</v>
      </c>
      <c r="D298" s="3058">
        <v>801</v>
      </c>
      <c r="E298" s="3058">
        <v>128.13999999999999</v>
      </c>
      <c r="F298" s="3058">
        <v>22500</v>
      </c>
      <c r="G298" s="3059">
        <f t="shared" si="7"/>
        <v>2883149.9999999995</v>
      </c>
      <c r="H298" s="3059" t="s">
        <v>3055</v>
      </c>
      <c r="I298" s="3058" t="s">
        <v>3072</v>
      </c>
    </row>
    <row r="299" spans="1:10">
      <c r="A299" s="3059">
        <v>1923</v>
      </c>
      <c r="B299" s="3058" t="s">
        <v>3075</v>
      </c>
      <c r="D299" s="3058">
        <v>901</v>
      </c>
      <c r="E299" s="3058">
        <v>128.13999999999999</v>
      </c>
      <c r="F299" s="3058">
        <v>22500</v>
      </c>
      <c r="G299" s="3059">
        <f t="shared" si="7"/>
        <v>2883149.9999999995</v>
      </c>
      <c r="H299" s="3059" t="s">
        <v>3055</v>
      </c>
      <c r="I299" s="3058" t="s">
        <v>3072</v>
      </c>
    </row>
    <row r="300" spans="1:10">
      <c r="A300" s="3059">
        <v>1924</v>
      </c>
      <c r="B300" s="3058" t="s">
        <v>3075</v>
      </c>
      <c r="D300" s="3058">
        <v>1001</v>
      </c>
      <c r="E300" s="3058">
        <v>128.13999999999999</v>
      </c>
      <c r="F300" s="3058">
        <v>22500</v>
      </c>
      <c r="G300" s="3059">
        <f t="shared" si="7"/>
        <v>2883149.9999999995</v>
      </c>
      <c r="H300" s="3059" t="s">
        <v>3055</v>
      </c>
      <c r="I300" s="3058" t="s">
        <v>3072</v>
      </c>
    </row>
    <row r="301" spans="1:10">
      <c r="A301" s="3059">
        <v>1925</v>
      </c>
      <c r="B301" s="3058" t="s">
        <v>3075</v>
      </c>
      <c r="D301" s="3058">
        <v>1101</v>
      </c>
      <c r="E301" s="3058">
        <v>128.13999999999999</v>
      </c>
      <c r="F301" s="3058">
        <v>22500</v>
      </c>
      <c r="G301" s="3059">
        <f t="shared" si="7"/>
        <v>2883149.9999999995</v>
      </c>
      <c r="H301" s="3059" t="s">
        <v>3055</v>
      </c>
      <c r="I301" s="3058" t="s">
        <v>3072</v>
      </c>
    </row>
    <row r="302" spans="1:10">
      <c r="A302" s="3059">
        <v>1926</v>
      </c>
      <c r="B302" s="3058" t="s">
        <v>3075</v>
      </c>
      <c r="D302" s="3058">
        <v>1201</v>
      </c>
      <c r="E302" s="3058">
        <v>128.13999999999999</v>
      </c>
      <c r="F302" s="3058">
        <v>22500</v>
      </c>
      <c r="G302" s="3059">
        <f t="shared" si="7"/>
        <v>2883149.9999999995</v>
      </c>
      <c r="H302" s="3059" t="s">
        <v>3055</v>
      </c>
      <c r="I302" s="3058" t="s">
        <v>3072</v>
      </c>
    </row>
    <row r="303" spans="1:10">
      <c r="A303" s="3059">
        <v>1927</v>
      </c>
      <c r="B303" s="3058" t="s">
        <v>3075</v>
      </c>
      <c r="D303" s="3058">
        <v>1301</v>
      </c>
      <c r="E303" s="3058">
        <v>128.13999999999999</v>
      </c>
      <c r="F303" s="3058">
        <v>22500</v>
      </c>
      <c r="G303" s="3059">
        <f t="shared" si="7"/>
        <v>2883149.9999999995</v>
      </c>
      <c r="H303" s="3059" t="s">
        <v>3055</v>
      </c>
      <c r="I303" s="3058" t="s">
        <v>3072</v>
      </c>
    </row>
    <row r="304" spans="1:10">
      <c r="A304" s="3059">
        <v>1928</v>
      </c>
      <c r="B304" s="3058" t="s">
        <v>3075</v>
      </c>
      <c r="D304" s="3058">
        <v>1401</v>
      </c>
      <c r="E304" s="3058">
        <v>128.13999999999999</v>
      </c>
      <c r="F304" s="3058">
        <v>22500</v>
      </c>
      <c r="G304" s="3059">
        <f t="shared" si="7"/>
        <v>2883149.9999999995</v>
      </c>
      <c r="H304" s="3059" t="s">
        <v>3055</v>
      </c>
      <c r="I304" s="3058" t="s">
        <v>3072</v>
      </c>
    </row>
    <row r="305" spans="1:9">
      <c r="A305" s="3059">
        <v>1929</v>
      </c>
      <c r="B305" s="3058" t="s">
        <v>3075</v>
      </c>
      <c r="D305" s="3058">
        <v>1501</v>
      </c>
      <c r="E305" s="3058">
        <v>128.13999999999999</v>
      </c>
      <c r="F305" s="3058">
        <v>22500</v>
      </c>
      <c r="G305" s="3059">
        <f t="shared" si="7"/>
        <v>2883149.9999999995</v>
      </c>
      <c r="H305" s="3059" t="s">
        <v>3055</v>
      </c>
      <c r="I305" s="3058" t="s">
        <v>3072</v>
      </c>
    </row>
    <row r="306" spans="1:9">
      <c r="A306" s="3059">
        <v>1930</v>
      </c>
      <c r="B306" s="3058" t="s">
        <v>3075</v>
      </c>
      <c r="D306" s="3058">
        <v>1601</v>
      </c>
      <c r="E306" s="3058">
        <v>128.13999999999999</v>
      </c>
      <c r="F306" s="3058">
        <v>22500</v>
      </c>
      <c r="G306" s="3059">
        <f t="shared" si="7"/>
        <v>2883149.9999999995</v>
      </c>
      <c r="H306" s="3059" t="s">
        <v>3055</v>
      </c>
      <c r="I306" s="3058" t="s">
        <v>3072</v>
      </c>
    </row>
    <row r="307" spans="1:9">
      <c r="A307" s="3059">
        <v>1931</v>
      </c>
      <c r="B307" s="3058" t="s">
        <v>3075</v>
      </c>
      <c r="D307" s="3058">
        <v>1701</v>
      </c>
      <c r="E307" s="3058">
        <v>128.13999999999999</v>
      </c>
      <c r="F307" s="3058">
        <v>22500</v>
      </c>
      <c r="G307" s="3059">
        <f t="shared" si="7"/>
        <v>2883149.9999999995</v>
      </c>
      <c r="H307" s="3059" t="s">
        <v>3055</v>
      </c>
      <c r="I307" s="3058" t="s">
        <v>3072</v>
      </c>
    </row>
    <row r="308" spans="1:9">
      <c r="A308" s="3059">
        <v>1932</v>
      </c>
      <c r="B308" s="3058" t="s">
        <v>3075</v>
      </c>
      <c r="D308" s="3058">
        <v>1801</v>
      </c>
      <c r="E308" s="3058">
        <v>128.13999999999999</v>
      </c>
      <c r="F308" s="3058">
        <v>22500</v>
      </c>
      <c r="G308" s="3059">
        <f t="shared" si="7"/>
        <v>2883149.9999999995</v>
      </c>
      <c r="H308" s="3059" t="s">
        <v>3055</v>
      </c>
      <c r="I308" s="3058" t="s">
        <v>3072</v>
      </c>
    </row>
    <row r="309" spans="1:9">
      <c r="A309" s="3059">
        <v>1933</v>
      </c>
      <c r="B309" s="3058" t="s">
        <v>3075</v>
      </c>
      <c r="D309" s="3058">
        <v>1901</v>
      </c>
      <c r="E309" s="3058">
        <v>128.13999999999999</v>
      </c>
      <c r="F309" s="3058">
        <v>22500</v>
      </c>
      <c r="G309" s="3059">
        <f t="shared" si="7"/>
        <v>2883149.9999999995</v>
      </c>
      <c r="H309" s="3059" t="s">
        <v>3055</v>
      </c>
      <c r="I309" s="3058" t="s">
        <v>3072</v>
      </c>
    </row>
    <row r="310" spans="1:9">
      <c r="A310" s="3059">
        <v>1934</v>
      </c>
      <c r="B310" s="3058" t="s">
        <v>3075</v>
      </c>
      <c r="D310" s="3058">
        <v>2001</v>
      </c>
      <c r="E310" s="3058">
        <v>128.13999999999999</v>
      </c>
      <c r="F310" s="3058">
        <v>22500</v>
      </c>
      <c r="G310" s="3059">
        <f t="shared" si="7"/>
        <v>2883149.9999999995</v>
      </c>
      <c r="H310" s="3059" t="s">
        <v>3055</v>
      </c>
      <c r="I310" s="3058" t="s">
        <v>3072</v>
      </c>
    </row>
    <row r="311" spans="1:9">
      <c r="A311" s="3059">
        <v>1935</v>
      </c>
      <c r="B311" s="3058" t="s">
        <v>3075</v>
      </c>
      <c r="D311" s="3058">
        <v>2101</v>
      </c>
      <c r="E311" s="3058">
        <v>128.13999999999999</v>
      </c>
      <c r="F311" s="3058">
        <v>22500</v>
      </c>
      <c r="G311" s="3059">
        <f t="shared" si="7"/>
        <v>2883149.9999999995</v>
      </c>
      <c r="H311" s="3059" t="s">
        <v>3055</v>
      </c>
      <c r="I311" s="3058" t="s">
        <v>3072</v>
      </c>
    </row>
    <row r="312" spans="1:9">
      <c r="A312" s="3059">
        <v>1936</v>
      </c>
      <c r="B312" s="3058" t="s">
        <v>3075</v>
      </c>
      <c r="D312" s="3058">
        <v>2201</v>
      </c>
      <c r="E312" s="3058">
        <v>128.13999999999999</v>
      </c>
      <c r="F312" s="3058">
        <v>22500</v>
      </c>
      <c r="G312" s="3059">
        <f t="shared" si="7"/>
        <v>2883149.9999999995</v>
      </c>
      <c r="H312" s="3059" t="s">
        <v>3055</v>
      </c>
      <c r="I312" s="3058" t="s">
        <v>3072</v>
      </c>
    </row>
    <row r="313" spans="1:9">
      <c r="A313" s="3059">
        <v>1937</v>
      </c>
      <c r="B313" s="3058" t="s">
        <v>3075</v>
      </c>
      <c r="D313" s="3058">
        <v>2301</v>
      </c>
      <c r="E313" s="3058">
        <v>128.13999999999999</v>
      </c>
      <c r="F313" s="3058">
        <v>22500</v>
      </c>
      <c r="G313" s="3059">
        <f t="shared" si="7"/>
        <v>2883149.9999999995</v>
      </c>
      <c r="H313" s="3059" t="s">
        <v>3055</v>
      </c>
      <c r="I313" s="3058" t="s">
        <v>3072</v>
      </c>
    </row>
    <row r="314" spans="1:9">
      <c r="A314" s="3059">
        <v>1938</v>
      </c>
      <c r="B314" s="3058" t="s">
        <v>3075</v>
      </c>
      <c r="D314" s="3058">
        <v>2401</v>
      </c>
      <c r="E314" s="3058">
        <v>128.13999999999999</v>
      </c>
      <c r="F314" s="3058">
        <v>22500</v>
      </c>
      <c r="G314" s="3059">
        <f t="shared" si="7"/>
        <v>2883149.9999999995</v>
      </c>
      <c r="H314" s="3059" t="s">
        <v>3055</v>
      </c>
      <c r="I314" s="3058" t="s">
        <v>3072</v>
      </c>
    </row>
    <row r="315" spans="1:9">
      <c r="A315" s="3059">
        <v>1939</v>
      </c>
      <c r="B315" s="3058" t="s">
        <v>3075</v>
      </c>
      <c r="D315" s="3058">
        <v>202</v>
      </c>
      <c r="E315" s="3058">
        <v>118.17</v>
      </c>
      <c r="F315" s="3058">
        <v>22500</v>
      </c>
      <c r="G315" s="3059">
        <f t="shared" si="7"/>
        <v>2658825</v>
      </c>
      <c r="H315" s="3059" t="s">
        <v>3055</v>
      </c>
      <c r="I315" s="3058" t="s">
        <v>3072</v>
      </c>
    </row>
    <row r="316" spans="1:9">
      <c r="A316" s="3059">
        <v>1940</v>
      </c>
      <c r="B316" s="3058" t="s">
        <v>3075</v>
      </c>
      <c r="D316" s="3058">
        <v>302</v>
      </c>
      <c r="E316" s="3058">
        <v>118.17</v>
      </c>
      <c r="F316" s="3058">
        <v>22500</v>
      </c>
      <c r="G316" s="3059">
        <f t="shared" si="7"/>
        <v>2658825</v>
      </c>
      <c r="H316" s="3059" t="s">
        <v>3055</v>
      </c>
      <c r="I316" s="3058" t="s">
        <v>3072</v>
      </c>
    </row>
    <row r="317" spans="1:9">
      <c r="A317" s="3059">
        <v>1941</v>
      </c>
      <c r="B317" s="3058" t="s">
        <v>3075</v>
      </c>
      <c r="D317" s="3058">
        <v>402</v>
      </c>
      <c r="E317" s="3058">
        <v>118.17</v>
      </c>
      <c r="F317" s="3058">
        <v>22500</v>
      </c>
      <c r="G317" s="3059">
        <f t="shared" si="7"/>
        <v>2658825</v>
      </c>
      <c r="H317" s="3059" t="s">
        <v>3055</v>
      </c>
      <c r="I317" s="3058" t="s">
        <v>3072</v>
      </c>
    </row>
    <row r="318" spans="1:9">
      <c r="A318" s="3059">
        <v>1942</v>
      </c>
      <c r="B318" s="3058" t="s">
        <v>3075</v>
      </c>
      <c r="D318" s="3058">
        <v>502</v>
      </c>
      <c r="E318" s="3058">
        <v>118.17</v>
      </c>
      <c r="F318" s="3058">
        <v>22500</v>
      </c>
      <c r="G318" s="3059">
        <f t="shared" si="7"/>
        <v>2658825</v>
      </c>
      <c r="H318" s="3059" t="s">
        <v>3055</v>
      </c>
      <c r="I318" s="3058" t="s">
        <v>3072</v>
      </c>
    </row>
    <row r="319" spans="1:9">
      <c r="A319" s="3059">
        <v>1943</v>
      </c>
      <c r="B319" s="3058" t="s">
        <v>3075</v>
      </c>
      <c r="D319" s="3058">
        <v>602</v>
      </c>
      <c r="E319" s="3058">
        <v>118.17</v>
      </c>
      <c r="F319" s="3058">
        <v>22500</v>
      </c>
      <c r="G319" s="3059">
        <f t="shared" si="7"/>
        <v>2658825</v>
      </c>
      <c r="H319" s="3059" t="s">
        <v>3055</v>
      </c>
      <c r="I319" s="3058" t="s">
        <v>3072</v>
      </c>
    </row>
    <row r="320" spans="1:9">
      <c r="A320" s="3059">
        <v>1944</v>
      </c>
      <c r="B320" s="3058" t="s">
        <v>3075</v>
      </c>
      <c r="D320" s="3058">
        <v>702</v>
      </c>
      <c r="E320" s="3058">
        <v>118.17</v>
      </c>
      <c r="F320" s="3058">
        <v>22500</v>
      </c>
      <c r="G320" s="3059">
        <f t="shared" si="7"/>
        <v>2658825</v>
      </c>
      <c r="H320" s="3059" t="s">
        <v>3055</v>
      </c>
      <c r="I320" s="3058" t="s">
        <v>3072</v>
      </c>
    </row>
    <row r="321" spans="1:9">
      <c r="A321" s="3059">
        <v>1945</v>
      </c>
      <c r="B321" s="3058" t="s">
        <v>3075</v>
      </c>
      <c r="D321" s="3058">
        <v>802</v>
      </c>
      <c r="E321" s="3058">
        <v>118.17</v>
      </c>
      <c r="F321" s="3058">
        <v>22500</v>
      </c>
      <c r="G321" s="3059">
        <f t="shared" ref="G321:G384" si="8">E321*F321</f>
        <v>2658825</v>
      </c>
      <c r="H321" s="3059" t="s">
        <v>3055</v>
      </c>
      <c r="I321" s="3058" t="s">
        <v>3072</v>
      </c>
    </row>
    <row r="322" spans="1:9">
      <c r="A322" s="3059">
        <v>1946</v>
      </c>
      <c r="B322" s="3058" t="s">
        <v>3075</v>
      </c>
      <c r="D322" s="3058">
        <v>902</v>
      </c>
      <c r="E322" s="3058">
        <v>118.17</v>
      </c>
      <c r="F322" s="3058">
        <v>22500</v>
      </c>
      <c r="G322" s="3059">
        <f t="shared" si="8"/>
        <v>2658825</v>
      </c>
      <c r="H322" s="3059" t="s">
        <v>3055</v>
      </c>
      <c r="I322" s="3058" t="s">
        <v>3072</v>
      </c>
    </row>
    <row r="323" spans="1:9">
      <c r="A323" s="3059">
        <v>1947</v>
      </c>
      <c r="B323" s="3058" t="s">
        <v>3075</v>
      </c>
      <c r="D323" s="3058">
        <v>1002</v>
      </c>
      <c r="E323" s="3058">
        <v>118.17</v>
      </c>
      <c r="F323" s="3058">
        <v>22500</v>
      </c>
      <c r="G323" s="3059">
        <f t="shared" si="8"/>
        <v>2658825</v>
      </c>
      <c r="H323" s="3059" t="s">
        <v>3055</v>
      </c>
      <c r="I323" s="3058" t="s">
        <v>3072</v>
      </c>
    </row>
    <row r="324" spans="1:9">
      <c r="A324" s="3059">
        <v>1948</v>
      </c>
      <c r="B324" s="3058" t="s">
        <v>3075</v>
      </c>
      <c r="D324" s="3058">
        <v>1102</v>
      </c>
      <c r="E324" s="3058">
        <v>118.17</v>
      </c>
      <c r="F324" s="3058">
        <v>22500</v>
      </c>
      <c r="G324" s="3059">
        <f t="shared" si="8"/>
        <v>2658825</v>
      </c>
      <c r="H324" s="3059" t="s">
        <v>3055</v>
      </c>
      <c r="I324" s="3058" t="s">
        <v>3072</v>
      </c>
    </row>
    <row r="325" spans="1:9">
      <c r="A325" s="3059">
        <v>1949</v>
      </c>
      <c r="B325" s="3058" t="s">
        <v>3075</v>
      </c>
      <c r="D325" s="3058">
        <v>1202</v>
      </c>
      <c r="E325" s="3058">
        <v>118.17</v>
      </c>
      <c r="F325" s="3058">
        <v>22500</v>
      </c>
      <c r="G325" s="3059">
        <f t="shared" si="8"/>
        <v>2658825</v>
      </c>
      <c r="H325" s="3059" t="s">
        <v>3055</v>
      </c>
      <c r="I325" s="3058" t="s">
        <v>3072</v>
      </c>
    </row>
    <row r="326" spans="1:9">
      <c r="A326" s="3059">
        <v>1950</v>
      </c>
      <c r="B326" s="3058" t="s">
        <v>3075</v>
      </c>
      <c r="D326" s="3058">
        <v>1302</v>
      </c>
      <c r="E326" s="3058">
        <v>118.17</v>
      </c>
      <c r="F326" s="3058">
        <v>22500</v>
      </c>
      <c r="G326" s="3059">
        <f t="shared" si="8"/>
        <v>2658825</v>
      </c>
      <c r="H326" s="3059" t="s">
        <v>3055</v>
      </c>
      <c r="I326" s="3058" t="s">
        <v>3072</v>
      </c>
    </row>
    <row r="327" spans="1:9">
      <c r="A327" s="3059">
        <v>1951</v>
      </c>
      <c r="B327" s="3058" t="s">
        <v>3075</v>
      </c>
      <c r="D327" s="3058">
        <v>1402</v>
      </c>
      <c r="E327" s="3058">
        <v>118.17</v>
      </c>
      <c r="F327" s="3058">
        <v>22500</v>
      </c>
      <c r="G327" s="3059">
        <f t="shared" si="8"/>
        <v>2658825</v>
      </c>
      <c r="H327" s="3059" t="s">
        <v>3055</v>
      </c>
      <c r="I327" s="3058" t="s">
        <v>3072</v>
      </c>
    </row>
    <row r="328" spans="1:9">
      <c r="A328" s="3059">
        <v>1952</v>
      </c>
      <c r="B328" s="3058" t="s">
        <v>3075</v>
      </c>
      <c r="D328" s="3058">
        <v>1502</v>
      </c>
      <c r="E328" s="3058">
        <v>118.17</v>
      </c>
      <c r="F328" s="3058">
        <v>22500</v>
      </c>
      <c r="G328" s="3059">
        <f t="shared" si="8"/>
        <v>2658825</v>
      </c>
      <c r="H328" s="3059" t="s">
        <v>3055</v>
      </c>
      <c r="I328" s="3058" t="s">
        <v>3072</v>
      </c>
    </row>
    <row r="329" spans="1:9">
      <c r="A329" s="3059">
        <v>1953</v>
      </c>
      <c r="B329" s="3058" t="s">
        <v>3075</v>
      </c>
      <c r="D329" s="3058">
        <v>1602</v>
      </c>
      <c r="E329" s="3058">
        <v>118.17</v>
      </c>
      <c r="F329" s="3058">
        <v>22500</v>
      </c>
      <c r="G329" s="3059">
        <f t="shared" si="8"/>
        <v>2658825</v>
      </c>
      <c r="H329" s="3059" t="s">
        <v>3055</v>
      </c>
      <c r="I329" s="3058" t="s">
        <v>3072</v>
      </c>
    </row>
    <row r="330" spans="1:9">
      <c r="A330" s="3059">
        <v>1954</v>
      </c>
      <c r="B330" s="3058" t="s">
        <v>3075</v>
      </c>
      <c r="D330" s="3058">
        <v>1702</v>
      </c>
      <c r="E330" s="3058">
        <v>118.17</v>
      </c>
      <c r="F330" s="3058">
        <v>22500</v>
      </c>
      <c r="G330" s="3059">
        <f t="shared" si="8"/>
        <v>2658825</v>
      </c>
      <c r="H330" s="3059" t="s">
        <v>3055</v>
      </c>
      <c r="I330" s="3058" t="s">
        <v>3072</v>
      </c>
    </row>
    <row r="331" spans="1:9">
      <c r="A331" s="3059">
        <v>1955</v>
      </c>
      <c r="B331" s="3058" t="s">
        <v>3075</v>
      </c>
      <c r="D331" s="3058">
        <v>1802</v>
      </c>
      <c r="E331" s="3058">
        <v>118.17</v>
      </c>
      <c r="F331" s="3058">
        <v>22500</v>
      </c>
      <c r="G331" s="3059">
        <f t="shared" si="8"/>
        <v>2658825</v>
      </c>
      <c r="H331" s="3059" t="s">
        <v>3055</v>
      </c>
      <c r="I331" s="3058" t="s">
        <v>3072</v>
      </c>
    </row>
    <row r="332" spans="1:9">
      <c r="A332" s="3059">
        <v>1956</v>
      </c>
      <c r="B332" s="3058" t="s">
        <v>3075</v>
      </c>
      <c r="D332" s="3058">
        <v>1902</v>
      </c>
      <c r="E332" s="3058">
        <v>118.17</v>
      </c>
      <c r="F332" s="3058">
        <v>22500</v>
      </c>
      <c r="G332" s="3059">
        <f t="shared" si="8"/>
        <v>2658825</v>
      </c>
      <c r="H332" s="3059" t="s">
        <v>3055</v>
      </c>
      <c r="I332" s="3058" t="s">
        <v>3072</v>
      </c>
    </row>
    <row r="333" spans="1:9">
      <c r="A333" s="3059">
        <v>1957</v>
      </c>
      <c r="B333" s="3058" t="s">
        <v>3075</v>
      </c>
      <c r="D333" s="3058">
        <v>2002</v>
      </c>
      <c r="E333" s="3058">
        <v>118.17</v>
      </c>
      <c r="F333" s="3058">
        <v>22500</v>
      </c>
      <c r="G333" s="3059">
        <f t="shared" si="8"/>
        <v>2658825</v>
      </c>
      <c r="H333" s="3059" t="s">
        <v>3055</v>
      </c>
      <c r="I333" s="3058" t="s">
        <v>3072</v>
      </c>
    </row>
    <row r="334" spans="1:9">
      <c r="A334" s="3059">
        <v>1958</v>
      </c>
      <c r="B334" s="3058" t="s">
        <v>3075</v>
      </c>
      <c r="D334" s="3058">
        <v>2102</v>
      </c>
      <c r="E334" s="3058">
        <v>118.17</v>
      </c>
      <c r="F334" s="3058">
        <v>22500</v>
      </c>
      <c r="G334" s="3059">
        <f t="shared" si="8"/>
        <v>2658825</v>
      </c>
      <c r="H334" s="3059" t="s">
        <v>3055</v>
      </c>
      <c r="I334" s="3058" t="s">
        <v>3072</v>
      </c>
    </row>
    <row r="335" spans="1:9">
      <c r="A335" s="3059">
        <v>1959</v>
      </c>
      <c r="B335" s="3058" t="s">
        <v>3075</v>
      </c>
      <c r="D335" s="3058">
        <v>2202</v>
      </c>
      <c r="E335" s="3058">
        <v>118.17</v>
      </c>
      <c r="F335" s="3058">
        <v>22500</v>
      </c>
      <c r="G335" s="3059">
        <f t="shared" si="8"/>
        <v>2658825</v>
      </c>
      <c r="H335" s="3059" t="s">
        <v>3055</v>
      </c>
      <c r="I335" s="3058" t="s">
        <v>3072</v>
      </c>
    </row>
    <row r="336" spans="1:9">
      <c r="A336" s="3059">
        <v>1960</v>
      </c>
      <c r="B336" s="3058" t="s">
        <v>3075</v>
      </c>
      <c r="D336" s="3058">
        <v>2302</v>
      </c>
      <c r="E336" s="3058">
        <v>118.17</v>
      </c>
      <c r="F336" s="3058">
        <v>22500</v>
      </c>
      <c r="G336" s="3059">
        <f t="shared" si="8"/>
        <v>2658825</v>
      </c>
      <c r="H336" s="3059" t="s">
        <v>3055</v>
      </c>
      <c r="I336" s="3058" t="s">
        <v>3072</v>
      </c>
    </row>
    <row r="337" spans="1:9">
      <c r="A337" s="3059">
        <v>1961</v>
      </c>
      <c r="B337" s="3058" t="s">
        <v>3075</v>
      </c>
      <c r="D337" s="3058">
        <v>2402</v>
      </c>
      <c r="E337" s="3058">
        <v>118.17</v>
      </c>
      <c r="F337" s="3058">
        <v>22500</v>
      </c>
      <c r="G337" s="3059">
        <f t="shared" si="8"/>
        <v>2658825</v>
      </c>
      <c r="H337" s="3059" t="s">
        <v>3055</v>
      </c>
      <c r="I337" s="3058" t="s">
        <v>3072</v>
      </c>
    </row>
    <row r="338" spans="1:9">
      <c r="A338" s="3059">
        <v>1962</v>
      </c>
      <c r="B338" s="3058" t="s">
        <v>3075</v>
      </c>
      <c r="D338" s="3058">
        <v>203</v>
      </c>
      <c r="E338" s="3058">
        <v>118.04</v>
      </c>
      <c r="F338" s="3058">
        <v>22500</v>
      </c>
      <c r="G338" s="3059">
        <f t="shared" si="8"/>
        <v>2655900</v>
      </c>
      <c r="H338" s="3059" t="s">
        <v>3055</v>
      </c>
      <c r="I338" s="3058" t="s">
        <v>3072</v>
      </c>
    </row>
    <row r="339" spans="1:9">
      <c r="A339" s="3059">
        <v>1963</v>
      </c>
      <c r="B339" s="3058" t="s">
        <v>3075</v>
      </c>
      <c r="D339" s="3058">
        <v>303</v>
      </c>
      <c r="E339" s="3058">
        <v>118.04</v>
      </c>
      <c r="F339" s="3058">
        <v>22500</v>
      </c>
      <c r="G339" s="3059">
        <f t="shared" si="8"/>
        <v>2655900</v>
      </c>
      <c r="H339" s="3059" t="s">
        <v>3055</v>
      </c>
      <c r="I339" s="3058" t="s">
        <v>3072</v>
      </c>
    </row>
    <row r="340" spans="1:9">
      <c r="A340" s="3059">
        <v>1964</v>
      </c>
      <c r="B340" s="3058" t="s">
        <v>3075</v>
      </c>
      <c r="D340" s="3058">
        <v>403</v>
      </c>
      <c r="E340" s="3058">
        <v>118.04</v>
      </c>
      <c r="F340" s="3058">
        <v>22500</v>
      </c>
      <c r="G340" s="3059">
        <f t="shared" si="8"/>
        <v>2655900</v>
      </c>
      <c r="H340" s="3059" t="s">
        <v>3055</v>
      </c>
      <c r="I340" s="3058" t="s">
        <v>3072</v>
      </c>
    </row>
    <row r="341" spans="1:9">
      <c r="A341" s="3059">
        <v>1965</v>
      </c>
      <c r="B341" s="3058" t="s">
        <v>3075</v>
      </c>
      <c r="D341" s="3058">
        <v>503</v>
      </c>
      <c r="E341" s="3058">
        <v>118.04</v>
      </c>
      <c r="F341" s="3058">
        <v>22500</v>
      </c>
      <c r="G341" s="3059">
        <f t="shared" si="8"/>
        <v>2655900</v>
      </c>
      <c r="H341" s="3059" t="s">
        <v>3055</v>
      </c>
      <c r="I341" s="3058" t="s">
        <v>3072</v>
      </c>
    </row>
    <row r="342" spans="1:9">
      <c r="A342" s="3059">
        <v>1966</v>
      </c>
      <c r="B342" s="3058" t="s">
        <v>3075</v>
      </c>
      <c r="D342" s="3058">
        <v>603</v>
      </c>
      <c r="E342" s="3058">
        <v>118.04</v>
      </c>
      <c r="F342" s="3058">
        <v>22500</v>
      </c>
      <c r="G342" s="3059">
        <f t="shared" si="8"/>
        <v>2655900</v>
      </c>
      <c r="H342" s="3059" t="s">
        <v>3055</v>
      </c>
      <c r="I342" s="3058" t="s">
        <v>3072</v>
      </c>
    </row>
    <row r="343" spans="1:9">
      <c r="A343" s="3059">
        <v>1967</v>
      </c>
      <c r="B343" s="3058" t="s">
        <v>3075</v>
      </c>
      <c r="D343" s="3058">
        <v>703</v>
      </c>
      <c r="E343" s="3058">
        <v>118.04</v>
      </c>
      <c r="F343" s="3058">
        <v>22500</v>
      </c>
      <c r="G343" s="3059">
        <f t="shared" si="8"/>
        <v>2655900</v>
      </c>
      <c r="H343" s="3059" t="s">
        <v>3055</v>
      </c>
      <c r="I343" s="3058" t="s">
        <v>3072</v>
      </c>
    </row>
    <row r="344" spans="1:9">
      <c r="A344" s="3059">
        <v>1968</v>
      </c>
      <c r="B344" s="3058" t="s">
        <v>3075</v>
      </c>
      <c r="D344" s="3058">
        <v>803</v>
      </c>
      <c r="E344" s="3058">
        <v>118.04</v>
      </c>
      <c r="F344" s="3058">
        <v>22500</v>
      </c>
      <c r="G344" s="3059">
        <f t="shared" si="8"/>
        <v>2655900</v>
      </c>
      <c r="H344" s="3059" t="s">
        <v>3055</v>
      </c>
      <c r="I344" s="3058" t="s">
        <v>3072</v>
      </c>
    </row>
    <row r="345" spans="1:9">
      <c r="A345" s="3059">
        <v>1969</v>
      </c>
      <c r="B345" s="3058" t="s">
        <v>3075</v>
      </c>
      <c r="D345" s="3058">
        <v>903</v>
      </c>
      <c r="E345" s="3058">
        <v>118.04</v>
      </c>
      <c r="F345" s="3058">
        <v>22500</v>
      </c>
      <c r="G345" s="3059">
        <f t="shared" si="8"/>
        <v>2655900</v>
      </c>
      <c r="H345" s="3059" t="s">
        <v>3055</v>
      </c>
      <c r="I345" s="3058" t="s">
        <v>3072</v>
      </c>
    </row>
    <row r="346" spans="1:9">
      <c r="A346" s="3059">
        <v>1970</v>
      </c>
      <c r="B346" s="3058" t="s">
        <v>3075</v>
      </c>
      <c r="D346" s="3058">
        <v>1003</v>
      </c>
      <c r="E346" s="3058">
        <v>118.04</v>
      </c>
      <c r="F346" s="3058">
        <v>22500</v>
      </c>
      <c r="G346" s="3059">
        <f t="shared" si="8"/>
        <v>2655900</v>
      </c>
      <c r="H346" s="3059" t="s">
        <v>3055</v>
      </c>
      <c r="I346" s="3058" t="s">
        <v>3072</v>
      </c>
    </row>
    <row r="347" spans="1:9">
      <c r="A347" s="3059">
        <v>1971</v>
      </c>
      <c r="B347" s="3058" t="s">
        <v>3075</v>
      </c>
      <c r="D347" s="3058">
        <v>1103</v>
      </c>
      <c r="E347" s="3058">
        <v>118.04</v>
      </c>
      <c r="F347" s="3058">
        <v>22500</v>
      </c>
      <c r="G347" s="3059">
        <f t="shared" si="8"/>
        <v>2655900</v>
      </c>
      <c r="H347" s="3059" t="s">
        <v>3055</v>
      </c>
      <c r="I347" s="3058" t="s">
        <v>3072</v>
      </c>
    </row>
    <row r="348" spans="1:9">
      <c r="A348" s="3059">
        <v>1972</v>
      </c>
      <c r="B348" s="3058" t="s">
        <v>3075</v>
      </c>
      <c r="D348" s="3058">
        <v>1203</v>
      </c>
      <c r="E348" s="3058">
        <v>118.04</v>
      </c>
      <c r="F348" s="3058">
        <v>22500</v>
      </c>
      <c r="G348" s="3059">
        <f t="shared" si="8"/>
        <v>2655900</v>
      </c>
      <c r="H348" s="3059" t="s">
        <v>3055</v>
      </c>
      <c r="I348" s="3058" t="s">
        <v>3072</v>
      </c>
    </row>
    <row r="349" spans="1:9">
      <c r="A349" s="3059">
        <v>1973</v>
      </c>
      <c r="B349" s="3058" t="s">
        <v>3075</v>
      </c>
      <c r="D349" s="3058">
        <v>1303</v>
      </c>
      <c r="E349" s="3058">
        <v>118.04</v>
      </c>
      <c r="F349" s="3058">
        <v>22500</v>
      </c>
      <c r="G349" s="3059">
        <f t="shared" si="8"/>
        <v>2655900</v>
      </c>
      <c r="H349" s="3059" t="s">
        <v>3055</v>
      </c>
      <c r="I349" s="3058" t="s">
        <v>3072</v>
      </c>
    </row>
    <row r="350" spans="1:9">
      <c r="A350" s="3059">
        <v>1974</v>
      </c>
      <c r="B350" s="3058" t="s">
        <v>3075</v>
      </c>
      <c r="D350" s="3058">
        <v>1403</v>
      </c>
      <c r="E350" s="3058">
        <v>118.04</v>
      </c>
      <c r="F350" s="3058">
        <v>22500</v>
      </c>
      <c r="G350" s="3059">
        <f t="shared" si="8"/>
        <v>2655900</v>
      </c>
      <c r="H350" s="3059" t="s">
        <v>3055</v>
      </c>
      <c r="I350" s="3058" t="s">
        <v>3072</v>
      </c>
    </row>
    <row r="351" spans="1:9">
      <c r="A351" s="3059">
        <v>1975</v>
      </c>
      <c r="B351" s="3058" t="s">
        <v>3075</v>
      </c>
      <c r="D351" s="3058">
        <v>1503</v>
      </c>
      <c r="E351" s="3058">
        <v>118.04</v>
      </c>
      <c r="F351" s="3058">
        <v>22500</v>
      </c>
      <c r="G351" s="3059">
        <f t="shared" si="8"/>
        <v>2655900</v>
      </c>
      <c r="H351" s="3059" t="s">
        <v>3055</v>
      </c>
      <c r="I351" s="3058" t="s">
        <v>3072</v>
      </c>
    </row>
    <row r="352" spans="1:9">
      <c r="A352" s="3059">
        <v>1976</v>
      </c>
      <c r="B352" s="3058" t="s">
        <v>3075</v>
      </c>
      <c r="D352" s="3058">
        <v>1603</v>
      </c>
      <c r="E352" s="3058">
        <v>118.04</v>
      </c>
      <c r="F352" s="3058">
        <v>22500</v>
      </c>
      <c r="G352" s="3059">
        <f t="shared" si="8"/>
        <v>2655900</v>
      </c>
      <c r="H352" s="3059" t="s">
        <v>3055</v>
      </c>
      <c r="I352" s="3058" t="s">
        <v>3072</v>
      </c>
    </row>
    <row r="353" spans="1:9">
      <c r="A353" s="3059">
        <v>1977</v>
      </c>
      <c r="B353" s="3058" t="s">
        <v>3075</v>
      </c>
      <c r="D353" s="3058">
        <v>1703</v>
      </c>
      <c r="E353" s="3058">
        <v>118.04</v>
      </c>
      <c r="F353" s="3058">
        <v>22500</v>
      </c>
      <c r="G353" s="3059">
        <f t="shared" si="8"/>
        <v>2655900</v>
      </c>
      <c r="H353" s="3059" t="s">
        <v>3055</v>
      </c>
      <c r="I353" s="3058" t="s">
        <v>3072</v>
      </c>
    </row>
    <row r="354" spans="1:9">
      <c r="A354" s="3059">
        <v>1978</v>
      </c>
      <c r="B354" s="3058" t="s">
        <v>3075</v>
      </c>
      <c r="D354" s="3058">
        <v>1803</v>
      </c>
      <c r="E354" s="3058">
        <v>118.04</v>
      </c>
      <c r="F354" s="3058">
        <v>22500</v>
      </c>
      <c r="G354" s="3059">
        <f t="shared" si="8"/>
        <v>2655900</v>
      </c>
      <c r="H354" s="3059" t="s">
        <v>3055</v>
      </c>
      <c r="I354" s="3058" t="s">
        <v>3072</v>
      </c>
    </row>
    <row r="355" spans="1:9">
      <c r="A355" s="3059">
        <v>1979</v>
      </c>
      <c r="B355" s="3058" t="s">
        <v>3075</v>
      </c>
      <c r="D355" s="3058">
        <v>1903</v>
      </c>
      <c r="E355" s="3058">
        <v>118.04</v>
      </c>
      <c r="F355" s="3058">
        <v>22500</v>
      </c>
      <c r="G355" s="3059">
        <f t="shared" si="8"/>
        <v>2655900</v>
      </c>
      <c r="H355" s="3059" t="s">
        <v>3055</v>
      </c>
      <c r="I355" s="3058" t="s">
        <v>3072</v>
      </c>
    </row>
    <row r="356" spans="1:9">
      <c r="A356" s="3059">
        <v>1980</v>
      </c>
      <c r="B356" s="3058" t="s">
        <v>3075</v>
      </c>
      <c r="D356" s="3058">
        <v>2003</v>
      </c>
      <c r="E356" s="3058">
        <v>118.04</v>
      </c>
      <c r="F356" s="3058">
        <v>22500</v>
      </c>
      <c r="G356" s="3059">
        <f t="shared" si="8"/>
        <v>2655900</v>
      </c>
      <c r="H356" s="3059" t="s">
        <v>3055</v>
      </c>
      <c r="I356" s="3058" t="s">
        <v>3072</v>
      </c>
    </row>
    <row r="357" spans="1:9">
      <c r="A357" s="3059">
        <v>1981</v>
      </c>
      <c r="B357" s="3058" t="s">
        <v>3075</v>
      </c>
      <c r="D357" s="3058">
        <v>2103</v>
      </c>
      <c r="E357" s="3058">
        <v>118.04</v>
      </c>
      <c r="F357" s="3058">
        <v>22500</v>
      </c>
      <c r="G357" s="3059">
        <f t="shared" si="8"/>
        <v>2655900</v>
      </c>
      <c r="H357" s="3059" t="s">
        <v>3055</v>
      </c>
      <c r="I357" s="3058" t="s">
        <v>3072</v>
      </c>
    </row>
    <row r="358" spans="1:9">
      <c r="A358" s="3059">
        <v>1982</v>
      </c>
      <c r="B358" s="3058" t="s">
        <v>3075</v>
      </c>
      <c r="D358" s="3058">
        <v>2203</v>
      </c>
      <c r="E358" s="3058">
        <v>118.04</v>
      </c>
      <c r="F358" s="3058">
        <v>22500</v>
      </c>
      <c r="G358" s="3059">
        <f t="shared" si="8"/>
        <v>2655900</v>
      </c>
      <c r="H358" s="3059" t="s">
        <v>3055</v>
      </c>
      <c r="I358" s="3058" t="s">
        <v>3072</v>
      </c>
    </row>
    <row r="359" spans="1:9">
      <c r="A359" s="3059">
        <v>1983</v>
      </c>
      <c r="B359" s="3058" t="s">
        <v>3075</v>
      </c>
      <c r="D359" s="3058">
        <v>2303</v>
      </c>
      <c r="E359" s="3058">
        <v>118.04</v>
      </c>
      <c r="F359" s="3058">
        <v>22500</v>
      </c>
      <c r="G359" s="3059">
        <f t="shared" si="8"/>
        <v>2655900</v>
      </c>
      <c r="H359" s="3059" t="s">
        <v>3055</v>
      </c>
      <c r="I359" s="3058" t="s">
        <v>3072</v>
      </c>
    </row>
    <row r="360" spans="1:9">
      <c r="A360" s="3059">
        <v>1984</v>
      </c>
      <c r="B360" s="3058" t="s">
        <v>3075</v>
      </c>
      <c r="D360" s="3058">
        <v>2403</v>
      </c>
      <c r="E360" s="3058">
        <v>118.04</v>
      </c>
      <c r="F360" s="3058">
        <v>22500</v>
      </c>
      <c r="G360" s="3059">
        <f t="shared" si="8"/>
        <v>2655900</v>
      </c>
      <c r="H360" s="3059" t="s">
        <v>3055</v>
      </c>
      <c r="I360" s="3058" t="s">
        <v>3072</v>
      </c>
    </row>
    <row r="361" spans="1:9">
      <c r="A361" s="3059">
        <v>1985</v>
      </c>
      <c r="B361" s="3058" t="s">
        <v>3075</v>
      </c>
      <c r="D361" s="3058">
        <v>104</v>
      </c>
      <c r="E361" s="3058">
        <v>225.63</v>
      </c>
      <c r="F361" s="3058">
        <v>22500</v>
      </c>
      <c r="G361" s="3059">
        <f t="shared" si="8"/>
        <v>5076675</v>
      </c>
      <c r="H361" s="3059" t="s">
        <v>3055</v>
      </c>
      <c r="I361" s="3058" t="s">
        <v>3072</v>
      </c>
    </row>
    <row r="362" spans="1:9">
      <c r="A362" s="3059">
        <v>1986</v>
      </c>
      <c r="B362" s="3058" t="s">
        <v>3075</v>
      </c>
      <c r="D362" s="3058">
        <v>204</v>
      </c>
      <c r="E362" s="3058">
        <v>128.13999999999999</v>
      </c>
      <c r="F362" s="3058">
        <v>22500</v>
      </c>
      <c r="G362" s="3059">
        <f t="shared" si="8"/>
        <v>2883149.9999999995</v>
      </c>
      <c r="H362" s="3059" t="s">
        <v>3055</v>
      </c>
      <c r="I362" s="3058" t="s">
        <v>3072</v>
      </c>
    </row>
    <row r="363" spans="1:9">
      <c r="A363" s="3059">
        <v>1987</v>
      </c>
      <c r="B363" s="3058" t="s">
        <v>3075</v>
      </c>
      <c r="D363" s="3058">
        <v>304</v>
      </c>
      <c r="E363" s="3058">
        <v>128.13999999999999</v>
      </c>
      <c r="F363" s="3058">
        <v>22500</v>
      </c>
      <c r="G363" s="3059">
        <f t="shared" si="8"/>
        <v>2883149.9999999995</v>
      </c>
      <c r="H363" s="3059" t="s">
        <v>3055</v>
      </c>
      <c r="I363" s="3058" t="s">
        <v>3072</v>
      </c>
    </row>
    <row r="364" spans="1:9">
      <c r="A364" s="3059">
        <v>1988</v>
      </c>
      <c r="B364" s="3058" t="s">
        <v>3075</v>
      </c>
      <c r="D364" s="3058">
        <v>404</v>
      </c>
      <c r="E364" s="3058">
        <v>128.13999999999999</v>
      </c>
      <c r="F364" s="3058">
        <v>22500</v>
      </c>
      <c r="G364" s="3059">
        <f t="shared" si="8"/>
        <v>2883149.9999999995</v>
      </c>
      <c r="H364" s="3059" t="s">
        <v>3055</v>
      </c>
      <c r="I364" s="3058" t="s">
        <v>3072</v>
      </c>
    </row>
    <row r="365" spans="1:9">
      <c r="A365" s="3059">
        <v>1989</v>
      </c>
      <c r="B365" s="3058" t="s">
        <v>3075</v>
      </c>
      <c r="D365" s="3058">
        <v>504</v>
      </c>
      <c r="E365" s="3058">
        <v>128.13999999999999</v>
      </c>
      <c r="F365" s="3058">
        <v>22500</v>
      </c>
      <c r="G365" s="3059">
        <f t="shared" si="8"/>
        <v>2883149.9999999995</v>
      </c>
      <c r="H365" s="3059" t="s">
        <v>3055</v>
      </c>
      <c r="I365" s="3058" t="s">
        <v>3072</v>
      </c>
    </row>
    <row r="366" spans="1:9">
      <c r="A366" s="3059">
        <v>1990</v>
      </c>
      <c r="B366" s="3058" t="s">
        <v>3075</v>
      </c>
      <c r="D366" s="3058">
        <v>604</v>
      </c>
      <c r="E366" s="3058">
        <v>128.13999999999999</v>
      </c>
      <c r="F366" s="3058">
        <v>22500</v>
      </c>
      <c r="G366" s="3059">
        <f t="shared" si="8"/>
        <v>2883149.9999999995</v>
      </c>
      <c r="H366" s="3059" t="s">
        <v>3055</v>
      </c>
      <c r="I366" s="3058" t="s">
        <v>3072</v>
      </c>
    </row>
    <row r="367" spans="1:9">
      <c r="A367" s="3059">
        <v>1991</v>
      </c>
      <c r="B367" s="3058" t="s">
        <v>3075</v>
      </c>
      <c r="D367" s="3058">
        <v>704</v>
      </c>
      <c r="E367" s="3058">
        <v>128.13999999999999</v>
      </c>
      <c r="F367" s="3058">
        <v>22500</v>
      </c>
      <c r="G367" s="3059">
        <f t="shared" si="8"/>
        <v>2883149.9999999995</v>
      </c>
      <c r="H367" s="3059" t="s">
        <v>3055</v>
      </c>
      <c r="I367" s="3058" t="s">
        <v>3072</v>
      </c>
    </row>
    <row r="368" spans="1:9">
      <c r="A368" s="3059">
        <v>1992</v>
      </c>
      <c r="B368" s="3058" t="s">
        <v>3075</v>
      </c>
      <c r="D368" s="3058">
        <v>804</v>
      </c>
      <c r="E368" s="3058">
        <v>128.13999999999999</v>
      </c>
      <c r="F368" s="3058">
        <v>22500</v>
      </c>
      <c r="G368" s="3059">
        <f t="shared" si="8"/>
        <v>2883149.9999999995</v>
      </c>
      <c r="H368" s="3059" t="s">
        <v>3055</v>
      </c>
      <c r="I368" s="3058" t="s">
        <v>3072</v>
      </c>
    </row>
    <row r="369" spans="1:10">
      <c r="A369" s="3059">
        <v>1993</v>
      </c>
      <c r="B369" s="3058" t="s">
        <v>3075</v>
      </c>
      <c r="D369" s="3058">
        <v>904</v>
      </c>
      <c r="E369" s="3058">
        <v>128.13999999999999</v>
      </c>
      <c r="F369" s="3058">
        <v>22500</v>
      </c>
      <c r="G369" s="3059">
        <f t="shared" si="8"/>
        <v>2883149.9999999995</v>
      </c>
      <c r="H369" s="3059" t="s">
        <v>3055</v>
      </c>
      <c r="I369" s="3058" t="s">
        <v>3072</v>
      </c>
    </row>
    <row r="370" spans="1:10">
      <c r="A370" s="3059">
        <v>1994</v>
      </c>
      <c r="B370" s="3058" t="s">
        <v>3075</v>
      </c>
      <c r="D370" s="3058">
        <v>1004</v>
      </c>
      <c r="E370" s="3058">
        <v>128.13999999999999</v>
      </c>
      <c r="F370" s="3058">
        <v>22500</v>
      </c>
      <c r="G370" s="3059">
        <f t="shared" si="8"/>
        <v>2883149.9999999995</v>
      </c>
      <c r="H370" s="3059" t="s">
        <v>3055</v>
      </c>
      <c r="I370" s="3058" t="s">
        <v>3072</v>
      </c>
    </row>
    <row r="371" spans="1:10">
      <c r="A371" s="3059">
        <v>1995</v>
      </c>
      <c r="B371" s="3058" t="s">
        <v>3075</v>
      </c>
      <c r="D371" s="3058">
        <v>1104</v>
      </c>
      <c r="E371" s="3058">
        <v>128.13999999999999</v>
      </c>
      <c r="F371" s="3058">
        <v>22500</v>
      </c>
      <c r="G371" s="3059">
        <f t="shared" si="8"/>
        <v>2883149.9999999995</v>
      </c>
      <c r="H371" s="3059" t="s">
        <v>3055</v>
      </c>
      <c r="I371" s="3058" t="s">
        <v>3072</v>
      </c>
    </row>
    <row r="372" spans="1:10">
      <c r="A372" s="3059">
        <v>1996</v>
      </c>
      <c r="B372" s="3058" t="s">
        <v>3075</v>
      </c>
      <c r="D372" s="3058">
        <v>1204</v>
      </c>
      <c r="E372" s="3058">
        <v>128.13999999999999</v>
      </c>
      <c r="F372" s="3058">
        <v>22500</v>
      </c>
      <c r="G372" s="3059">
        <f t="shared" si="8"/>
        <v>2883149.9999999995</v>
      </c>
      <c r="H372" s="3059" t="s">
        <v>3055</v>
      </c>
      <c r="I372" s="3058" t="s">
        <v>3072</v>
      </c>
    </row>
    <row r="373" spans="1:10">
      <c r="A373" s="3059">
        <v>1997</v>
      </c>
      <c r="B373" s="3058" t="s">
        <v>3075</v>
      </c>
      <c r="D373" s="3058">
        <v>1304</v>
      </c>
      <c r="E373" s="3058">
        <v>128.13999999999999</v>
      </c>
      <c r="F373" s="3058">
        <v>22500</v>
      </c>
      <c r="G373" s="3059">
        <f t="shared" si="8"/>
        <v>2883149.9999999995</v>
      </c>
      <c r="H373" s="3059" t="s">
        <v>3055</v>
      </c>
      <c r="I373" s="3058" t="s">
        <v>3072</v>
      </c>
    </row>
    <row r="374" spans="1:10">
      <c r="A374" s="3059">
        <v>1998</v>
      </c>
      <c r="B374" s="3058" t="s">
        <v>3075</v>
      </c>
      <c r="D374" s="3058">
        <v>1404</v>
      </c>
      <c r="E374" s="3058">
        <v>128.13999999999999</v>
      </c>
      <c r="F374" s="3058">
        <v>22500</v>
      </c>
      <c r="G374" s="3059">
        <f t="shared" si="8"/>
        <v>2883149.9999999995</v>
      </c>
      <c r="H374" s="3059" t="s">
        <v>3055</v>
      </c>
      <c r="I374" s="3058" t="s">
        <v>3072</v>
      </c>
    </row>
    <row r="375" spans="1:10">
      <c r="A375" s="3059">
        <v>1999</v>
      </c>
      <c r="B375" s="3058" t="s">
        <v>3075</v>
      </c>
      <c r="D375" s="3058">
        <v>1504</v>
      </c>
      <c r="E375" s="3058">
        <v>128.13999999999999</v>
      </c>
      <c r="F375" s="3058">
        <v>22500</v>
      </c>
      <c r="G375" s="3059">
        <f t="shared" si="8"/>
        <v>2883149.9999999995</v>
      </c>
      <c r="H375" s="3059" t="s">
        <v>3055</v>
      </c>
      <c r="I375" s="3058" t="s">
        <v>3072</v>
      </c>
    </row>
    <row r="376" spans="1:10">
      <c r="A376" s="3059">
        <v>2000</v>
      </c>
      <c r="B376" s="3058" t="s">
        <v>3075</v>
      </c>
      <c r="D376" s="3058">
        <v>1604</v>
      </c>
      <c r="E376" s="3058">
        <v>128.13999999999999</v>
      </c>
      <c r="F376" s="3058">
        <v>22500</v>
      </c>
      <c r="G376" s="3059">
        <f t="shared" si="8"/>
        <v>2883149.9999999995</v>
      </c>
      <c r="H376" s="3059" t="s">
        <v>3055</v>
      </c>
      <c r="I376" s="3058" t="s">
        <v>3072</v>
      </c>
    </row>
    <row r="377" spans="1:10">
      <c r="A377" s="3059">
        <v>2001</v>
      </c>
      <c r="B377" s="3058" t="s">
        <v>3075</v>
      </c>
      <c r="D377" s="3058">
        <v>1704</v>
      </c>
      <c r="E377" s="3058">
        <v>128.13999999999999</v>
      </c>
      <c r="F377" s="3058">
        <v>22500</v>
      </c>
      <c r="G377" s="3059">
        <f t="shared" si="8"/>
        <v>2883149.9999999995</v>
      </c>
      <c r="H377" s="3059" t="s">
        <v>3055</v>
      </c>
      <c r="I377" s="3058" t="s">
        <v>3072</v>
      </c>
    </row>
    <row r="378" spans="1:10">
      <c r="A378" s="3059">
        <v>2002</v>
      </c>
      <c r="B378" s="3058" t="s">
        <v>3075</v>
      </c>
      <c r="D378" s="3058">
        <v>1804</v>
      </c>
      <c r="E378" s="3058">
        <v>128.13999999999999</v>
      </c>
      <c r="F378" s="3058">
        <v>22500</v>
      </c>
      <c r="G378" s="3059">
        <f t="shared" si="8"/>
        <v>2883149.9999999995</v>
      </c>
      <c r="H378" s="3059" t="s">
        <v>3055</v>
      </c>
      <c r="I378" s="3058" t="s">
        <v>3072</v>
      </c>
    </row>
    <row r="379" spans="1:10">
      <c r="A379" s="3059">
        <v>2003</v>
      </c>
      <c r="B379" s="3058" t="s">
        <v>3075</v>
      </c>
      <c r="D379" s="3058">
        <v>1904</v>
      </c>
      <c r="E379" s="3058">
        <v>128.13999999999999</v>
      </c>
      <c r="F379" s="3058">
        <v>22500</v>
      </c>
      <c r="G379" s="3059">
        <f t="shared" si="8"/>
        <v>2883149.9999999995</v>
      </c>
      <c r="H379" s="3059" t="s">
        <v>3055</v>
      </c>
      <c r="I379" s="3058" t="s">
        <v>3072</v>
      </c>
    </row>
    <row r="380" spans="1:10">
      <c r="A380" s="3059">
        <v>2004</v>
      </c>
      <c r="B380" s="3058" t="s">
        <v>3075</v>
      </c>
      <c r="D380" s="3058">
        <v>2004</v>
      </c>
      <c r="E380" s="3058">
        <v>128.13999999999999</v>
      </c>
      <c r="F380" s="3058">
        <v>22500</v>
      </c>
      <c r="G380" s="3059">
        <f t="shared" si="8"/>
        <v>2883149.9999999995</v>
      </c>
      <c r="H380" s="3059" t="s">
        <v>3055</v>
      </c>
      <c r="I380" s="3058" t="s">
        <v>3072</v>
      </c>
    </row>
    <row r="381" spans="1:10">
      <c r="A381" s="3059">
        <v>2005</v>
      </c>
      <c r="B381" s="3058" t="s">
        <v>3075</v>
      </c>
      <c r="D381" s="3058">
        <v>2104</v>
      </c>
      <c r="E381" s="3058">
        <v>128.13999999999999</v>
      </c>
      <c r="F381" s="3058">
        <v>22500</v>
      </c>
      <c r="G381" s="3059">
        <f t="shared" si="8"/>
        <v>2883149.9999999995</v>
      </c>
      <c r="H381" s="3059" t="s">
        <v>3055</v>
      </c>
      <c r="I381" s="3058" t="s">
        <v>3072</v>
      </c>
    </row>
    <row r="382" spans="1:10">
      <c r="A382" s="3059">
        <v>2006</v>
      </c>
      <c r="B382" s="3058" t="s">
        <v>3075</v>
      </c>
      <c r="D382" s="3058">
        <v>2204</v>
      </c>
      <c r="E382" s="3058">
        <v>128.13999999999999</v>
      </c>
      <c r="F382" s="3058">
        <v>22500</v>
      </c>
      <c r="G382" s="3059">
        <f t="shared" si="8"/>
        <v>2883149.9999999995</v>
      </c>
      <c r="H382" s="3059" t="s">
        <v>3055</v>
      </c>
      <c r="I382" s="3058" t="s">
        <v>3072</v>
      </c>
    </row>
    <row r="383" spans="1:10">
      <c r="A383" s="3059">
        <v>2007</v>
      </c>
      <c r="B383" s="3058" t="s">
        <v>3075</v>
      </c>
      <c r="D383" s="3058">
        <v>2304</v>
      </c>
      <c r="E383" s="3058">
        <v>128.13999999999999</v>
      </c>
      <c r="F383" s="3058">
        <v>22500</v>
      </c>
      <c r="G383" s="3059">
        <f t="shared" si="8"/>
        <v>2883149.9999999995</v>
      </c>
      <c r="H383" s="3059" t="s">
        <v>3055</v>
      </c>
      <c r="I383" s="3058" t="s">
        <v>3072</v>
      </c>
    </row>
    <row r="384" spans="1:10">
      <c r="A384" s="3059">
        <v>2008</v>
      </c>
      <c r="B384" s="3058" t="s">
        <v>3075</v>
      </c>
      <c r="D384" s="3058">
        <v>2404</v>
      </c>
      <c r="E384" s="3058">
        <v>128.13999999999999</v>
      </c>
      <c r="F384" s="3058">
        <v>22500</v>
      </c>
      <c r="G384" s="3059">
        <f t="shared" si="8"/>
        <v>2883149.9999999995</v>
      </c>
      <c r="H384" s="3059" t="s">
        <v>3055</v>
      </c>
      <c r="I384" s="3058" t="s">
        <v>3072</v>
      </c>
      <c r="J384" s="3058">
        <f>SUM(E291:E384)</f>
        <v>11795.849999999988</v>
      </c>
    </row>
    <row r="385" spans="1:9">
      <c r="A385" s="3059">
        <v>2009</v>
      </c>
      <c r="B385" s="3058" t="s">
        <v>3074</v>
      </c>
      <c r="D385" s="3058">
        <v>201</v>
      </c>
      <c r="E385" s="3058">
        <v>130.47999999999999</v>
      </c>
      <c r="F385" s="3058">
        <v>22500</v>
      </c>
      <c r="G385" s="3059">
        <f t="shared" ref="G385:G448" si="9">E385*F385</f>
        <v>2935800</v>
      </c>
      <c r="H385" s="3059" t="s">
        <v>3055</v>
      </c>
      <c r="I385" s="3058" t="s">
        <v>3072</v>
      </c>
    </row>
    <row r="386" spans="1:9">
      <c r="A386" s="3059">
        <v>2010</v>
      </c>
      <c r="B386" s="3058" t="s">
        <v>3074</v>
      </c>
      <c r="D386" s="3058">
        <v>301</v>
      </c>
      <c r="E386" s="3058">
        <v>130.47999999999999</v>
      </c>
      <c r="F386" s="3058">
        <v>22500</v>
      </c>
      <c r="G386" s="3059">
        <f t="shared" si="9"/>
        <v>2935800</v>
      </c>
      <c r="H386" s="3059" t="s">
        <v>3055</v>
      </c>
      <c r="I386" s="3058" t="s">
        <v>3072</v>
      </c>
    </row>
    <row r="387" spans="1:9">
      <c r="A387" s="3059">
        <v>2011</v>
      </c>
      <c r="B387" s="3058" t="s">
        <v>3074</v>
      </c>
      <c r="D387" s="3058">
        <v>401</v>
      </c>
      <c r="E387" s="3058">
        <v>130.47999999999999</v>
      </c>
      <c r="F387" s="3058">
        <v>22500</v>
      </c>
      <c r="G387" s="3059">
        <f t="shared" si="9"/>
        <v>2935800</v>
      </c>
      <c r="H387" s="3059" t="s">
        <v>3055</v>
      </c>
      <c r="I387" s="3058" t="s">
        <v>3072</v>
      </c>
    </row>
    <row r="388" spans="1:9">
      <c r="A388" s="3059">
        <v>2012</v>
      </c>
      <c r="B388" s="3058" t="s">
        <v>3074</v>
      </c>
      <c r="D388" s="3058">
        <v>501</v>
      </c>
      <c r="E388" s="3058">
        <v>130.47999999999999</v>
      </c>
      <c r="F388" s="3058">
        <v>22500</v>
      </c>
      <c r="G388" s="3059">
        <f t="shared" si="9"/>
        <v>2935800</v>
      </c>
      <c r="H388" s="3059" t="s">
        <v>3055</v>
      </c>
      <c r="I388" s="3058" t="s">
        <v>3072</v>
      </c>
    </row>
    <row r="389" spans="1:9">
      <c r="A389" s="3059">
        <v>2013</v>
      </c>
      <c r="B389" s="3058" t="s">
        <v>3074</v>
      </c>
      <c r="D389" s="3058">
        <v>601</v>
      </c>
      <c r="E389" s="3058">
        <v>130.47999999999999</v>
      </c>
      <c r="F389" s="3058">
        <v>22500</v>
      </c>
      <c r="G389" s="3059">
        <f t="shared" si="9"/>
        <v>2935800</v>
      </c>
      <c r="H389" s="3059" t="s">
        <v>3055</v>
      </c>
      <c r="I389" s="3058" t="s">
        <v>3072</v>
      </c>
    </row>
    <row r="390" spans="1:9">
      <c r="A390" s="3059">
        <v>2014</v>
      </c>
      <c r="B390" s="3058" t="s">
        <v>3074</v>
      </c>
      <c r="D390" s="3058">
        <v>701</v>
      </c>
      <c r="E390" s="3058">
        <v>130.47999999999999</v>
      </c>
      <c r="F390" s="3058">
        <v>22500</v>
      </c>
      <c r="G390" s="3059">
        <f t="shared" si="9"/>
        <v>2935800</v>
      </c>
      <c r="H390" s="3059" t="s">
        <v>3055</v>
      </c>
      <c r="I390" s="3058" t="s">
        <v>3072</v>
      </c>
    </row>
    <row r="391" spans="1:9">
      <c r="A391" s="3059">
        <v>2015</v>
      </c>
      <c r="B391" s="3058" t="s">
        <v>3074</v>
      </c>
      <c r="D391" s="3058">
        <v>801</v>
      </c>
      <c r="E391" s="3058">
        <v>130.47999999999999</v>
      </c>
      <c r="F391" s="3058">
        <v>22500</v>
      </c>
      <c r="G391" s="3059">
        <f t="shared" si="9"/>
        <v>2935800</v>
      </c>
      <c r="H391" s="3059" t="s">
        <v>3055</v>
      </c>
      <c r="I391" s="3058" t="s">
        <v>3072</v>
      </c>
    </row>
    <row r="392" spans="1:9">
      <c r="A392" s="3059">
        <v>2016</v>
      </c>
      <c r="B392" s="3058" t="s">
        <v>3074</v>
      </c>
      <c r="D392" s="3058">
        <v>901</v>
      </c>
      <c r="E392" s="3058">
        <v>130.47999999999999</v>
      </c>
      <c r="F392" s="3058">
        <v>22500</v>
      </c>
      <c r="G392" s="3059">
        <f t="shared" si="9"/>
        <v>2935800</v>
      </c>
      <c r="H392" s="3059" t="s">
        <v>3055</v>
      </c>
      <c r="I392" s="3058" t="s">
        <v>3072</v>
      </c>
    </row>
    <row r="393" spans="1:9">
      <c r="A393" s="3059">
        <v>2017</v>
      </c>
      <c r="B393" s="3058" t="s">
        <v>3074</v>
      </c>
      <c r="D393" s="3058">
        <v>1001</v>
      </c>
      <c r="E393" s="3058">
        <v>130.47999999999999</v>
      </c>
      <c r="F393" s="3058">
        <v>22500</v>
      </c>
      <c r="G393" s="3059">
        <f t="shared" si="9"/>
        <v>2935800</v>
      </c>
      <c r="H393" s="3059" t="s">
        <v>3055</v>
      </c>
      <c r="I393" s="3058" t="s">
        <v>3072</v>
      </c>
    </row>
    <row r="394" spans="1:9">
      <c r="A394" s="3059">
        <v>2018</v>
      </c>
      <c r="B394" s="3058" t="s">
        <v>3074</v>
      </c>
      <c r="D394" s="3058">
        <v>1101</v>
      </c>
      <c r="E394" s="3058">
        <v>130.47999999999999</v>
      </c>
      <c r="F394" s="3058">
        <v>22500</v>
      </c>
      <c r="G394" s="3059">
        <f t="shared" si="9"/>
        <v>2935800</v>
      </c>
      <c r="H394" s="3059" t="s">
        <v>3055</v>
      </c>
      <c r="I394" s="3058" t="s">
        <v>3072</v>
      </c>
    </row>
    <row r="395" spans="1:9">
      <c r="A395" s="3059">
        <v>2019</v>
      </c>
      <c r="B395" s="3058" t="s">
        <v>3074</v>
      </c>
      <c r="D395" s="3058">
        <v>1201</v>
      </c>
      <c r="E395" s="3058">
        <v>130.47999999999999</v>
      </c>
      <c r="F395" s="3058">
        <v>22500</v>
      </c>
      <c r="G395" s="3059">
        <f t="shared" si="9"/>
        <v>2935800</v>
      </c>
      <c r="H395" s="3059" t="s">
        <v>3055</v>
      </c>
      <c r="I395" s="3058" t="s">
        <v>3072</v>
      </c>
    </row>
    <row r="396" spans="1:9">
      <c r="A396" s="3059">
        <v>2020</v>
      </c>
      <c r="B396" s="3058" t="s">
        <v>3074</v>
      </c>
      <c r="D396" s="3058">
        <v>1301</v>
      </c>
      <c r="E396" s="3058">
        <v>130.47999999999999</v>
      </c>
      <c r="F396" s="3058">
        <v>22500</v>
      </c>
      <c r="G396" s="3059">
        <f t="shared" si="9"/>
        <v>2935800</v>
      </c>
      <c r="H396" s="3059" t="s">
        <v>3055</v>
      </c>
      <c r="I396" s="3058" t="s">
        <v>3072</v>
      </c>
    </row>
    <row r="397" spans="1:9">
      <c r="A397" s="3059">
        <v>2021</v>
      </c>
      <c r="B397" s="3058" t="s">
        <v>3074</v>
      </c>
      <c r="D397" s="3058">
        <v>1401</v>
      </c>
      <c r="E397" s="3058">
        <v>130.47999999999999</v>
      </c>
      <c r="F397" s="3058">
        <v>22500</v>
      </c>
      <c r="G397" s="3059">
        <f t="shared" si="9"/>
        <v>2935800</v>
      </c>
      <c r="H397" s="3059" t="s">
        <v>3055</v>
      </c>
      <c r="I397" s="3058" t="s">
        <v>3072</v>
      </c>
    </row>
    <row r="398" spans="1:9">
      <c r="A398" s="3059">
        <v>2022</v>
      </c>
      <c r="B398" s="3058" t="s">
        <v>3074</v>
      </c>
      <c r="D398" s="3058">
        <v>1501</v>
      </c>
      <c r="E398" s="3058">
        <v>130.47999999999999</v>
      </c>
      <c r="F398" s="3058">
        <v>22500</v>
      </c>
      <c r="G398" s="3059">
        <f t="shared" si="9"/>
        <v>2935800</v>
      </c>
      <c r="H398" s="3059" t="s">
        <v>3055</v>
      </c>
      <c r="I398" s="3058" t="s">
        <v>3072</v>
      </c>
    </row>
    <row r="399" spans="1:9">
      <c r="A399" s="3059">
        <v>2023</v>
      </c>
      <c r="B399" s="3058" t="s">
        <v>3074</v>
      </c>
      <c r="D399" s="3058">
        <v>1601</v>
      </c>
      <c r="E399" s="3058">
        <v>130.47999999999999</v>
      </c>
      <c r="F399" s="3058">
        <v>22500</v>
      </c>
      <c r="G399" s="3059">
        <f t="shared" si="9"/>
        <v>2935800</v>
      </c>
      <c r="H399" s="3059" t="s">
        <v>3055</v>
      </c>
      <c r="I399" s="3058" t="s">
        <v>3072</v>
      </c>
    </row>
    <row r="400" spans="1:9">
      <c r="A400" s="3059">
        <v>2024</v>
      </c>
      <c r="B400" s="3058" t="s">
        <v>3074</v>
      </c>
      <c r="D400" s="3058">
        <v>1701</v>
      </c>
      <c r="E400" s="3058">
        <v>130.47999999999999</v>
      </c>
      <c r="F400" s="3058">
        <v>22500</v>
      </c>
      <c r="G400" s="3059">
        <f t="shared" si="9"/>
        <v>2935800</v>
      </c>
      <c r="H400" s="3059" t="s">
        <v>3055</v>
      </c>
      <c r="I400" s="3058" t="s">
        <v>3072</v>
      </c>
    </row>
    <row r="401" spans="1:9">
      <c r="A401" s="3059">
        <v>2025</v>
      </c>
      <c r="B401" s="3058" t="s">
        <v>3074</v>
      </c>
      <c r="D401" s="3058">
        <v>1801</v>
      </c>
      <c r="E401" s="3058">
        <v>130.47999999999999</v>
      </c>
      <c r="F401" s="3058">
        <v>22500</v>
      </c>
      <c r="G401" s="3059">
        <f t="shared" si="9"/>
        <v>2935800</v>
      </c>
      <c r="H401" s="3059" t="s">
        <v>3055</v>
      </c>
      <c r="I401" s="3058" t="s">
        <v>3072</v>
      </c>
    </row>
    <row r="402" spans="1:9">
      <c r="A402" s="3059">
        <v>2026</v>
      </c>
      <c r="B402" s="3058" t="s">
        <v>3074</v>
      </c>
      <c r="D402" s="3058">
        <v>1901</v>
      </c>
      <c r="E402" s="3058">
        <v>130.47999999999999</v>
      </c>
      <c r="F402" s="3058">
        <v>22500</v>
      </c>
      <c r="G402" s="3059">
        <f t="shared" si="9"/>
        <v>2935800</v>
      </c>
      <c r="H402" s="3059" t="s">
        <v>3055</v>
      </c>
      <c r="I402" s="3058" t="s">
        <v>3072</v>
      </c>
    </row>
    <row r="403" spans="1:9">
      <c r="A403" s="3059">
        <v>2027</v>
      </c>
      <c r="B403" s="3058" t="s">
        <v>3074</v>
      </c>
      <c r="D403" s="3058">
        <v>2001</v>
      </c>
      <c r="E403" s="3058">
        <v>130.47999999999999</v>
      </c>
      <c r="F403" s="3058">
        <v>22500</v>
      </c>
      <c r="G403" s="3059">
        <f t="shared" si="9"/>
        <v>2935800</v>
      </c>
      <c r="H403" s="3059" t="s">
        <v>3055</v>
      </c>
      <c r="I403" s="3058" t="s">
        <v>3072</v>
      </c>
    </row>
    <row r="404" spans="1:9">
      <c r="A404" s="3059">
        <v>2028</v>
      </c>
      <c r="B404" s="3058" t="s">
        <v>3074</v>
      </c>
      <c r="D404" s="3058">
        <v>2101</v>
      </c>
      <c r="E404" s="3058">
        <v>130.47999999999999</v>
      </c>
      <c r="F404" s="3058">
        <v>22500</v>
      </c>
      <c r="G404" s="3059">
        <f t="shared" si="9"/>
        <v>2935800</v>
      </c>
      <c r="H404" s="3059" t="s">
        <v>3055</v>
      </c>
      <c r="I404" s="3058" t="s">
        <v>3072</v>
      </c>
    </row>
    <row r="405" spans="1:9">
      <c r="A405" s="3059">
        <v>2029</v>
      </c>
      <c r="B405" s="3058" t="s">
        <v>3074</v>
      </c>
      <c r="D405" s="3058">
        <v>2201</v>
      </c>
      <c r="E405" s="3058">
        <v>130.47999999999999</v>
      </c>
      <c r="F405" s="3058">
        <v>22500</v>
      </c>
      <c r="G405" s="3059">
        <f t="shared" si="9"/>
        <v>2935800</v>
      </c>
      <c r="H405" s="3059" t="s">
        <v>3055</v>
      </c>
      <c r="I405" s="3058" t="s">
        <v>3072</v>
      </c>
    </row>
    <row r="406" spans="1:9">
      <c r="A406" s="3059">
        <v>2030</v>
      </c>
      <c r="B406" s="3058" t="s">
        <v>3074</v>
      </c>
      <c r="D406" s="3058">
        <v>202</v>
      </c>
      <c r="E406" s="3058">
        <v>132.24</v>
      </c>
      <c r="F406" s="3058">
        <v>22500</v>
      </c>
      <c r="G406" s="3059">
        <f t="shared" si="9"/>
        <v>2975400</v>
      </c>
      <c r="H406" s="3059" t="s">
        <v>3055</v>
      </c>
      <c r="I406" s="3058" t="s">
        <v>3072</v>
      </c>
    </row>
    <row r="407" spans="1:9">
      <c r="A407" s="3059">
        <v>2031</v>
      </c>
      <c r="B407" s="3058" t="s">
        <v>3074</v>
      </c>
      <c r="D407" s="3058">
        <v>302</v>
      </c>
      <c r="E407" s="3058">
        <v>132.24</v>
      </c>
      <c r="F407" s="3058">
        <v>22500</v>
      </c>
      <c r="G407" s="3059">
        <f t="shared" si="9"/>
        <v>2975400</v>
      </c>
      <c r="H407" s="3059" t="s">
        <v>3055</v>
      </c>
      <c r="I407" s="3058" t="s">
        <v>3072</v>
      </c>
    </row>
    <row r="408" spans="1:9">
      <c r="A408" s="3059">
        <v>2032</v>
      </c>
      <c r="B408" s="3058" t="s">
        <v>3074</v>
      </c>
      <c r="D408" s="3058">
        <v>402</v>
      </c>
      <c r="E408" s="3058">
        <v>132.24</v>
      </c>
      <c r="F408" s="3058">
        <v>22500</v>
      </c>
      <c r="G408" s="3059">
        <f t="shared" si="9"/>
        <v>2975400</v>
      </c>
      <c r="H408" s="3059" t="s">
        <v>3055</v>
      </c>
      <c r="I408" s="3058" t="s">
        <v>3072</v>
      </c>
    </row>
    <row r="409" spans="1:9">
      <c r="A409" s="3059">
        <v>2033</v>
      </c>
      <c r="B409" s="3058" t="s">
        <v>3074</v>
      </c>
      <c r="D409" s="3058">
        <v>502</v>
      </c>
      <c r="E409" s="3058">
        <v>132.24</v>
      </c>
      <c r="F409" s="3058">
        <v>22500</v>
      </c>
      <c r="G409" s="3059">
        <f t="shared" si="9"/>
        <v>2975400</v>
      </c>
      <c r="H409" s="3059" t="s">
        <v>3055</v>
      </c>
      <c r="I409" s="3058" t="s">
        <v>3072</v>
      </c>
    </row>
    <row r="410" spans="1:9">
      <c r="A410" s="3059">
        <v>2034</v>
      </c>
      <c r="B410" s="3058" t="s">
        <v>3074</v>
      </c>
      <c r="D410" s="3058">
        <v>602</v>
      </c>
      <c r="E410" s="3058">
        <v>132.24</v>
      </c>
      <c r="F410" s="3058">
        <v>22500</v>
      </c>
      <c r="G410" s="3059">
        <f t="shared" si="9"/>
        <v>2975400</v>
      </c>
      <c r="H410" s="3059" t="s">
        <v>3055</v>
      </c>
      <c r="I410" s="3058" t="s">
        <v>3072</v>
      </c>
    </row>
    <row r="411" spans="1:9">
      <c r="A411" s="3059">
        <v>2035</v>
      </c>
      <c r="B411" s="3058" t="s">
        <v>3074</v>
      </c>
      <c r="D411" s="3058">
        <v>702</v>
      </c>
      <c r="E411" s="3058">
        <v>132.24</v>
      </c>
      <c r="F411" s="3058">
        <v>22500</v>
      </c>
      <c r="G411" s="3059">
        <f t="shared" si="9"/>
        <v>2975400</v>
      </c>
      <c r="H411" s="3059" t="s">
        <v>3055</v>
      </c>
      <c r="I411" s="3058" t="s">
        <v>3072</v>
      </c>
    </row>
    <row r="412" spans="1:9">
      <c r="A412" s="3059">
        <v>2036</v>
      </c>
      <c r="B412" s="3058" t="s">
        <v>3074</v>
      </c>
      <c r="D412" s="3058">
        <v>802</v>
      </c>
      <c r="E412" s="3058">
        <v>132.24</v>
      </c>
      <c r="F412" s="3058">
        <v>22500</v>
      </c>
      <c r="G412" s="3059">
        <f t="shared" si="9"/>
        <v>2975400</v>
      </c>
      <c r="H412" s="3059" t="s">
        <v>3055</v>
      </c>
      <c r="I412" s="3058" t="s">
        <v>3072</v>
      </c>
    </row>
    <row r="413" spans="1:9">
      <c r="A413" s="3059">
        <v>2037</v>
      </c>
      <c r="B413" s="3058" t="s">
        <v>3074</v>
      </c>
      <c r="D413" s="3058">
        <v>902</v>
      </c>
      <c r="E413" s="3058">
        <v>132.24</v>
      </c>
      <c r="F413" s="3058">
        <v>22500</v>
      </c>
      <c r="G413" s="3059">
        <f t="shared" si="9"/>
        <v>2975400</v>
      </c>
      <c r="H413" s="3059" t="s">
        <v>3055</v>
      </c>
      <c r="I413" s="3058" t="s">
        <v>3072</v>
      </c>
    </row>
    <row r="414" spans="1:9">
      <c r="A414" s="3059">
        <v>2038</v>
      </c>
      <c r="B414" s="3058" t="s">
        <v>3074</v>
      </c>
      <c r="D414" s="3058">
        <v>1002</v>
      </c>
      <c r="E414" s="3058">
        <v>132.24</v>
      </c>
      <c r="F414" s="3058">
        <v>22500</v>
      </c>
      <c r="G414" s="3059">
        <f t="shared" si="9"/>
        <v>2975400</v>
      </c>
      <c r="H414" s="3059" t="s">
        <v>3055</v>
      </c>
      <c r="I414" s="3058" t="s">
        <v>3072</v>
      </c>
    </row>
    <row r="415" spans="1:9">
      <c r="A415" s="3059">
        <v>2039</v>
      </c>
      <c r="B415" s="3058" t="s">
        <v>3074</v>
      </c>
      <c r="D415" s="3058">
        <v>1102</v>
      </c>
      <c r="E415" s="3058">
        <v>132.24</v>
      </c>
      <c r="F415" s="3058">
        <v>22500</v>
      </c>
      <c r="G415" s="3059">
        <f t="shared" si="9"/>
        <v>2975400</v>
      </c>
      <c r="H415" s="3059" t="s">
        <v>3055</v>
      </c>
      <c r="I415" s="3058" t="s">
        <v>3072</v>
      </c>
    </row>
    <row r="416" spans="1:9">
      <c r="A416" s="3059">
        <v>2040</v>
      </c>
      <c r="B416" s="3058" t="s">
        <v>3074</v>
      </c>
      <c r="D416" s="3058">
        <v>1202</v>
      </c>
      <c r="E416" s="3058">
        <v>132.24</v>
      </c>
      <c r="F416" s="3058">
        <v>22500</v>
      </c>
      <c r="G416" s="3059">
        <f t="shared" si="9"/>
        <v>2975400</v>
      </c>
      <c r="H416" s="3059" t="s">
        <v>3055</v>
      </c>
      <c r="I416" s="3058" t="s">
        <v>3072</v>
      </c>
    </row>
    <row r="417" spans="1:9">
      <c r="A417" s="3059">
        <v>2041</v>
      </c>
      <c r="B417" s="3058" t="s">
        <v>3074</v>
      </c>
      <c r="D417" s="3058">
        <v>1302</v>
      </c>
      <c r="E417" s="3058">
        <v>132.24</v>
      </c>
      <c r="F417" s="3058">
        <v>22500</v>
      </c>
      <c r="G417" s="3059">
        <f t="shared" si="9"/>
        <v>2975400</v>
      </c>
      <c r="H417" s="3059" t="s">
        <v>3055</v>
      </c>
      <c r="I417" s="3058" t="s">
        <v>3072</v>
      </c>
    </row>
    <row r="418" spans="1:9">
      <c r="A418" s="3059">
        <v>2042</v>
      </c>
      <c r="B418" s="3058" t="s">
        <v>3074</v>
      </c>
      <c r="D418" s="3058">
        <v>1402</v>
      </c>
      <c r="E418" s="3058">
        <v>132.24</v>
      </c>
      <c r="F418" s="3058">
        <v>22500</v>
      </c>
      <c r="G418" s="3059">
        <f t="shared" si="9"/>
        <v>2975400</v>
      </c>
      <c r="H418" s="3059" t="s">
        <v>3055</v>
      </c>
      <c r="I418" s="3058" t="s">
        <v>3072</v>
      </c>
    </row>
    <row r="419" spans="1:9">
      <c r="A419" s="3059">
        <v>2043</v>
      </c>
      <c r="B419" s="3058" t="s">
        <v>3074</v>
      </c>
      <c r="D419" s="3058">
        <v>1502</v>
      </c>
      <c r="E419" s="3058">
        <v>132.24</v>
      </c>
      <c r="F419" s="3058">
        <v>22500</v>
      </c>
      <c r="G419" s="3059">
        <f t="shared" si="9"/>
        <v>2975400</v>
      </c>
      <c r="H419" s="3059" t="s">
        <v>3055</v>
      </c>
      <c r="I419" s="3058" t="s">
        <v>3072</v>
      </c>
    </row>
    <row r="420" spans="1:9">
      <c r="A420" s="3059">
        <v>2044</v>
      </c>
      <c r="B420" s="3058" t="s">
        <v>3074</v>
      </c>
      <c r="D420" s="3058">
        <v>1602</v>
      </c>
      <c r="E420" s="3058">
        <v>132.24</v>
      </c>
      <c r="F420" s="3058">
        <v>22500</v>
      </c>
      <c r="G420" s="3059">
        <f t="shared" si="9"/>
        <v>2975400</v>
      </c>
      <c r="H420" s="3059" t="s">
        <v>3055</v>
      </c>
      <c r="I420" s="3058" t="s">
        <v>3072</v>
      </c>
    </row>
    <row r="421" spans="1:9">
      <c r="A421" s="3059">
        <v>2045</v>
      </c>
      <c r="B421" s="3058" t="s">
        <v>3074</v>
      </c>
      <c r="D421" s="3058">
        <v>1702</v>
      </c>
      <c r="E421" s="3058">
        <v>132.24</v>
      </c>
      <c r="F421" s="3058">
        <v>22500</v>
      </c>
      <c r="G421" s="3059">
        <f t="shared" si="9"/>
        <v>2975400</v>
      </c>
      <c r="H421" s="3059" t="s">
        <v>3055</v>
      </c>
      <c r="I421" s="3058" t="s">
        <v>3072</v>
      </c>
    </row>
    <row r="422" spans="1:9">
      <c r="A422" s="3059">
        <v>2046</v>
      </c>
      <c r="B422" s="3058" t="s">
        <v>3074</v>
      </c>
      <c r="D422" s="3058">
        <v>1802</v>
      </c>
      <c r="E422" s="3058">
        <v>132.24</v>
      </c>
      <c r="F422" s="3058">
        <v>22500</v>
      </c>
      <c r="G422" s="3059">
        <f t="shared" si="9"/>
        <v>2975400</v>
      </c>
      <c r="H422" s="3059" t="s">
        <v>3055</v>
      </c>
      <c r="I422" s="3058" t="s">
        <v>3072</v>
      </c>
    </row>
    <row r="423" spans="1:9">
      <c r="A423" s="3059">
        <v>2047</v>
      </c>
      <c r="B423" s="3058" t="s">
        <v>3074</v>
      </c>
      <c r="D423" s="3058">
        <v>1902</v>
      </c>
      <c r="E423" s="3058">
        <v>132.24</v>
      </c>
      <c r="F423" s="3058">
        <v>22500</v>
      </c>
      <c r="G423" s="3059">
        <f t="shared" si="9"/>
        <v>2975400</v>
      </c>
      <c r="H423" s="3059" t="s">
        <v>3055</v>
      </c>
      <c r="I423" s="3058" t="s">
        <v>3072</v>
      </c>
    </row>
    <row r="424" spans="1:9">
      <c r="A424" s="3059">
        <v>2048</v>
      </c>
      <c r="B424" s="3058" t="s">
        <v>3074</v>
      </c>
      <c r="D424" s="3058">
        <v>2002</v>
      </c>
      <c r="E424" s="3058">
        <v>132.24</v>
      </c>
      <c r="F424" s="3058">
        <v>22500</v>
      </c>
      <c r="G424" s="3059">
        <f t="shared" si="9"/>
        <v>2975400</v>
      </c>
      <c r="H424" s="3059" t="s">
        <v>3055</v>
      </c>
      <c r="I424" s="3058" t="s">
        <v>3072</v>
      </c>
    </row>
    <row r="425" spans="1:9">
      <c r="A425" s="3059">
        <v>2049</v>
      </c>
      <c r="B425" s="3058" t="s">
        <v>3074</v>
      </c>
      <c r="D425" s="3058">
        <v>2102</v>
      </c>
      <c r="E425" s="3058">
        <v>132.24</v>
      </c>
      <c r="F425" s="3058">
        <v>22500</v>
      </c>
      <c r="G425" s="3059">
        <f t="shared" si="9"/>
        <v>2975400</v>
      </c>
      <c r="H425" s="3059" t="s">
        <v>3055</v>
      </c>
      <c r="I425" s="3058" t="s">
        <v>3072</v>
      </c>
    </row>
    <row r="426" spans="1:9">
      <c r="A426" s="3059">
        <v>2050</v>
      </c>
      <c r="B426" s="3058" t="s">
        <v>3074</v>
      </c>
      <c r="D426" s="3058">
        <v>2202</v>
      </c>
      <c r="E426" s="3058">
        <v>132.24</v>
      </c>
      <c r="F426" s="3058">
        <v>22500</v>
      </c>
      <c r="G426" s="3059">
        <f t="shared" si="9"/>
        <v>2975400</v>
      </c>
      <c r="H426" s="3059" t="s">
        <v>3055</v>
      </c>
      <c r="I426" s="3058" t="s">
        <v>3072</v>
      </c>
    </row>
    <row r="427" spans="1:9">
      <c r="A427" s="3059">
        <v>2051</v>
      </c>
      <c r="B427" s="3058" t="s">
        <v>3074</v>
      </c>
      <c r="D427" s="3058">
        <v>203</v>
      </c>
      <c r="E427" s="3058">
        <v>131.47</v>
      </c>
      <c r="F427" s="3058">
        <v>22500</v>
      </c>
      <c r="G427" s="3059">
        <f t="shared" si="9"/>
        <v>2958075</v>
      </c>
      <c r="H427" s="3059" t="s">
        <v>3055</v>
      </c>
      <c r="I427" s="3058" t="s">
        <v>3072</v>
      </c>
    </row>
    <row r="428" spans="1:9">
      <c r="A428" s="3059">
        <v>2052</v>
      </c>
      <c r="B428" s="3058" t="s">
        <v>3074</v>
      </c>
      <c r="D428" s="3058">
        <v>303</v>
      </c>
      <c r="E428" s="3058">
        <v>131.47</v>
      </c>
      <c r="F428" s="3058">
        <v>22500</v>
      </c>
      <c r="G428" s="3059">
        <f t="shared" si="9"/>
        <v>2958075</v>
      </c>
      <c r="H428" s="3059" t="s">
        <v>3055</v>
      </c>
      <c r="I428" s="3058" t="s">
        <v>3072</v>
      </c>
    </row>
    <row r="429" spans="1:9">
      <c r="A429" s="3059">
        <v>2053</v>
      </c>
      <c r="B429" s="3058" t="s">
        <v>3074</v>
      </c>
      <c r="D429" s="3058">
        <v>403</v>
      </c>
      <c r="E429" s="3058">
        <v>131.47</v>
      </c>
      <c r="F429" s="3058">
        <v>22500</v>
      </c>
      <c r="G429" s="3059">
        <f t="shared" si="9"/>
        <v>2958075</v>
      </c>
      <c r="H429" s="3059" t="s">
        <v>3055</v>
      </c>
      <c r="I429" s="3058" t="s">
        <v>3072</v>
      </c>
    </row>
    <row r="430" spans="1:9">
      <c r="A430" s="3059">
        <v>2054</v>
      </c>
      <c r="B430" s="3058" t="s">
        <v>3074</v>
      </c>
      <c r="D430" s="3058">
        <v>503</v>
      </c>
      <c r="E430" s="3058">
        <v>131.47</v>
      </c>
      <c r="F430" s="3058">
        <v>22500</v>
      </c>
      <c r="G430" s="3059">
        <f t="shared" si="9"/>
        <v>2958075</v>
      </c>
      <c r="H430" s="3059" t="s">
        <v>3055</v>
      </c>
      <c r="I430" s="3058" t="s">
        <v>3072</v>
      </c>
    </row>
    <row r="431" spans="1:9">
      <c r="A431" s="3059">
        <v>2055</v>
      </c>
      <c r="B431" s="3058" t="s">
        <v>3074</v>
      </c>
      <c r="D431" s="3058">
        <v>603</v>
      </c>
      <c r="E431" s="3058">
        <v>131.47</v>
      </c>
      <c r="F431" s="3058">
        <v>22500</v>
      </c>
      <c r="G431" s="3059">
        <f t="shared" si="9"/>
        <v>2958075</v>
      </c>
      <c r="H431" s="3059" t="s">
        <v>3055</v>
      </c>
      <c r="I431" s="3058" t="s">
        <v>3072</v>
      </c>
    </row>
    <row r="432" spans="1:9">
      <c r="A432" s="3059">
        <v>2056</v>
      </c>
      <c r="B432" s="3058" t="s">
        <v>3074</v>
      </c>
      <c r="D432" s="3058">
        <v>703</v>
      </c>
      <c r="E432" s="3058">
        <v>131.47</v>
      </c>
      <c r="F432" s="3058">
        <v>22500</v>
      </c>
      <c r="G432" s="3059">
        <f t="shared" si="9"/>
        <v>2958075</v>
      </c>
      <c r="H432" s="3059" t="s">
        <v>3055</v>
      </c>
      <c r="I432" s="3058" t="s">
        <v>3072</v>
      </c>
    </row>
    <row r="433" spans="1:9">
      <c r="A433" s="3059">
        <v>2057</v>
      </c>
      <c r="B433" s="3058" t="s">
        <v>3074</v>
      </c>
      <c r="D433" s="3058">
        <v>803</v>
      </c>
      <c r="E433" s="3058">
        <v>131.47</v>
      </c>
      <c r="F433" s="3058">
        <v>22500</v>
      </c>
      <c r="G433" s="3059">
        <f t="shared" si="9"/>
        <v>2958075</v>
      </c>
      <c r="H433" s="3059" t="s">
        <v>3055</v>
      </c>
      <c r="I433" s="3058" t="s">
        <v>3072</v>
      </c>
    </row>
    <row r="434" spans="1:9">
      <c r="A434" s="3059">
        <v>2058</v>
      </c>
      <c r="B434" s="3058" t="s">
        <v>3074</v>
      </c>
      <c r="D434" s="3058">
        <v>903</v>
      </c>
      <c r="E434" s="3058">
        <v>131.47</v>
      </c>
      <c r="F434" s="3058">
        <v>22500</v>
      </c>
      <c r="G434" s="3059">
        <f t="shared" si="9"/>
        <v>2958075</v>
      </c>
      <c r="H434" s="3059" t="s">
        <v>3055</v>
      </c>
      <c r="I434" s="3058" t="s">
        <v>3072</v>
      </c>
    </row>
    <row r="435" spans="1:9">
      <c r="A435" s="3059">
        <v>2059</v>
      </c>
      <c r="B435" s="3058" t="s">
        <v>3074</v>
      </c>
      <c r="D435" s="3058">
        <v>1003</v>
      </c>
      <c r="E435" s="3058">
        <v>131.47</v>
      </c>
      <c r="F435" s="3058">
        <v>22500</v>
      </c>
      <c r="G435" s="3059">
        <f t="shared" si="9"/>
        <v>2958075</v>
      </c>
      <c r="H435" s="3059" t="s">
        <v>3055</v>
      </c>
      <c r="I435" s="3058" t="s">
        <v>3072</v>
      </c>
    </row>
    <row r="436" spans="1:9">
      <c r="A436" s="3059">
        <v>2060</v>
      </c>
      <c r="B436" s="3058" t="s">
        <v>3074</v>
      </c>
      <c r="D436" s="3058">
        <v>1103</v>
      </c>
      <c r="E436" s="3058">
        <v>131.47</v>
      </c>
      <c r="F436" s="3058">
        <v>22500</v>
      </c>
      <c r="G436" s="3059">
        <f t="shared" si="9"/>
        <v>2958075</v>
      </c>
      <c r="H436" s="3059" t="s">
        <v>3055</v>
      </c>
      <c r="I436" s="3058" t="s">
        <v>3072</v>
      </c>
    </row>
    <row r="437" spans="1:9">
      <c r="A437" s="3059">
        <v>2061</v>
      </c>
      <c r="B437" s="3058" t="s">
        <v>3074</v>
      </c>
      <c r="D437" s="3058">
        <v>1203</v>
      </c>
      <c r="E437" s="3058">
        <v>131.47</v>
      </c>
      <c r="F437" s="3058">
        <v>22500</v>
      </c>
      <c r="G437" s="3059">
        <f t="shared" si="9"/>
        <v>2958075</v>
      </c>
      <c r="H437" s="3059" t="s">
        <v>3055</v>
      </c>
      <c r="I437" s="3058" t="s">
        <v>3072</v>
      </c>
    </row>
    <row r="438" spans="1:9">
      <c r="A438" s="3059">
        <v>2062</v>
      </c>
      <c r="B438" s="3058" t="s">
        <v>3074</v>
      </c>
      <c r="D438" s="3058">
        <v>1303</v>
      </c>
      <c r="E438" s="3058">
        <v>131.47</v>
      </c>
      <c r="F438" s="3058">
        <v>22500</v>
      </c>
      <c r="G438" s="3059">
        <f t="shared" si="9"/>
        <v>2958075</v>
      </c>
      <c r="H438" s="3059" t="s">
        <v>3055</v>
      </c>
      <c r="I438" s="3058" t="s">
        <v>3072</v>
      </c>
    </row>
    <row r="439" spans="1:9">
      <c r="A439" s="3059">
        <v>2063</v>
      </c>
      <c r="B439" s="3058" t="s">
        <v>3074</v>
      </c>
      <c r="D439" s="3058">
        <v>1403</v>
      </c>
      <c r="E439" s="3058">
        <v>131.47</v>
      </c>
      <c r="F439" s="3058">
        <v>22500</v>
      </c>
      <c r="G439" s="3059">
        <f t="shared" si="9"/>
        <v>2958075</v>
      </c>
      <c r="H439" s="3059" t="s">
        <v>3055</v>
      </c>
      <c r="I439" s="3058" t="s">
        <v>3072</v>
      </c>
    </row>
    <row r="440" spans="1:9">
      <c r="A440" s="3059">
        <v>2064</v>
      </c>
      <c r="B440" s="3058" t="s">
        <v>3074</v>
      </c>
      <c r="D440" s="3058">
        <v>1503</v>
      </c>
      <c r="E440" s="3058">
        <v>131.47</v>
      </c>
      <c r="F440" s="3058">
        <v>22500</v>
      </c>
      <c r="G440" s="3059">
        <f t="shared" si="9"/>
        <v>2958075</v>
      </c>
      <c r="H440" s="3059" t="s">
        <v>3055</v>
      </c>
      <c r="I440" s="3058" t="s">
        <v>3072</v>
      </c>
    </row>
    <row r="441" spans="1:9">
      <c r="A441" s="3059">
        <v>2065</v>
      </c>
      <c r="B441" s="3058" t="s">
        <v>3074</v>
      </c>
      <c r="D441" s="3058">
        <v>1603</v>
      </c>
      <c r="E441" s="3058">
        <v>131.47</v>
      </c>
      <c r="F441" s="3058">
        <v>22500</v>
      </c>
      <c r="G441" s="3059">
        <f t="shared" si="9"/>
        <v>2958075</v>
      </c>
      <c r="H441" s="3059" t="s">
        <v>3055</v>
      </c>
      <c r="I441" s="3058" t="s">
        <v>3072</v>
      </c>
    </row>
    <row r="442" spans="1:9">
      <c r="A442" s="3059">
        <v>2066</v>
      </c>
      <c r="B442" s="3058" t="s">
        <v>3074</v>
      </c>
      <c r="D442" s="3058">
        <v>1703</v>
      </c>
      <c r="E442" s="3058">
        <v>131.47</v>
      </c>
      <c r="F442" s="3058">
        <v>22500</v>
      </c>
      <c r="G442" s="3059">
        <f t="shared" si="9"/>
        <v>2958075</v>
      </c>
      <c r="H442" s="3059" t="s">
        <v>3055</v>
      </c>
      <c r="I442" s="3058" t="s">
        <v>3072</v>
      </c>
    </row>
    <row r="443" spans="1:9">
      <c r="A443" s="3059">
        <v>2067</v>
      </c>
      <c r="B443" s="3058" t="s">
        <v>3074</v>
      </c>
      <c r="D443" s="3058">
        <v>1803</v>
      </c>
      <c r="E443" s="3058">
        <v>131.47</v>
      </c>
      <c r="F443" s="3058">
        <v>22500</v>
      </c>
      <c r="G443" s="3059">
        <f t="shared" si="9"/>
        <v>2958075</v>
      </c>
      <c r="H443" s="3059" t="s">
        <v>3055</v>
      </c>
      <c r="I443" s="3058" t="s">
        <v>3072</v>
      </c>
    </row>
    <row r="444" spans="1:9">
      <c r="A444" s="3059">
        <v>2068</v>
      </c>
      <c r="B444" s="3058" t="s">
        <v>3074</v>
      </c>
      <c r="D444" s="3058">
        <v>1903</v>
      </c>
      <c r="E444" s="3058">
        <v>131.47</v>
      </c>
      <c r="F444" s="3058">
        <v>22500</v>
      </c>
      <c r="G444" s="3059">
        <f t="shared" si="9"/>
        <v>2958075</v>
      </c>
      <c r="H444" s="3059" t="s">
        <v>3055</v>
      </c>
      <c r="I444" s="3058" t="s">
        <v>3072</v>
      </c>
    </row>
    <row r="445" spans="1:9">
      <c r="A445" s="3059">
        <v>2069</v>
      </c>
      <c r="B445" s="3058" t="s">
        <v>3074</v>
      </c>
      <c r="D445" s="3058">
        <v>2003</v>
      </c>
      <c r="E445" s="3058">
        <v>131.47</v>
      </c>
      <c r="F445" s="3058">
        <v>22500</v>
      </c>
      <c r="G445" s="3059">
        <f t="shared" si="9"/>
        <v>2958075</v>
      </c>
      <c r="H445" s="3059" t="s">
        <v>3055</v>
      </c>
      <c r="I445" s="3058" t="s">
        <v>3072</v>
      </c>
    </row>
    <row r="446" spans="1:9">
      <c r="A446" s="3059">
        <v>2070</v>
      </c>
      <c r="B446" s="3058" t="s">
        <v>3074</v>
      </c>
      <c r="D446" s="3058">
        <v>2103</v>
      </c>
      <c r="E446" s="3058">
        <v>131.47</v>
      </c>
      <c r="F446" s="3058">
        <v>22500</v>
      </c>
      <c r="G446" s="3059">
        <f t="shared" si="9"/>
        <v>2958075</v>
      </c>
      <c r="H446" s="3059" t="s">
        <v>3055</v>
      </c>
      <c r="I446" s="3058" t="s">
        <v>3072</v>
      </c>
    </row>
    <row r="447" spans="1:9">
      <c r="A447" s="3059">
        <v>2071</v>
      </c>
      <c r="B447" s="3058" t="s">
        <v>3074</v>
      </c>
      <c r="D447" s="3058">
        <v>2203</v>
      </c>
      <c r="E447" s="3058">
        <v>131.47</v>
      </c>
      <c r="F447" s="3058">
        <v>22500</v>
      </c>
      <c r="G447" s="3059">
        <f t="shared" si="9"/>
        <v>2958075</v>
      </c>
      <c r="H447" s="3059" t="s">
        <v>3055</v>
      </c>
      <c r="I447" s="3058" t="s">
        <v>3072</v>
      </c>
    </row>
    <row r="448" spans="1:9">
      <c r="A448" s="3059">
        <v>2072</v>
      </c>
      <c r="B448" s="3058" t="s">
        <v>3074</v>
      </c>
      <c r="D448" s="3058">
        <v>204</v>
      </c>
      <c r="E448" s="3058">
        <v>144.53</v>
      </c>
      <c r="F448" s="3058">
        <v>22500</v>
      </c>
      <c r="G448" s="3059">
        <f t="shared" si="9"/>
        <v>3251925</v>
      </c>
      <c r="H448" s="3059" t="s">
        <v>3055</v>
      </c>
      <c r="I448" s="3058" t="s">
        <v>3072</v>
      </c>
    </row>
    <row r="449" spans="1:9">
      <c r="A449" s="3059">
        <v>2073</v>
      </c>
      <c r="B449" s="3058" t="s">
        <v>3074</v>
      </c>
      <c r="D449" s="3058">
        <v>304</v>
      </c>
      <c r="E449" s="3058">
        <v>144.53</v>
      </c>
      <c r="F449" s="3058">
        <v>22500</v>
      </c>
      <c r="G449" s="3059">
        <f t="shared" ref="G449:G512" si="10">E449*F449</f>
        <v>3251925</v>
      </c>
      <c r="H449" s="3059" t="s">
        <v>3055</v>
      </c>
      <c r="I449" s="3058" t="s">
        <v>3072</v>
      </c>
    </row>
    <row r="450" spans="1:9">
      <c r="A450" s="3059">
        <v>2074</v>
      </c>
      <c r="B450" s="3058" t="s">
        <v>3074</v>
      </c>
      <c r="D450" s="3058">
        <v>404</v>
      </c>
      <c r="E450" s="3058">
        <v>144.53</v>
      </c>
      <c r="F450" s="3058">
        <v>22500</v>
      </c>
      <c r="G450" s="3059">
        <f t="shared" si="10"/>
        <v>3251925</v>
      </c>
      <c r="H450" s="3059" t="s">
        <v>3055</v>
      </c>
      <c r="I450" s="3058" t="s">
        <v>3072</v>
      </c>
    </row>
    <row r="451" spans="1:9">
      <c r="A451" s="3059">
        <v>2075</v>
      </c>
      <c r="B451" s="3058" t="s">
        <v>3074</v>
      </c>
      <c r="D451" s="3058">
        <v>504</v>
      </c>
      <c r="E451" s="3058">
        <v>144.53</v>
      </c>
      <c r="F451" s="3058">
        <v>22500</v>
      </c>
      <c r="G451" s="3059">
        <f t="shared" si="10"/>
        <v>3251925</v>
      </c>
      <c r="H451" s="3059" t="s">
        <v>3055</v>
      </c>
      <c r="I451" s="3058" t="s">
        <v>3072</v>
      </c>
    </row>
    <row r="452" spans="1:9">
      <c r="A452" s="3059">
        <v>2076</v>
      </c>
      <c r="B452" s="3058" t="s">
        <v>3074</v>
      </c>
      <c r="D452" s="3058">
        <v>604</v>
      </c>
      <c r="E452" s="3058">
        <v>144.53</v>
      </c>
      <c r="F452" s="3058">
        <v>22500</v>
      </c>
      <c r="G452" s="3059">
        <f t="shared" si="10"/>
        <v>3251925</v>
      </c>
      <c r="H452" s="3059" t="s">
        <v>3055</v>
      </c>
      <c r="I452" s="3058" t="s">
        <v>3072</v>
      </c>
    </row>
    <row r="453" spans="1:9">
      <c r="A453" s="3059">
        <v>2077</v>
      </c>
      <c r="B453" s="3058" t="s">
        <v>3074</v>
      </c>
      <c r="D453" s="3058">
        <v>704</v>
      </c>
      <c r="E453" s="3058">
        <v>144.53</v>
      </c>
      <c r="F453" s="3058">
        <v>22500</v>
      </c>
      <c r="G453" s="3059">
        <f t="shared" si="10"/>
        <v>3251925</v>
      </c>
      <c r="H453" s="3059" t="s">
        <v>3055</v>
      </c>
      <c r="I453" s="3058" t="s">
        <v>3072</v>
      </c>
    </row>
    <row r="454" spans="1:9">
      <c r="A454" s="3059">
        <v>2078</v>
      </c>
      <c r="B454" s="3058" t="s">
        <v>3074</v>
      </c>
      <c r="D454" s="3058">
        <v>804</v>
      </c>
      <c r="E454" s="3058">
        <v>144.53</v>
      </c>
      <c r="F454" s="3058">
        <v>22500</v>
      </c>
      <c r="G454" s="3059">
        <f t="shared" si="10"/>
        <v>3251925</v>
      </c>
      <c r="H454" s="3059" t="s">
        <v>3055</v>
      </c>
      <c r="I454" s="3058" t="s">
        <v>3072</v>
      </c>
    </row>
    <row r="455" spans="1:9">
      <c r="A455" s="3059">
        <v>2079</v>
      </c>
      <c r="B455" s="3058" t="s">
        <v>3074</v>
      </c>
      <c r="D455" s="3058">
        <v>904</v>
      </c>
      <c r="E455" s="3058">
        <v>144.53</v>
      </c>
      <c r="F455" s="3058">
        <v>22500</v>
      </c>
      <c r="G455" s="3059">
        <f t="shared" si="10"/>
        <v>3251925</v>
      </c>
      <c r="H455" s="3059" t="s">
        <v>3055</v>
      </c>
      <c r="I455" s="3058" t="s">
        <v>3072</v>
      </c>
    </row>
    <row r="456" spans="1:9">
      <c r="A456" s="3059">
        <v>2080</v>
      </c>
      <c r="B456" s="3058" t="s">
        <v>3074</v>
      </c>
      <c r="D456" s="3058">
        <v>1004</v>
      </c>
      <c r="E456" s="3058">
        <v>144.53</v>
      </c>
      <c r="F456" s="3058">
        <v>22500</v>
      </c>
      <c r="G456" s="3059">
        <f t="shared" si="10"/>
        <v>3251925</v>
      </c>
      <c r="H456" s="3059" t="s">
        <v>3055</v>
      </c>
      <c r="I456" s="3058" t="s">
        <v>3072</v>
      </c>
    </row>
    <row r="457" spans="1:9">
      <c r="A457" s="3059">
        <v>2081</v>
      </c>
      <c r="B457" s="3058" t="s">
        <v>3074</v>
      </c>
      <c r="D457" s="3058">
        <v>1104</v>
      </c>
      <c r="E457" s="3058">
        <v>144.53</v>
      </c>
      <c r="F457" s="3058">
        <v>22500</v>
      </c>
      <c r="G457" s="3059">
        <f t="shared" si="10"/>
        <v>3251925</v>
      </c>
      <c r="H457" s="3059" t="s">
        <v>3055</v>
      </c>
      <c r="I457" s="3058" t="s">
        <v>3072</v>
      </c>
    </row>
    <row r="458" spans="1:9">
      <c r="A458" s="3059">
        <v>2082</v>
      </c>
      <c r="B458" s="3058" t="s">
        <v>3074</v>
      </c>
      <c r="D458" s="3058">
        <v>1204</v>
      </c>
      <c r="E458" s="3058">
        <v>144.53</v>
      </c>
      <c r="F458" s="3058">
        <v>22500</v>
      </c>
      <c r="G458" s="3059">
        <f t="shared" si="10"/>
        <v>3251925</v>
      </c>
      <c r="H458" s="3059" t="s">
        <v>3055</v>
      </c>
      <c r="I458" s="3058" t="s">
        <v>3072</v>
      </c>
    </row>
    <row r="459" spans="1:9">
      <c r="A459" s="3059">
        <v>2083</v>
      </c>
      <c r="B459" s="3058" t="s">
        <v>3074</v>
      </c>
      <c r="D459" s="3058">
        <v>1304</v>
      </c>
      <c r="E459" s="3058">
        <v>144.53</v>
      </c>
      <c r="F459" s="3058">
        <v>22500</v>
      </c>
      <c r="G459" s="3059">
        <f t="shared" si="10"/>
        <v>3251925</v>
      </c>
      <c r="H459" s="3059" t="s">
        <v>3055</v>
      </c>
      <c r="I459" s="3058" t="s">
        <v>3072</v>
      </c>
    </row>
    <row r="460" spans="1:9">
      <c r="A460" s="3059">
        <v>2084</v>
      </c>
      <c r="B460" s="3058" t="s">
        <v>3074</v>
      </c>
      <c r="D460" s="3058">
        <v>1404</v>
      </c>
      <c r="E460" s="3058">
        <v>144.53</v>
      </c>
      <c r="F460" s="3058">
        <v>22500</v>
      </c>
      <c r="G460" s="3059">
        <f t="shared" si="10"/>
        <v>3251925</v>
      </c>
      <c r="H460" s="3059" t="s">
        <v>3055</v>
      </c>
      <c r="I460" s="3058" t="s">
        <v>3072</v>
      </c>
    </row>
    <row r="461" spans="1:9">
      <c r="A461" s="3059">
        <v>2085</v>
      </c>
      <c r="B461" s="3058" t="s">
        <v>3074</v>
      </c>
      <c r="D461" s="3058">
        <v>1504</v>
      </c>
      <c r="E461" s="3058">
        <v>144.53</v>
      </c>
      <c r="F461" s="3058">
        <v>22500</v>
      </c>
      <c r="G461" s="3059">
        <f t="shared" si="10"/>
        <v>3251925</v>
      </c>
      <c r="H461" s="3059" t="s">
        <v>3055</v>
      </c>
      <c r="I461" s="3058" t="s">
        <v>3072</v>
      </c>
    </row>
    <row r="462" spans="1:9">
      <c r="A462" s="3059">
        <v>2086</v>
      </c>
      <c r="B462" s="3058" t="s">
        <v>3074</v>
      </c>
      <c r="D462" s="3058">
        <v>1604</v>
      </c>
      <c r="E462" s="3058">
        <v>144.53</v>
      </c>
      <c r="F462" s="3058">
        <v>22500</v>
      </c>
      <c r="G462" s="3059">
        <f t="shared" si="10"/>
        <v>3251925</v>
      </c>
      <c r="H462" s="3059" t="s">
        <v>3055</v>
      </c>
      <c r="I462" s="3058" t="s">
        <v>3072</v>
      </c>
    </row>
    <row r="463" spans="1:9">
      <c r="A463" s="3059">
        <v>2087</v>
      </c>
      <c r="B463" s="3058" t="s">
        <v>3074</v>
      </c>
      <c r="D463" s="3058">
        <v>1704</v>
      </c>
      <c r="E463" s="3058">
        <v>144.53</v>
      </c>
      <c r="F463" s="3058">
        <v>22500</v>
      </c>
      <c r="G463" s="3059">
        <f t="shared" si="10"/>
        <v>3251925</v>
      </c>
      <c r="H463" s="3059" t="s">
        <v>3055</v>
      </c>
      <c r="I463" s="3058" t="s">
        <v>3072</v>
      </c>
    </row>
    <row r="464" spans="1:9">
      <c r="A464" s="3059">
        <v>2088</v>
      </c>
      <c r="B464" s="3058" t="s">
        <v>3074</v>
      </c>
      <c r="D464" s="3058">
        <v>1804</v>
      </c>
      <c r="E464" s="3058">
        <v>144.53</v>
      </c>
      <c r="F464" s="3058">
        <v>22500</v>
      </c>
      <c r="G464" s="3059">
        <f t="shared" si="10"/>
        <v>3251925</v>
      </c>
      <c r="H464" s="3059" t="s">
        <v>3055</v>
      </c>
      <c r="I464" s="3058" t="s">
        <v>3072</v>
      </c>
    </row>
    <row r="465" spans="1:10">
      <c r="A465" s="3059">
        <v>2089</v>
      </c>
      <c r="B465" s="3058" t="s">
        <v>3074</v>
      </c>
      <c r="D465" s="3058">
        <v>1904</v>
      </c>
      <c r="E465" s="3058">
        <v>144.53</v>
      </c>
      <c r="F465" s="3058">
        <v>22500</v>
      </c>
      <c r="G465" s="3059">
        <f t="shared" si="10"/>
        <v>3251925</v>
      </c>
      <c r="H465" s="3059" t="s">
        <v>3055</v>
      </c>
      <c r="I465" s="3058" t="s">
        <v>3072</v>
      </c>
    </row>
    <row r="466" spans="1:10">
      <c r="A466" s="3059">
        <v>2090</v>
      </c>
      <c r="B466" s="3058" t="s">
        <v>3074</v>
      </c>
      <c r="D466" s="3058">
        <v>2004</v>
      </c>
      <c r="E466" s="3058">
        <v>144.53</v>
      </c>
      <c r="F466" s="3058">
        <v>22500</v>
      </c>
      <c r="G466" s="3059">
        <f t="shared" si="10"/>
        <v>3251925</v>
      </c>
      <c r="H466" s="3059" t="s">
        <v>3055</v>
      </c>
      <c r="I466" s="3058" t="s">
        <v>3072</v>
      </c>
    </row>
    <row r="467" spans="1:10">
      <c r="A467" s="3059">
        <v>2091</v>
      </c>
      <c r="B467" s="3058" t="s">
        <v>3074</v>
      </c>
      <c r="D467" s="3058">
        <v>2104</v>
      </c>
      <c r="E467" s="3058">
        <v>144.53</v>
      </c>
      <c r="F467" s="3058">
        <v>22500</v>
      </c>
      <c r="G467" s="3059">
        <f t="shared" si="10"/>
        <v>3251925</v>
      </c>
      <c r="H467" s="3059" t="s">
        <v>3055</v>
      </c>
      <c r="I467" s="3058" t="s">
        <v>3072</v>
      </c>
    </row>
    <row r="468" spans="1:10">
      <c r="A468" s="3059">
        <v>2092</v>
      </c>
      <c r="B468" s="3058" t="s">
        <v>3074</v>
      </c>
      <c r="D468" s="3058">
        <v>2204</v>
      </c>
      <c r="E468" s="3058">
        <v>144.53</v>
      </c>
      <c r="F468" s="3058">
        <v>22500</v>
      </c>
      <c r="G468" s="3059">
        <f t="shared" si="10"/>
        <v>3251925</v>
      </c>
      <c r="H468" s="3059" t="s">
        <v>3055</v>
      </c>
      <c r="I468" s="3058" t="s">
        <v>3072</v>
      </c>
      <c r="J468" s="3058">
        <f>SUM(E385:E468)</f>
        <v>11313.120000000014</v>
      </c>
    </row>
    <row r="469" spans="1:10">
      <c r="A469" s="3059">
        <v>2093</v>
      </c>
      <c r="B469" s="3058" t="s">
        <v>3073</v>
      </c>
      <c r="D469" s="3058">
        <v>201</v>
      </c>
      <c r="E469" s="3058">
        <v>135.34</v>
      </c>
      <c r="F469" s="3058">
        <v>22500</v>
      </c>
      <c r="G469" s="3059">
        <f t="shared" si="10"/>
        <v>3045150</v>
      </c>
      <c r="H469" s="3059" t="s">
        <v>3055</v>
      </c>
      <c r="I469" s="3058" t="s">
        <v>3072</v>
      </c>
    </row>
    <row r="470" spans="1:10">
      <c r="A470" s="3059">
        <v>2094</v>
      </c>
      <c r="B470" s="3058" t="s">
        <v>3073</v>
      </c>
      <c r="D470" s="3058">
        <v>301</v>
      </c>
      <c r="E470" s="3058">
        <v>135.34</v>
      </c>
      <c r="F470" s="3058">
        <v>22500</v>
      </c>
      <c r="G470" s="3059">
        <f t="shared" si="10"/>
        <v>3045150</v>
      </c>
      <c r="H470" s="3059" t="s">
        <v>3055</v>
      </c>
      <c r="I470" s="3058" t="s">
        <v>3072</v>
      </c>
    </row>
    <row r="471" spans="1:10">
      <c r="A471" s="3059">
        <v>2095</v>
      </c>
      <c r="B471" s="3058" t="s">
        <v>3073</v>
      </c>
      <c r="D471" s="3058">
        <v>401</v>
      </c>
      <c r="E471" s="3058">
        <v>135.34</v>
      </c>
      <c r="F471" s="3058">
        <v>22500</v>
      </c>
      <c r="G471" s="3059">
        <f t="shared" si="10"/>
        <v>3045150</v>
      </c>
      <c r="H471" s="3059" t="s">
        <v>3055</v>
      </c>
      <c r="I471" s="3058" t="s">
        <v>3072</v>
      </c>
    </row>
    <row r="472" spans="1:10">
      <c r="A472" s="3059">
        <v>2096</v>
      </c>
      <c r="B472" s="3058" t="s">
        <v>3073</v>
      </c>
      <c r="D472" s="3058">
        <v>501</v>
      </c>
      <c r="E472" s="3058">
        <v>135.34</v>
      </c>
      <c r="F472" s="3058">
        <v>22500</v>
      </c>
      <c r="G472" s="3059">
        <f t="shared" si="10"/>
        <v>3045150</v>
      </c>
      <c r="H472" s="3059" t="s">
        <v>3055</v>
      </c>
      <c r="I472" s="3058" t="s">
        <v>3072</v>
      </c>
    </row>
    <row r="473" spans="1:10">
      <c r="A473" s="3059">
        <v>2097</v>
      </c>
      <c r="B473" s="3058" t="s">
        <v>3073</v>
      </c>
      <c r="D473" s="3058">
        <v>601</v>
      </c>
      <c r="E473" s="3058">
        <v>135.34</v>
      </c>
      <c r="F473" s="3058">
        <v>22500</v>
      </c>
      <c r="G473" s="3059">
        <f t="shared" si="10"/>
        <v>3045150</v>
      </c>
      <c r="H473" s="3059" t="s">
        <v>3055</v>
      </c>
      <c r="I473" s="3058" t="s">
        <v>3072</v>
      </c>
    </row>
    <row r="474" spans="1:10">
      <c r="A474" s="3059">
        <v>2098</v>
      </c>
      <c r="B474" s="3058" t="s">
        <v>3073</v>
      </c>
      <c r="D474" s="3058">
        <v>701</v>
      </c>
      <c r="E474" s="3058">
        <v>135.34</v>
      </c>
      <c r="F474" s="3058">
        <v>22500</v>
      </c>
      <c r="G474" s="3059">
        <f t="shared" si="10"/>
        <v>3045150</v>
      </c>
      <c r="H474" s="3059" t="s">
        <v>3055</v>
      </c>
      <c r="I474" s="3058" t="s">
        <v>3072</v>
      </c>
    </row>
    <row r="475" spans="1:10">
      <c r="A475" s="3059">
        <v>2099</v>
      </c>
      <c r="B475" s="3058" t="s">
        <v>3073</v>
      </c>
      <c r="D475" s="3058">
        <v>801</v>
      </c>
      <c r="E475" s="3058">
        <v>135.34</v>
      </c>
      <c r="F475" s="3058">
        <v>22500</v>
      </c>
      <c r="G475" s="3059">
        <f t="shared" si="10"/>
        <v>3045150</v>
      </c>
      <c r="H475" s="3059" t="s">
        <v>3055</v>
      </c>
      <c r="I475" s="3058" t="s">
        <v>3072</v>
      </c>
    </row>
    <row r="476" spans="1:10">
      <c r="A476" s="3059">
        <v>2100</v>
      </c>
      <c r="B476" s="3058" t="s">
        <v>3073</v>
      </c>
      <c r="D476" s="3058">
        <v>901</v>
      </c>
      <c r="E476" s="3058">
        <v>135.34</v>
      </c>
      <c r="F476" s="3058">
        <v>22500</v>
      </c>
      <c r="G476" s="3059">
        <f t="shared" si="10"/>
        <v>3045150</v>
      </c>
      <c r="H476" s="3059" t="s">
        <v>3055</v>
      </c>
      <c r="I476" s="3058" t="s">
        <v>3072</v>
      </c>
    </row>
    <row r="477" spans="1:10">
      <c r="A477" s="3059">
        <v>2101</v>
      </c>
      <c r="B477" s="3058" t="s">
        <v>3073</v>
      </c>
      <c r="D477" s="3058">
        <v>1001</v>
      </c>
      <c r="E477" s="3058">
        <v>135.34</v>
      </c>
      <c r="F477" s="3058">
        <v>22500</v>
      </c>
      <c r="G477" s="3059">
        <f t="shared" si="10"/>
        <v>3045150</v>
      </c>
      <c r="H477" s="3059" t="s">
        <v>3055</v>
      </c>
      <c r="I477" s="3058" t="s">
        <v>3072</v>
      </c>
    </row>
    <row r="478" spans="1:10">
      <c r="A478" s="3059">
        <v>2102</v>
      </c>
      <c r="B478" s="3058" t="s">
        <v>3073</v>
      </c>
      <c r="D478" s="3058">
        <v>1101</v>
      </c>
      <c r="E478" s="3058">
        <v>135.34</v>
      </c>
      <c r="F478" s="3058">
        <v>22500</v>
      </c>
      <c r="G478" s="3059">
        <f t="shared" si="10"/>
        <v>3045150</v>
      </c>
      <c r="H478" s="3059" t="s">
        <v>3055</v>
      </c>
      <c r="I478" s="3058" t="s">
        <v>3072</v>
      </c>
    </row>
    <row r="479" spans="1:10">
      <c r="A479" s="3059">
        <v>2103</v>
      </c>
      <c r="B479" s="3058" t="s">
        <v>3073</v>
      </c>
      <c r="D479" s="3058">
        <v>1201</v>
      </c>
      <c r="E479" s="3058">
        <v>135.34</v>
      </c>
      <c r="F479" s="3058">
        <v>22500</v>
      </c>
      <c r="G479" s="3059">
        <f t="shared" si="10"/>
        <v>3045150</v>
      </c>
      <c r="H479" s="3059" t="s">
        <v>3055</v>
      </c>
      <c r="I479" s="3058" t="s">
        <v>3072</v>
      </c>
    </row>
    <row r="480" spans="1:10">
      <c r="A480" s="3059">
        <v>2104</v>
      </c>
      <c r="B480" s="3058" t="s">
        <v>3073</v>
      </c>
      <c r="D480" s="3058">
        <v>1301</v>
      </c>
      <c r="E480" s="3058">
        <v>135.34</v>
      </c>
      <c r="F480" s="3058">
        <v>22500</v>
      </c>
      <c r="G480" s="3059">
        <f t="shared" si="10"/>
        <v>3045150</v>
      </c>
      <c r="H480" s="3059" t="s">
        <v>3055</v>
      </c>
      <c r="I480" s="3058" t="s">
        <v>3072</v>
      </c>
    </row>
    <row r="481" spans="1:9">
      <c r="A481" s="3059">
        <v>2105</v>
      </c>
      <c r="B481" s="3058" t="s">
        <v>3073</v>
      </c>
      <c r="D481" s="3058">
        <v>1401</v>
      </c>
      <c r="E481" s="3058">
        <v>135.34</v>
      </c>
      <c r="F481" s="3058">
        <v>22500</v>
      </c>
      <c r="G481" s="3059">
        <f t="shared" si="10"/>
        <v>3045150</v>
      </c>
      <c r="H481" s="3059" t="s">
        <v>3055</v>
      </c>
      <c r="I481" s="3058" t="s">
        <v>3072</v>
      </c>
    </row>
    <row r="482" spans="1:9">
      <c r="A482" s="3059">
        <v>2106</v>
      </c>
      <c r="B482" s="3058" t="s">
        <v>3073</v>
      </c>
      <c r="D482" s="3058">
        <v>1501</v>
      </c>
      <c r="E482" s="3058">
        <v>135.34</v>
      </c>
      <c r="F482" s="3058">
        <v>22500</v>
      </c>
      <c r="G482" s="3059">
        <f t="shared" si="10"/>
        <v>3045150</v>
      </c>
      <c r="H482" s="3059" t="s">
        <v>3055</v>
      </c>
      <c r="I482" s="3058" t="s">
        <v>3072</v>
      </c>
    </row>
    <row r="483" spans="1:9">
      <c r="A483" s="3059">
        <v>2107</v>
      </c>
      <c r="B483" s="3058" t="s">
        <v>3073</v>
      </c>
      <c r="D483" s="3058">
        <v>1601</v>
      </c>
      <c r="E483" s="3058">
        <v>135.34</v>
      </c>
      <c r="F483" s="3058">
        <v>22500</v>
      </c>
      <c r="G483" s="3059">
        <f t="shared" si="10"/>
        <v>3045150</v>
      </c>
      <c r="H483" s="3059" t="s">
        <v>3055</v>
      </c>
      <c r="I483" s="3058" t="s">
        <v>3072</v>
      </c>
    </row>
    <row r="484" spans="1:9">
      <c r="A484" s="3059">
        <v>2108</v>
      </c>
      <c r="B484" s="3058" t="s">
        <v>3073</v>
      </c>
      <c r="D484" s="3058">
        <v>1701</v>
      </c>
      <c r="E484" s="3058">
        <v>135.34</v>
      </c>
      <c r="F484" s="3058">
        <v>22500</v>
      </c>
      <c r="G484" s="3059">
        <f t="shared" si="10"/>
        <v>3045150</v>
      </c>
      <c r="H484" s="3059" t="s">
        <v>3055</v>
      </c>
      <c r="I484" s="3058" t="s">
        <v>3072</v>
      </c>
    </row>
    <row r="485" spans="1:9">
      <c r="A485" s="3059">
        <v>2109</v>
      </c>
      <c r="B485" s="3058" t="s">
        <v>3073</v>
      </c>
      <c r="D485" s="3058">
        <v>1801</v>
      </c>
      <c r="E485" s="3058">
        <v>135.34</v>
      </c>
      <c r="F485" s="3058">
        <v>22500</v>
      </c>
      <c r="G485" s="3059">
        <f t="shared" si="10"/>
        <v>3045150</v>
      </c>
      <c r="H485" s="3059" t="s">
        <v>3055</v>
      </c>
      <c r="I485" s="3058" t="s">
        <v>3072</v>
      </c>
    </row>
    <row r="486" spans="1:9">
      <c r="A486" s="3059">
        <v>2110</v>
      </c>
      <c r="B486" s="3058" t="s">
        <v>3073</v>
      </c>
      <c r="D486" s="3058">
        <v>1901</v>
      </c>
      <c r="E486" s="3058">
        <v>135.34</v>
      </c>
      <c r="F486" s="3058">
        <v>22500</v>
      </c>
      <c r="G486" s="3059">
        <f t="shared" si="10"/>
        <v>3045150</v>
      </c>
      <c r="H486" s="3059" t="s">
        <v>3055</v>
      </c>
      <c r="I486" s="3058" t="s">
        <v>3072</v>
      </c>
    </row>
    <row r="487" spans="1:9">
      <c r="A487" s="3059">
        <v>2111</v>
      </c>
      <c r="B487" s="3058" t="s">
        <v>3073</v>
      </c>
      <c r="D487" s="3058">
        <v>2001</v>
      </c>
      <c r="E487" s="3058">
        <v>135.34</v>
      </c>
      <c r="F487" s="3058">
        <v>22500</v>
      </c>
      <c r="G487" s="3059">
        <f t="shared" si="10"/>
        <v>3045150</v>
      </c>
      <c r="H487" s="3059" t="s">
        <v>3055</v>
      </c>
      <c r="I487" s="3058" t="s">
        <v>3072</v>
      </c>
    </row>
    <row r="488" spans="1:9">
      <c r="A488" s="3059">
        <v>2112</v>
      </c>
      <c r="B488" s="3058" t="s">
        <v>3073</v>
      </c>
      <c r="D488" s="3058">
        <v>2101</v>
      </c>
      <c r="E488" s="3058">
        <v>135.34</v>
      </c>
      <c r="F488" s="3058">
        <v>22500</v>
      </c>
      <c r="G488" s="3059">
        <f t="shared" si="10"/>
        <v>3045150</v>
      </c>
      <c r="H488" s="3059" t="s">
        <v>3055</v>
      </c>
      <c r="I488" s="3058" t="s">
        <v>3072</v>
      </c>
    </row>
    <row r="489" spans="1:9">
      <c r="A489" s="3059">
        <v>2113</v>
      </c>
      <c r="B489" s="3058" t="s">
        <v>3073</v>
      </c>
      <c r="D489" s="3058">
        <v>2201</v>
      </c>
      <c r="E489" s="3058">
        <v>135.34</v>
      </c>
      <c r="F489" s="3058">
        <v>22500</v>
      </c>
      <c r="G489" s="3059">
        <f t="shared" si="10"/>
        <v>3045150</v>
      </c>
      <c r="H489" s="3059" t="s">
        <v>3055</v>
      </c>
      <c r="I489" s="3058" t="s">
        <v>3072</v>
      </c>
    </row>
    <row r="490" spans="1:9">
      <c r="A490" s="3059">
        <v>2114</v>
      </c>
      <c r="B490" s="3058" t="s">
        <v>3073</v>
      </c>
      <c r="D490" s="3058">
        <v>2301</v>
      </c>
      <c r="E490" s="3058">
        <v>135.34</v>
      </c>
      <c r="F490" s="3058">
        <v>22500</v>
      </c>
      <c r="G490" s="3059">
        <f t="shared" si="10"/>
        <v>3045150</v>
      </c>
      <c r="H490" s="3059" t="s">
        <v>3055</v>
      </c>
      <c r="I490" s="3058" t="s">
        <v>3072</v>
      </c>
    </row>
    <row r="491" spans="1:9">
      <c r="A491" s="3059">
        <v>2115</v>
      </c>
      <c r="B491" s="3058" t="s">
        <v>3073</v>
      </c>
      <c r="D491" s="3058">
        <v>2401</v>
      </c>
      <c r="E491" s="3058">
        <v>135.34</v>
      </c>
      <c r="F491" s="3058">
        <v>22500</v>
      </c>
      <c r="G491" s="3059">
        <f t="shared" si="10"/>
        <v>3045150</v>
      </c>
      <c r="H491" s="3059" t="s">
        <v>3055</v>
      </c>
      <c r="I491" s="3058" t="s">
        <v>3072</v>
      </c>
    </row>
    <row r="492" spans="1:9">
      <c r="A492" s="3059">
        <v>2116</v>
      </c>
      <c r="B492" s="3058" t="s">
        <v>3073</v>
      </c>
      <c r="D492" s="3058">
        <v>2501</v>
      </c>
      <c r="E492" s="3058">
        <v>135.34</v>
      </c>
      <c r="F492" s="3058">
        <v>22500</v>
      </c>
      <c r="G492" s="3059">
        <f t="shared" si="10"/>
        <v>3045150</v>
      </c>
      <c r="H492" s="3059" t="s">
        <v>3055</v>
      </c>
      <c r="I492" s="3058" t="s">
        <v>3072</v>
      </c>
    </row>
    <row r="493" spans="1:9">
      <c r="A493" s="3059">
        <v>2117</v>
      </c>
      <c r="B493" s="3058" t="s">
        <v>3073</v>
      </c>
      <c r="D493" s="3058">
        <v>2601</v>
      </c>
      <c r="E493" s="3058">
        <v>135.34</v>
      </c>
      <c r="F493" s="3058">
        <v>22500</v>
      </c>
      <c r="G493" s="3059">
        <f t="shared" si="10"/>
        <v>3045150</v>
      </c>
      <c r="H493" s="3059" t="s">
        <v>3055</v>
      </c>
      <c r="I493" s="3058" t="s">
        <v>3072</v>
      </c>
    </row>
    <row r="494" spans="1:9">
      <c r="A494" s="3059">
        <v>2118</v>
      </c>
      <c r="B494" s="3058" t="s">
        <v>3073</v>
      </c>
      <c r="D494" s="3058">
        <v>202</v>
      </c>
      <c r="E494" s="3058">
        <v>118.27</v>
      </c>
      <c r="F494" s="3058">
        <v>22500</v>
      </c>
      <c r="G494" s="3059">
        <f t="shared" si="10"/>
        <v>2661075</v>
      </c>
      <c r="H494" s="3059" t="s">
        <v>3055</v>
      </c>
      <c r="I494" s="3058" t="s">
        <v>3072</v>
      </c>
    </row>
    <row r="495" spans="1:9">
      <c r="A495" s="3059">
        <v>2119</v>
      </c>
      <c r="B495" s="3058" t="s">
        <v>3073</v>
      </c>
      <c r="D495" s="3058">
        <v>302</v>
      </c>
      <c r="E495" s="3058">
        <v>118.27</v>
      </c>
      <c r="F495" s="3058">
        <v>22500</v>
      </c>
      <c r="G495" s="3059">
        <f t="shared" si="10"/>
        <v>2661075</v>
      </c>
      <c r="H495" s="3059" t="s">
        <v>3055</v>
      </c>
      <c r="I495" s="3058" t="s">
        <v>3072</v>
      </c>
    </row>
    <row r="496" spans="1:9">
      <c r="A496" s="3059">
        <v>2120</v>
      </c>
      <c r="B496" s="3058" t="s">
        <v>3073</v>
      </c>
      <c r="D496" s="3058">
        <v>402</v>
      </c>
      <c r="E496" s="3058">
        <v>118.27</v>
      </c>
      <c r="F496" s="3058">
        <v>22500</v>
      </c>
      <c r="G496" s="3059">
        <f t="shared" si="10"/>
        <v>2661075</v>
      </c>
      <c r="H496" s="3059" t="s">
        <v>3055</v>
      </c>
      <c r="I496" s="3058" t="s">
        <v>3072</v>
      </c>
    </row>
    <row r="497" spans="1:9">
      <c r="A497" s="3059">
        <v>2121</v>
      </c>
      <c r="B497" s="3058" t="s">
        <v>3073</v>
      </c>
      <c r="D497" s="3058">
        <v>502</v>
      </c>
      <c r="E497" s="3058">
        <v>118.27</v>
      </c>
      <c r="F497" s="3058">
        <v>22500</v>
      </c>
      <c r="G497" s="3059">
        <f t="shared" si="10"/>
        <v>2661075</v>
      </c>
      <c r="H497" s="3059" t="s">
        <v>3055</v>
      </c>
      <c r="I497" s="3058" t="s">
        <v>3072</v>
      </c>
    </row>
    <row r="498" spans="1:9">
      <c r="A498" s="3059">
        <v>2122</v>
      </c>
      <c r="B498" s="3058" t="s">
        <v>3073</v>
      </c>
      <c r="D498" s="3058">
        <v>602</v>
      </c>
      <c r="E498" s="3058">
        <v>118.27</v>
      </c>
      <c r="F498" s="3058">
        <v>22500</v>
      </c>
      <c r="G498" s="3059">
        <f t="shared" si="10"/>
        <v>2661075</v>
      </c>
      <c r="H498" s="3059" t="s">
        <v>3055</v>
      </c>
      <c r="I498" s="3058" t="s">
        <v>3072</v>
      </c>
    </row>
    <row r="499" spans="1:9">
      <c r="A499" s="3059">
        <v>2123</v>
      </c>
      <c r="B499" s="3058" t="s">
        <v>3073</v>
      </c>
      <c r="D499" s="3058">
        <v>702</v>
      </c>
      <c r="E499" s="3058">
        <v>118.27</v>
      </c>
      <c r="F499" s="3058">
        <v>22500</v>
      </c>
      <c r="G499" s="3059">
        <f t="shared" si="10"/>
        <v>2661075</v>
      </c>
      <c r="H499" s="3059" t="s">
        <v>3055</v>
      </c>
      <c r="I499" s="3058" t="s">
        <v>3072</v>
      </c>
    </row>
    <row r="500" spans="1:9">
      <c r="A500" s="3059">
        <v>2124</v>
      </c>
      <c r="B500" s="3058" t="s">
        <v>3073</v>
      </c>
      <c r="D500" s="3058">
        <v>802</v>
      </c>
      <c r="E500" s="3058">
        <v>118.27</v>
      </c>
      <c r="F500" s="3058">
        <v>22500</v>
      </c>
      <c r="G500" s="3059">
        <f t="shared" si="10"/>
        <v>2661075</v>
      </c>
      <c r="H500" s="3059" t="s">
        <v>3055</v>
      </c>
      <c r="I500" s="3058" t="s">
        <v>3072</v>
      </c>
    </row>
    <row r="501" spans="1:9">
      <c r="A501" s="3059">
        <v>2125</v>
      </c>
      <c r="B501" s="3058" t="s">
        <v>3073</v>
      </c>
      <c r="D501" s="3058">
        <v>902</v>
      </c>
      <c r="E501" s="3058">
        <v>118.27</v>
      </c>
      <c r="F501" s="3058">
        <v>22500</v>
      </c>
      <c r="G501" s="3059">
        <f t="shared" si="10"/>
        <v>2661075</v>
      </c>
      <c r="H501" s="3059" t="s">
        <v>3055</v>
      </c>
      <c r="I501" s="3058" t="s">
        <v>3072</v>
      </c>
    </row>
    <row r="502" spans="1:9">
      <c r="A502" s="3059">
        <v>2126</v>
      </c>
      <c r="B502" s="3058" t="s">
        <v>3073</v>
      </c>
      <c r="D502" s="3058">
        <v>1002</v>
      </c>
      <c r="E502" s="3058">
        <v>118.27</v>
      </c>
      <c r="F502" s="3058">
        <v>22500</v>
      </c>
      <c r="G502" s="3059">
        <f t="shared" si="10"/>
        <v>2661075</v>
      </c>
      <c r="H502" s="3059" t="s">
        <v>3055</v>
      </c>
      <c r="I502" s="3058" t="s">
        <v>3072</v>
      </c>
    </row>
    <row r="503" spans="1:9">
      <c r="A503" s="3059">
        <v>2127</v>
      </c>
      <c r="B503" s="3058" t="s">
        <v>3073</v>
      </c>
      <c r="D503" s="3058">
        <v>1102</v>
      </c>
      <c r="E503" s="3058">
        <v>118.27</v>
      </c>
      <c r="F503" s="3058">
        <v>22500</v>
      </c>
      <c r="G503" s="3059">
        <f t="shared" si="10"/>
        <v>2661075</v>
      </c>
      <c r="H503" s="3059" t="s">
        <v>3055</v>
      </c>
      <c r="I503" s="3058" t="s">
        <v>3072</v>
      </c>
    </row>
    <row r="504" spans="1:9">
      <c r="A504" s="3059">
        <v>2128</v>
      </c>
      <c r="B504" s="3058" t="s">
        <v>3073</v>
      </c>
      <c r="D504" s="3058">
        <v>1202</v>
      </c>
      <c r="E504" s="3058">
        <v>118.27</v>
      </c>
      <c r="F504" s="3058">
        <v>22500</v>
      </c>
      <c r="G504" s="3059">
        <f t="shared" si="10"/>
        <v>2661075</v>
      </c>
      <c r="H504" s="3059" t="s">
        <v>3055</v>
      </c>
      <c r="I504" s="3058" t="s">
        <v>3072</v>
      </c>
    </row>
    <row r="505" spans="1:9">
      <c r="A505" s="3059">
        <v>2129</v>
      </c>
      <c r="B505" s="3058" t="s">
        <v>3073</v>
      </c>
      <c r="D505" s="3058">
        <v>1302</v>
      </c>
      <c r="E505" s="3058">
        <v>118.27</v>
      </c>
      <c r="F505" s="3058">
        <v>22500</v>
      </c>
      <c r="G505" s="3059">
        <f t="shared" si="10"/>
        <v>2661075</v>
      </c>
      <c r="H505" s="3059" t="s">
        <v>3055</v>
      </c>
      <c r="I505" s="3058" t="s">
        <v>3072</v>
      </c>
    </row>
    <row r="506" spans="1:9">
      <c r="A506" s="3059">
        <v>2130</v>
      </c>
      <c r="B506" s="3058" t="s">
        <v>3073</v>
      </c>
      <c r="D506" s="3058">
        <v>1402</v>
      </c>
      <c r="E506" s="3058">
        <v>118.27</v>
      </c>
      <c r="F506" s="3058">
        <v>22500</v>
      </c>
      <c r="G506" s="3059">
        <f t="shared" si="10"/>
        <v>2661075</v>
      </c>
      <c r="H506" s="3059" t="s">
        <v>3055</v>
      </c>
      <c r="I506" s="3058" t="s">
        <v>3072</v>
      </c>
    </row>
    <row r="507" spans="1:9">
      <c r="A507" s="3059">
        <v>2131</v>
      </c>
      <c r="B507" s="3058" t="s">
        <v>3073</v>
      </c>
      <c r="D507" s="3058">
        <v>1502</v>
      </c>
      <c r="E507" s="3058">
        <v>118.27</v>
      </c>
      <c r="F507" s="3058">
        <v>22500</v>
      </c>
      <c r="G507" s="3059">
        <f t="shared" si="10"/>
        <v>2661075</v>
      </c>
      <c r="H507" s="3059" t="s">
        <v>3055</v>
      </c>
      <c r="I507" s="3058" t="s">
        <v>3072</v>
      </c>
    </row>
    <row r="508" spans="1:9">
      <c r="A508" s="3059">
        <v>2132</v>
      </c>
      <c r="B508" s="3058" t="s">
        <v>3073</v>
      </c>
      <c r="D508" s="3058">
        <v>1602</v>
      </c>
      <c r="E508" s="3058">
        <v>118.27</v>
      </c>
      <c r="F508" s="3058">
        <v>22500</v>
      </c>
      <c r="G508" s="3059">
        <f t="shared" si="10"/>
        <v>2661075</v>
      </c>
      <c r="H508" s="3059" t="s">
        <v>3055</v>
      </c>
      <c r="I508" s="3058" t="s">
        <v>3072</v>
      </c>
    </row>
    <row r="509" spans="1:9">
      <c r="A509" s="3059">
        <v>2133</v>
      </c>
      <c r="B509" s="3058" t="s">
        <v>3073</v>
      </c>
      <c r="D509" s="3058">
        <v>1702</v>
      </c>
      <c r="E509" s="3058">
        <v>118.27</v>
      </c>
      <c r="F509" s="3058">
        <v>22500</v>
      </c>
      <c r="G509" s="3059">
        <f t="shared" si="10"/>
        <v>2661075</v>
      </c>
      <c r="H509" s="3059" t="s">
        <v>3055</v>
      </c>
      <c r="I509" s="3058" t="s">
        <v>3072</v>
      </c>
    </row>
    <row r="510" spans="1:9">
      <c r="A510" s="3059">
        <v>2134</v>
      </c>
      <c r="B510" s="3058" t="s">
        <v>3073</v>
      </c>
      <c r="D510" s="3058">
        <v>1802</v>
      </c>
      <c r="E510" s="3058">
        <v>118.27</v>
      </c>
      <c r="F510" s="3058">
        <v>22500</v>
      </c>
      <c r="G510" s="3059">
        <f t="shared" si="10"/>
        <v>2661075</v>
      </c>
      <c r="H510" s="3059" t="s">
        <v>3055</v>
      </c>
      <c r="I510" s="3058" t="s">
        <v>3072</v>
      </c>
    </row>
    <row r="511" spans="1:9">
      <c r="A511" s="3059">
        <v>2135</v>
      </c>
      <c r="B511" s="3058" t="s">
        <v>3073</v>
      </c>
      <c r="D511" s="3058">
        <v>1902</v>
      </c>
      <c r="E511" s="3058">
        <v>118.27</v>
      </c>
      <c r="F511" s="3058">
        <v>22500</v>
      </c>
      <c r="G511" s="3059">
        <f t="shared" si="10"/>
        <v>2661075</v>
      </c>
      <c r="H511" s="3059" t="s">
        <v>3055</v>
      </c>
      <c r="I511" s="3058" t="s">
        <v>3072</v>
      </c>
    </row>
    <row r="512" spans="1:9">
      <c r="A512" s="3059">
        <v>2136</v>
      </c>
      <c r="B512" s="3058" t="s">
        <v>3073</v>
      </c>
      <c r="D512" s="3058">
        <v>2002</v>
      </c>
      <c r="E512" s="3058">
        <v>118.27</v>
      </c>
      <c r="F512" s="3058">
        <v>22500</v>
      </c>
      <c r="G512" s="3059">
        <f t="shared" si="10"/>
        <v>2661075</v>
      </c>
      <c r="H512" s="3059" t="s">
        <v>3055</v>
      </c>
      <c r="I512" s="3058" t="s">
        <v>3072</v>
      </c>
    </row>
    <row r="513" spans="1:9">
      <c r="A513" s="3059">
        <v>2137</v>
      </c>
      <c r="B513" s="3058" t="s">
        <v>3073</v>
      </c>
      <c r="D513" s="3058">
        <v>2102</v>
      </c>
      <c r="E513" s="3058">
        <v>118.27</v>
      </c>
      <c r="F513" s="3058">
        <v>22500</v>
      </c>
      <c r="G513" s="3059">
        <f t="shared" ref="G513:G568" si="11">E513*F513</f>
        <v>2661075</v>
      </c>
      <c r="H513" s="3059" t="s">
        <v>3055</v>
      </c>
      <c r="I513" s="3058" t="s">
        <v>3072</v>
      </c>
    </row>
    <row r="514" spans="1:9">
      <c r="A514" s="3059">
        <v>2138</v>
      </c>
      <c r="B514" s="3058" t="s">
        <v>3073</v>
      </c>
      <c r="D514" s="3058">
        <v>2202</v>
      </c>
      <c r="E514" s="3058">
        <v>118.27</v>
      </c>
      <c r="F514" s="3058">
        <v>22500</v>
      </c>
      <c r="G514" s="3059">
        <f t="shared" si="11"/>
        <v>2661075</v>
      </c>
      <c r="H514" s="3059" t="s">
        <v>3055</v>
      </c>
      <c r="I514" s="3058" t="s">
        <v>3072</v>
      </c>
    </row>
    <row r="515" spans="1:9">
      <c r="A515" s="3059">
        <v>2139</v>
      </c>
      <c r="B515" s="3058" t="s">
        <v>3073</v>
      </c>
      <c r="D515" s="3058">
        <v>2302</v>
      </c>
      <c r="E515" s="3058">
        <v>118.27</v>
      </c>
      <c r="F515" s="3058">
        <v>22500</v>
      </c>
      <c r="G515" s="3059">
        <f t="shared" si="11"/>
        <v>2661075</v>
      </c>
      <c r="H515" s="3059" t="s">
        <v>3055</v>
      </c>
      <c r="I515" s="3058" t="s">
        <v>3072</v>
      </c>
    </row>
    <row r="516" spans="1:9">
      <c r="A516" s="3059">
        <v>2140</v>
      </c>
      <c r="B516" s="3058" t="s">
        <v>3073</v>
      </c>
      <c r="D516" s="3058">
        <v>2402</v>
      </c>
      <c r="E516" s="3058">
        <v>118.27</v>
      </c>
      <c r="F516" s="3058">
        <v>22500</v>
      </c>
      <c r="G516" s="3059">
        <f t="shared" si="11"/>
        <v>2661075</v>
      </c>
      <c r="H516" s="3059" t="s">
        <v>3055</v>
      </c>
      <c r="I516" s="3058" t="s">
        <v>3072</v>
      </c>
    </row>
    <row r="517" spans="1:9">
      <c r="A517" s="3059">
        <v>2141</v>
      </c>
      <c r="B517" s="3058" t="s">
        <v>3073</v>
      </c>
      <c r="D517" s="3058">
        <v>2502</v>
      </c>
      <c r="E517" s="3058">
        <v>118.27</v>
      </c>
      <c r="F517" s="3058">
        <v>22500</v>
      </c>
      <c r="G517" s="3059">
        <f t="shared" si="11"/>
        <v>2661075</v>
      </c>
      <c r="H517" s="3059" t="s">
        <v>3055</v>
      </c>
      <c r="I517" s="3058" t="s">
        <v>3072</v>
      </c>
    </row>
    <row r="518" spans="1:9">
      <c r="A518" s="3059">
        <v>2142</v>
      </c>
      <c r="B518" s="3058" t="s">
        <v>3073</v>
      </c>
      <c r="D518" s="3058">
        <v>2602</v>
      </c>
      <c r="E518" s="3058">
        <v>118.27</v>
      </c>
      <c r="F518" s="3058">
        <v>22500</v>
      </c>
      <c r="G518" s="3059">
        <f t="shared" si="11"/>
        <v>2661075</v>
      </c>
      <c r="H518" s="3059" t="s">
        <v>3055</v>
      </c>
      <c r="I518" s="3058" t="s">
        <v>3072</v>
      </c>
    </row>
    <row r="519" spans="1:9">
      <c r="A519" s="3059">
        <v>2143</v>
      </c>
      <c r="B519" s="3058" t="s">
        <v>3073</v>
      </c>
      <c r="D519" s="3058">
        <v>203</v>
      </c>
      <c r="E519" s="3058">
        <v>118.14</v>
      </c>
      <c r="F519" s="3058">
        <v>22500</v>
      </c>
      <c r="G519" s="3059">
        <f t="shared" si="11"/>
        <v>2658150</v>
      </c>
      <c r="H519" s="3059" t="s">
        <v>3055</v>
      </c>
      <c r="I519" s="3058" t="s">
        <v>3072</v>
      </c>
    </row>
    <row r="520" spans="1:9">
      <c r="A520" s="3059">
        <v>2144</v>
      </c>
      <c r="B520" s="3058" t="s">
        <v>3073</v>
      </c>
      <c r="D520" s="3058">
        <v>303</v>
      </c>
      <c r="E520" s="3058">
        <v>118.14</v>
      </c>
      <c r="F520" s="3058">
        <v>22500</v>
      </c>
      <c r="G520" s="3059">
        <f t="shared" si="11"/>
        <v>2658150</v>
      </c>
      <c r="H520" s="3059" t="s">
        <v>3055</v>
      </c>
      <c r="I520" s="3058" t="s">
        <v>3072</v>
      </c>
    </row>
    <row r="521" spans="1:9">
      <c r="A521" s="3059">
        <v>2145</v>
      </c>
      <c r="B521" s="3058" t="s">
        <v>3073</v>
      </c>
      <c r="D521" s="3058">
        <v>403</v>
      </c>
      <c r="E521" s="3058">
        <v>118.14</v>
      </c>
      <c r="F521" s="3058">
        <v>22500</v>
      </c>
      <c r="G521" s="3059">
        <f t="shared" si="11"/>
        <v>2658150</v>
      </c>
      <c r="H521" s="3059" t="s">
        <v>3055</v>
      </c>
      <c r="I521" s="3058" t="s">
        <v>3072</v>
      </c>
    </row>
    <row r="522" spans="1:9">
      <c r="A522" s="3059">
        <v>2146</v>
      </c>
      <c r="B522" s="3058" t="s">
        <v>3073</v>
      </c>
      <c r="D522" s="3058">
        <v>503</v>
      </c>
      <c r="E522" s="3058">
        <v>118.14</v>
      </c>
      <c r="F522" s="3058">
        <v>22500</v>
      </c>
      <c r="G522" s="3059">
        <f t="shared" si="11"/>
        <v>2658150</v>
      </c>
      <c r="H522" s="3059" t="s">
        <v>3055</v>
      </c>
      <c r="I522" s="3058" t="s">
        <v>3072</v>
      </c>
    </row>
    <row r="523" spans="1:9">
      <c r="A523" s="3059">
        <v>2147</v>
      </c>
      <c r="B523" s="3058" t="s">
        <v>3073</v>
      </c>
      <c r="D523" s="3058">
        <v>603</v>
      </c>
      <c r="E523" s="3058">
        <v>118.14</v>
      </c>
      <c r="F523" s="3058">
        <v>22500</v>
      </c>
      <c r="G523" s="3059">
        <f t="shared" si="11"/>
        <v>2658150</v>
      </c>
      <c r="H523" s="3059" t="s">
        <v>3055</v>
      </c>
      <c r="I523" s="3058" t="s">
        <v>3072</v>
      </c>
    </row>
    <row r="524" spans="1:9">
      <c r="A524" s="3059">
        <v>2148</v>
      </c>
      <c r="B524" s="3058" t="s">
        <v>3073</v>
      </c>
      <c r="D524" s="3058">
        <v>703</v>
      </c>
      <c r="E524" s="3058">
        <v>118.14</v>
      </c>
      <c r="F524" s="3058">
        <v>22500</v>
      </c>
      <c r="G524" s="3059">
        <f t="shared" si="11"/>
        <v>2658150</v>
      </c>
      <c r="H524" s="3059" t="s">
        <v>3055</v>
      </c>
      <c r="I524" s="3058" t="s">
        <v>3072</v>
      </c>
    </row>
    <row r="525" spans="1:9">
      <c r="A525" s="3059">
        <v>2149</v>
      </c>
      <c r="B525" s="3058" t="s">
        <v>3073</v>
      </c>
      <c r="D525" s="3058">
        <v>803</v>
      </c>
      <c r="E525" s="3058">
        <v>118.14</v>
      </c>
      <c r="F525" s="3058">
        <v>22500</v>
      </c>
      <c r="G525" s="3059">
        <f t="shared" si="11"/>
        <v>2658150</v>
      </c>
      <c r="H525" s="3059" t="s">
        <v>3055</v>
      </c>
      <c r="I525" s="3058" t="s">
        <v>3072</v>
      </c>
    </row>
    <row r="526" spans="1:9">
      <c r="A526" s="3059">
        <v>2150</v>
      </c>
      <c r="B526" s="3058" t="s">
        <v>3073</v>
      </c>
      <c r="D526" s="3058">
        <v>903</v>
      </c>
      <c r="E526" s="3058">
        <v>118.14</v>
      </c>
      <c r="F526" s="3058">
        <v>22500</v>
      </c>
      <c r="G526" s="3059">
        <f t="shared" si="11"/>
        <v>2658150</v>
      </c>
      <c r="H526" s="3059" t="s">
        <v>3055</v>
      </c>
      <c r="I526" s="3058" t="s">
        <v>3072</v>
      </c>
    </row>
    <row r="527" spans="1:9">
      <c r="A527" s="3059">
        <v>2151</v>
      </c>
      <c r="B527" s="3058" t="s">
        <v>3073</v>
      </c>
      <c r="D527" s="3058">
        <v>1003</v>
      </c>
      <c r="E527" s="3058">
        <v>118.14</v>
      </c>
      <c r="F527" s="3058">
        <v>22500</v>
      </c>
      <c r="G527" s="3059">
        <f t="shared" si="11"/>
        <v>2658150</v>
      </c>
      <c r="H527" s="3059" t="s">
        <v>3055</v>
      </c>
      <c r="I527" s="3058" t="s">
        <v>3072</v>
      </c>
    </row>
    <row r="528" spans="1:9">
      <c r="A528" s="3059">
        <v>2152</v>
      </c>
      <c r="B528" s="3058" t="s">
        <v>3073</v>
      </c>
      <c r="D528" s="3058">
        <v>1103</v>
      </c>
      <c r="E528" s="3058">
        <v>118.14</v>
      </c>
      <c r="F528" s="3058">
        <v>22500</v>
      </c>
      <c r="G528" s="3059">
        <f t="shared" si="11"/>
        <v>2658150</v>
      </c>
      <c r="H528" s="3059" t="s">
        <v>3055</v>
      </c>
      <c r="I528" s="3058" t="s">
        <v>3072</v>
      </c>
    </row>
    <row r="529" spans="1:9">
      <c r="A529" s="3059">
        <v>2153</v>
      </c>
      <c r="B529" s="3058" t="s">
        <v>3073</v>
      </c>
      <c r="D529" s="3058">
        <v>1203</v>
      </c>
      <c r="E529" s="3058">
        <v>118.14</v>
      </c>
      <c r="F529" s="3058">
        <v>22500</v>
      </c>
      <c r="G529" s="3059">
        <f t="shared" si="11"/>
        <v>2658150</v>
      </c>
      <c r="H529" s="3059" t="s">
        <v>3055</v>
      </c>
      <c r="I529" s="3058" t="s">
        <v>3072</v>
      </c>
    </row>
    <row r="530" spans="1:9">
      <c r="A530" s="3059">
        <v>2154</v>
      </c>
      <c r="B530" s="3058" t="s">
        <v>3073</v>
      </c>
      <c r="D530" s="3058">
        <v>1303</v>
      </c>
      <c r="E530" s="3058">
        <v>118.14</v>
      </c>
      <c r="F530" s="3058">
        <v>22500</v>
      </c>
      <c r="G530" s="3059">
        <f t="shared" si="11"/>
        <v>2658150</v>
      </c>
      <c r="H530" s="3059" t="s">
        <v>3055</v>
      </c>
      <c r="I530" s="3058" t="s">
        <v>3072</v>
      </c>
    </row>
    <row r="531" spans="1:9">
      <c r="A531" s="3059">
        <v>2155</v>
      </c>
      <c r="B531" s="3058" t="s">
        <v>3073</v>
      </c>
      <c r="D531" s="3058">
        <v>1403</v>
      </c>
      <c r="E531" s="3058">
        <v>118.14</v>
      </c>
      <c r="F531" s="3058">
        <v>22500</v>
      </c>
      <c r="G531" s="3059">
        <f t="shared" si="11"/>
        <v>2658150</v>
      </c>
      <c r="H531" s="3059" t="s">
        <v>3055</v>
      </c>
      <c r="I531" s="3058" t="s">
        <v>3072</v>
      </c>
    </row>
    <row r="532" spans="1:9">
      <c r="A532" s="3059">
        <v>2156</v>
      </c>
      <c r="B532" s="3058" t="s">
        <v>3073</v>
      </c>
      <c r="D532" s="3058">
        <v>1503</v>
      </c>
      <c r="E532" s="3058">
        <v>118.14</v>
      </c>
      <c r="F532" s="3058">
        <v>22500</v>
      </c>
      <c r="G532" s="3059">
        <f t="shared" si="11"/>
        <v>2658150</v>
      </c>
      <c r="H532" s="3059" t="s">
        <v>3055</v>
      </c>
      <c r="I532" s="3058" t="s">
        <v>3072</v>
      </c>
    </row>
    <row r="533" spans="1:9">
      <c r="A533" s="3059">
        <v>2157</v>
      </c>
      <c r="B533" s="3058" t="s">
        <v>3073</v>
      </c>
      <c r="D533" s="3058">
        <v>1603</v>
      </c>
      <c r="E533" s="3058">
        <v>118.14</v>
      </c>
      <c r="F533" s="3058">
        <v>22500</v>
      </c>
      <c r="G533" s="3059">
        <f t="shared" si="11"/>
        <v>2658150</v>
      </c>
      <c r="H533" s="3059" t="s">
        <v>3055</v>
      </c>
      <c r="I533" s="3058" t="s">
        <v>3072</v>
      </c>
    </row>
    <row r="534" spans="1:9">
      <c r="A534" s="3059">
        <v>2158</v>
      </c>
      <c r="B534" s="3058" t="s">
        <v>3073</v>
      </c>
      <c r="D534" s="3058">
        <v>1703</v>
      </c>
      <c r="E534" s="3058">
        <v>118.14</v>
      </c>
      <c r="F534" s="3058">
        <v>22500</v>
      </c>
      <c r="G534" s="3059">
        <f t="shared" si="11"/>
        <v>2658150</v>
      </c>
      <c r="H534" s="3059" t="s">
        <v>3055</v>
      </c>
      <c r="I534" s="3058" t="s">
        <v>3072</v>
      </c>
    </row>
    <row r="535" spans="1:9">
      <c r="A535" s="3059">
        <v>2159</v>
      </c>
      <c r="B535" s="3058" t="s">
        <v>3073</v>
      </c>
      <c r="D535" s="3058">
        <v>1803</v>
      </c>
      <c r="E535" s="3058">
        <v>118.14</v>
      </c>
      <c r="F535" s="3058">
        <v>22500</v>
      </c>
      <c r="G535" s="3059">
        <f t="shared" si="11"/>
        <v>2658150</v>
      </c>
      <c r="H535" s="3059" t="s">
        <v>3055</v>
      </c>
      <c r="I535" s="3058" t="s">
        <v>3072</v>
      </c>
    </row>
    <row r="536" spans="1:9">
      <c r="A536" s="3059">
        <v>2160</v>
      </c>
      <c r="B536" s="3058" t="s">
        <v>3073</v>
      </c>
      <c r="D536" s="3058">
        <v>1903</v>
      </c>
      <c r="E536" s="3058">
        <v>118.14</v>
      </c>
      <c r="F536" s="3058">
        <v>22500</v>
      </c>
      <c r="G536" s="3059">
        <f t="shared" si="11"/>
        <v>2658150</v>
      </c>
      <c r="H536" s="3059" t="s">
        <v>3055</v>
      </c>
      <c r="I536" s="3058" t="s">
        <v>3072</v>
      </c>
    </row>
    <row r="537" spans="1:9">
      <c r="A537" s="3059">
        <v>2161</v>
      </c>
      <c r="B537" s="3058" t="s">
        <v>3073</v>
      </c>
      <c r="D537" s="3058">
        <v>2003</v>
      </c>
      <c r="E537" s="3058">
        <v>118.14</v>
      </c>
      <c r="F537" s="3058">
        <v>22500</v>
      </c>
      <c r="G537" s="3059">
        <f t="shared" si="11"/>
        <v>2658150</v>
      </c>
      <c r="H537" s="3059" t="s">
        <v>3055</v>
      </c>
      <c r="I537" s="3058" t="s">
        <v>3072</v>
      </c>
    </row>
    <row r="538" spans="1:9">
      <c r="A538" s="3059">
        <v>2162</v>
      </c>
      <c r="B538" s="3058" t="s">
        <v>3073</v>
      </c>
      <c r="D538" s="3058">
        <v>2103</v>
      </c>
      <c r="E538" s="3058">
        <v>118.14</v>
      </c>
      <c r="F538" s="3058">
        <v>22500</v>
      </c>
      <c r="G538" s="3059">
        <f t="shared" si="11"/>
        <v>2658150</v>
      </c>
      <c r="H538" s="3059" t="s">
        <v>3055</v>
      </c>
      <c r="I538" s="3058" t="s">
        <v>3072</v>
      </c>
    </row>
    <row r="539" spans="1:9">
      <c r="A539" s="3059">
        <v>2163</v>
      </c>
      <c r="B539" s="3058" t="s">
        <v>3073</v>
      </c>
      <c r="D539" s="3058">
        <v>2203</v>
      </c>
      <c r="E539" s="3058">
        <v>118.14</v>
      </c>
      <c r="F539" s="3058">
        <v>22500</v>
      </c>
      <c r="G539" s="3059">
        <f t="shared" si="11"/>
        <v>2658150</v>
      </c>
      <c r="H539" s="3059" t="s">
        <v>3055</v>
      </c>
      <c r="I539" s="3058" t="s">
        <v>3072</v>
      </c>
    </row>
    <row r="540" spans="1:9">
      <c r="A540" s="3059">
        <v>2164</v>
      </c>
      <c r="B540" s="3058" t="s">
        <v>3073</v>
      </c>
      <c r="D540" s="3058">
        <v>2303</v>
      </c>
      <c r="E540" s="3058">
        <v>118.14</v>
      </c>
      <c r="F540" s="3058">
        <v>22500</v>
      </c>
      <c r="G540" s="3059">
        <f t="shared" si="11"/>
        <v>2658150</v>
      </c>
      <c r="H540" s="3059" t="s">
        <v>3055</v>
      </c>
      <c r="I540" s="3058" t="s">
        <v>3072</v>
      </c>
    </row>
    <row r="541" spans="1:9">
      <c r="A541" s="3059">
        <v>2165</v>
      </c>
      <c r="B541" s="3058" t="s">
        <v>3073</v>
      </c>
      <c r="D541" s="3058">
        <v>2403</v>
      </c>
      <c r="E541" s="3058">
        <v>118.14</v>
      </c>
      <c r="F541" s="3058">
        <v>22500</v>
      </c>
      <c r="G541" s="3059">
        <f t="shared" si="11"/>
        <v>2658150</v>
      </c>
      <c r="H541" s="3059" t="s">
        <v>3055</v>
      </c>
      <c r="I541" s="3058" t="s">
        <v>3072</v>
      </c>
    </row>
    <row r="542" spans="1:9">
      <c r="A542" s="3059">
        <v>2166</v>
      </c>
      <c r="B542" s="3058" t="s">
        <v>3073</v>
      </c>
      <c r="D542" s="3058">
        <v>2503</v>
      </c>
      <c r="E542" s="3058">
        <v>118.14</v>
      </c>
      <c r="F542" s="3058">
        <v>22500</v>
      </c>
      <c r="G542" s="3059">
        <f t="shared" si="11"/>
        <v>2658150</v>
      </c>
      <c r="H542" s="3059" t="s">
        <v>3055</v>
      </c>
      <c r="I542" s="3058" t="s">
        <v>3072</v>
      </c>
    </row>
    <row r="543" spans="1:9">
      <c r="A543" s="3059">
        <v>2167</v>
      </c>
      <c r="B543" s="3058" t="s">
        <v>3073</v>
      </c>
      <c r="D543" s="3058">
        <v>2603</v>
      </c>
      <c r="E543" s="3058">
        <v>118.14</v>
      </c>
      <c r="F543" s="3058">
        <v>22500</v>
      </c>
      <c r="G543" s="3059">
        <f t="shared" si="11"/>
        <v>2658150</v>
      </c>
      <c r="H543" s="3059" t="s">
        <v>3055</v>
      </c>
      <c r="I543" s="3058" t="s">
        <v>3072</v>
      </c>
    </row>
    <row r="544" spans="1:9">
      <c r="A544" s="3059">
        <v>2168</v>
      </c>
      <c r="B544" s="3058" t="s">
        <v>3073</v>
      </c>
      <c r="D544" s="3058">
        <v>204</v>
      </c>
      <c r="E544" s="3058">
        <v>127.93</v>
      </c>
      <c r="F544" s="3058">
        <v>22500</v>
      </c>
      <c r="G544" s="3059">
        <f t="shared" si="11"/>
        <v>2878425</v>
      </c>
      <c r="H544" s="3059" t="s">
        <v>3055</v>
      </c>
      <c r="I544" s="3058" t="s">
        <v>3072</v>
      </c>
    </row>
    <row r="545" spans="1:9">
      <c r="A545" s="3059">
        <v>2169</v>
      </c>
      <c r="B545" s="3058" t="s">
        <v>3073</v>
      </c>
      <c r="D545" s="3058">
        <v>304</v>
      </c>
      <c r="E545" s="3058">
        <v>127.93</v>
      </c>
      <c r="F545" s="3058">
        <v>22500</v>
      </c>
      <c r="G545" s="3059">
        <f t="shared" si="11"/>
        <v>2878425</v>
      </c>
      <c r="H545" s="3059" t="s">
        <v>3055</v>
      </c>
      <c r="I545" s="3058" t="s">
        <v>3072</v>
      </c>
    </row>
    <row r="546" spans="1:9">
      <c r="A546" s="3059">
        <v>2170</v>
      </c>
      <c r="B546" s="3058" t="s">
        <v>3073</v>
      </c>
      <c r="D546" s="3058">
        <v>404</v>
      </c>
      <c r="E546" s="3058">
        <v>127.93</v>
      </c>
      <c r="F546" s="3058">
        <v>22500</v>
      </c>
      <c r="G546" s="3059">
        <f t="shared" si="11"/>
        <v>2878425</v>
      </c>
      <c r="H546" s="3059" t="s">
        <v>3055</v>
      </c>
      <c r="I546" s="3058" t="s">
        <v>3072</v>
      </c>
    </row>
    <row r="547" spans="1:9">
      <c r="A547" s="3059">
        <v>2171</v>
      </c>
      <c r="B547" s="3058" t="s">
        <v>3073</v>
      </c>
      <c r="D547" s="3058">
        <v>504</v>
      </c>
      <c r="E547" s="3058">
        <v>127.93</v>
      </c>
      <c r="F547" s="3058">
        <v>22500</v>
      </c>
      <c r="G547" s="3059">
        <f t="shared" si="11"/>
        <v>2878425</v>
      </c>
      <c r="H547" s="3059" t="s">
        <v>3055</v>
      </c>
      <c r="I547" s="3058" t="s">
        <v>3072</v>
      </c>
    </row>
    <row r="548" spans="1:9">
      <c r="A548" s="3059">
        <v>2172</v>
      </c>
      <c r="B548" s="3058" t="s">
        <v>3073</v>
      </c>
      <c r="D548" s="3058">
        <v>604</v>
      </c>
      <c r="E548" s="3058">
        <v>127.93</v>
      </c>
      <c r="F548" s="3058">
        <v>22500</v>
      </c>
      <c r="G548" s="3059">
        <f t="shared" si="11"/>
        <v>2878425</v>
      </c>
      <c r="H548" s="3059" t="s">
        <v>3055</v>
      </c>
      <c r="I548" s="3058" t="s">
        <v>3072</v>
      </c>
    </row>
    <row r="549" spans="1:9">
      <c r="A549" s="3059">
        <v>2173</v>
      </c>
      <c r="B549" s="3058" t="s">
        <v>3073</v>
      </c>
      <c r="D549" s="3058">
        <v>704</v>
      </c>
      <c r="E549" s="3058">
        <v>127.93</v>
      </c>
      <c r="F549" s="3058">
        <v>22500</v>
      </c>
      <c r="G549" s="3059">
        <f t="shared" si="11"/>
        <v>2878425</v>
      </c>
      <c r="H549" s="3059" t="s">
        <v>3055</v>
      </c>
      <c r="I549" s="3058" t="s">
        <v>3072</v>
      </c>
    </row>
    <row r="550" spans="1:9">
      <c r="A550" s="3059">
        <v>2174</v>
      </c>
      <c r="B550" s="3058" t="s">
        <v>3073</v>
      </c>
      <c r="D550" s="3058">
        <v>804</v>
      </c>
      <c r="E550" s="3058">
        <v>127.93</v>
      </c>
      <c r="F550" s="3058">
        <v>22500</v>
      </c>
      <c r="G550" s="3059">
        <f t="shared" si="11"/>
        <v>2878425</v>
      </c>
      <c r="H550" s="3059" t="s">
        <v>3055</v>
      </c>
      <c r="I550" s="3058" t="s">
        <v>3072</v>
      </c>
    </row>
    <row r="551" spans="1:9">
      <c r="A551" s="3059">
        <v>2175</v>
      </c>
      <c r="B551" s="3058" t="s">
        <v>3073</v>
      </c>
      <c r="D551" s="3058">
        <v>904</v>
      </c>
      <c r="E551" s="3058">
        <v>127.93</v>
      </c>
      <c r="F551" s="3058">
        <v>22500</v>
      </c>
      <c r="G551" s="3059">
        <f t="shared" si="11"/>
        <v>2878425</v>
      </c>
      <c r="H551" s="3059" t="s">
        <v>3055</v>
      </c>
      <c r="I551" s="3058" t="s">
        <v>3072</v>
      </c>
    </row>
    <row r="552" spans="1:9">
      <c r="A552" s="3059">
        <v>2176</v>
      </c>
      <c r="B552" s="3058" t="s">
        <v>3073</v>
      </c>
      <c r="D552" s="3058">
        <v>1004</v>
      </c>
      <c r="E552" s="3058">
        <v>127.93</v>
      </c>
      <c r="F552" s="3058">
        <v>22500</v>
      </c>
      <c r="G552" s="3059">
        <f t="shared" si="11"/>
        <v>2878425</v>
      </c>
      <c r="H552" s="3059" t="s">
        <v>3055</v>
      </c>
      <c r="I552" s="3058" t="s">
        <v>3072</v>
      </c>
    </row>
    <row r="553" spans="1:9">
      <c r="A553" s="3059">
        <v>2177</v>
      </c>
      <c r="B553" s="3058" t="s">
        <v>3073</v>
      </c>
      <c r="D553" s="3058">
        <v>1104</v>
      </c>
      <c r="E553" s="3058">
        <v>127.93</v>
      </c>
      <c r="F553" s="3058">
        <v>22500</v>
      </c>
      <c r="G553" s="3059">
        <f t="shared" si="11"/>
        <v>2878425</v>
      </c>
      <c r="H553" s="3059" t="s">
        <v>3055</v>
      </c>
      <c r="I553" s="3058" t="s">
        <v>3072</v>
      </c>
    </row>
    <row r="554" spans="1:9">
      <c r="A554" s="3059">
        <v>2178</v>
      </c>
      <c r="B554" s="3058" t="s">
        <v>3073</v>
      </c>
      <c r="D554" s="3058">
        <v>1204</v>
      </c>
      <c r="E554" s="3058">
        <v>127.93</v>
      </c>
      <c r="F554" s="3058">
        <v>22500</v>
      </c>
      <c r="G554" s="3059">
        <f t="shared" si="11"/>
        <v>2878425</v>
      </c>
      <c r="H554" s="3059" t="s">
        <v>3055</v>
      </c>
      <c r="I554" s="3058" t="s">
        <v>3072</v>
      </c>
    </row>
    <row r="555" spans="1:9">
      <c r="A555" s="3059">
        <v>2179</v>
      </c>
      <c r="B555" s="3058" t="s">
        <v>3073</v>
      </c>
      <c r="D555" s="3058">
        <v>1304</v>
      </c>
      <c r="E555" s="3058">
        <v>127.93</v>
      </c>
      <c r="F555" s="3058">
        <v>22500</v>
      </c>
      <c r="G555" s="3059">
        <f t="shared" si="11"/>
        <v>2878425</v>
      </c>
      <c r="H555" s="3059" t="s">
        <v>3055</v>
      </c>
      <c r="I555" s="3058" t="s">
        <v>3072</v>
      </c>
    </row>
    <row r="556" spans="1:9">
      <c r="A556" s="3059">
        <v>2180</v>
      </c>
      <c r="B556" s="3058" t="s">
        <v>3073</v>
      </c>
      <c r="D556" s="3058">
        <v>1404</v>
      </c>
      <c r="E556" s="3058">
        <v>127.93</v>
      </c>
      <c r="F556" s="3058">
        <v>22500</v>
      </c>
      <c r="G556" s="3059">
        <f t="shared" si="11"/>
        <v>2878425</v>
      </c>
      <c r="H556" s="3059" t="s">
        <v>3055</v>
      </c>
      <c r="I556" s="3058" t="s">
        <v>3072</v>
      </c>
    </row>
    <row r="557" spans="1:9">
      <c r="A557" s="3059">
        <v>2181</v>
      </c>
      <c r="B557" s="3058" t="s">
        <v>3073</v>
      </c>
      <c r="D557" s="3058">
        <v>1504</v>
      </c>
      <c r="E557" s="3058">
        <v>127.93</v>
      </c>
      <c r="F557" s="3058">
        <v>22500</v>
      </c>
      <c r="G557" s="3059">
        <f t="shared" si="11"/>
        <v>2878425</v>
      </c>
      <c r="H557" s="3059" t="s">
        <v>3055</v>
      </c>
      <c r="I557" s="3058" t="s">
        <v>3072</v>
      </c>
    </row>
    <row r="558" spans="1:9">
      <c r="A558" s="3059">
        <v>2182</v>
      </c>
      <c r="B558" s="3058" t="s">
        <v>3073</v>
      </c>
      <c r="D558" s="3058">
        <v>1604</v>
      </c>
      <c r="E558" s="3058">
        <v>127.93</v>
      </c>
      <c r="F558" s="3058">
        <v>22500</v>
      </c>
      <c r="G558" s="3059">
        <f t="shared" si="11"/>
        <v>2878425</v>
      </c>
      <c r="H558" s="3059" t="s">
        <v>3055</v>
      </c>
      <c r="I558" s="3058" t="s">
        <v>3072</v>
      </c>
    </row>
    <row r="559" spans="1:9">
      <c r="A559" s="3059">
        <v>2183</v>
      </c>
      <c r="B559" s="3058" t="s">
        <v>3073</v>
      </c>
      <c r="D559" s="3058">
        <v>1704</v>
      </c>
      <c r="E559" s="3058">
        <v>127.93</v>
      </c>
      <c r="F559" s="3058">
        <v>22500</v>
      </c>
      <c r="G559" s="3059">
        <f t="shared" si="11"/>
        <v>2878425</v>
      </c>
      <c r="H559" s="3059" t="s">
        <v>3055</v>
      </c>
      <c r="I559" s="3058" t="s">
        <v>3072</v>
      </c>
    </row>
    <row r="560" spans="1:9">
      <c r="A560" s="3059">
        <v>2184</v>
      </c>
      <c r="B560" s="3058" t="s">
        <v>3073</v>
      </c>
      <c r="D560" s="3058">
        <v>1804</v>
      </c>
      <c r="E560" s="3058">
        <v>127.93</v>
      </c>
      <c r="F560" s="3058">
        <v>22500</v>
      </c>
      <c r="G560" s="3059">
        <f t="shared" si="11"/>
        <v>2878425</v>
      </c>
      <c r="H560" s="3059" t="s">
        <v>3055</v>
      </c>
      <c r="I560" s="3058" t="s">
        <v>3072</v>
      </c>
    </row>
    <row r="561" spans="1:10">
      <c r="A561" s="3059">
        <v>2185</v>
      </c>
      <c r="B561" s="3058" t="s">
        <v>3073</v>
      </c>
      <c r="D561" s="3058">
        <v>1904</v>
      </c>
      <c r="E561" s="3058">
        <v>127.93</v>
      </c>
      <c r="F561" s="3058">
        <v>22500</v>
      </c>
      <c r="G561" s="3059">
        <f t="shared" si="11"/>
        <v>2878425</v>
      </c>
      <c r="H561" s="3059" t="s">
        <v>3055</v>
      </c>
      <c r="I561" s="3058" t="s">
        <v>3072</v>
      </c>
    </row>
    <row r="562" spans="1:10">
      <c r="A562" s="3059">
        <v>2186</v>
      </c>
      <c r="B562" s="3058" t="s">
        <v>3073</v>
      </c>
      <c r="D562" s="3058">
        <v>2004</v>
      </c>
      <c r="E562" s="3058">
        <v>127.93</v>
      </c>
      <c r="F562" s="3058">
        <v>22500</v>
      </c>
      <c r="G562" s="3059">
        <f t="shared" si="11"/>
        <v>2878425</v>
      </c>
      <c r="H562" s="3059" t="s">
        <v>3055</v>
      </c>
      <c r="I562" s="3058" t="s">
        <v>3072</v>
      </c>
    </row>
    <row r="563" spans="1:10">
      <c r="A563" s="3059">
        <v>2187</v>
      </c>
      <c r="B563" s="3058" t="s">
        <v>3073</v>
      </c>
      <c r="D563" s="3058">
        <v>2104</v>
      </c>
      <c r="E563" s="3058">
        <v>127.93</v>
      </c>
      <c r="F563" s="3058">
        <v>22500</v>
      </c>
      <c r="G563" s="3059">
        <f t="shared" si="11"/>
        <v>2878425</v>
      </c>
      <c r="H563" s="3059" t="s">
        <v>3055</v>
      </c>
      <c r="I563" s="3058" t="s">
        <v>3072</v>
      </c>
    </row>
    <row r="564" spans="1:10">
      <c r="A564" s="3059">
        <v>2188</v>
      </c>
      <c r="B564" s="3058" t="s">
        <v>3073</v>
      </c>
      <c r="D564" s="3058">
        <v>2204</v>
      </c>
      <c r="E564" s="3058">
        <v>127.93</v>
      </c>
      <c r="F564" s="3058">
        <v>22500</v>
      </c>
      <c r="G564" s="3059">
        <f t="shared" si="11"/>
        <v>2878425</v>
      </c>
      <c r="H564" s="3059" t="s">
        <v>3055</v>
      </c>
      <c r="I564" s="3058" t="s">
        <v>3072</v>
      </c>
    </row>
    <row r="565" spans="1:10">
      <c r="A565" s="3059">
        <v>2189</v>
      </c>
      <c r="B565" s="3058" t="s">
        <v>3073</v>
      </c>
      <c r="D565" s="3058">
        <v>2304</v>
      </c>
      <c r="E565" s="3058">
        <v>127.93</v>
      </c>
      <c r="F565" s="3058">
        <v>22500</v>
      </c>
      <c r="G565" s="3059">
        <f t="shared" si="11"/>
        <v>2878425</v>
      </c>
      <c r="H565" s="3059" t="s">
        <v>3055</v>
      </c>
      <c r="I565" s="3058" t="s">
        <v>3072</v>
      </c>
    </row>
    <row r="566" spans="1:10">
      <c r="A566" s="3059">
        <v>2190</v>
      </c>
      <c r="B566" s="3058" t="s">
        <v>3073</v>
      </c>
      <c r="D566" s="3058">
        <v>2404</v>
      </c>
      <c r="E566" s="3058">
        <v>127.93</v>
      </c>
      <c r="F566" s="3058">
        <v>22500</v>
      </c>
      <c r="G566" s="3059">
        <f t="shared" si="11"/>
        <v>2878425</v>
      </c>
      <c r="H566" s="3059" t="s">
        <v>3055</v>
      </c>
      <c r="I566" s="3058" t="s">
        <v>3072</v>
      </c>
    </row>
    <row r="567" spans="1:10">
      <c r="A567" s="3059">
        <v>2191</v>
      </c>
      <c r="B567" s="3058" t="s">
        <v>3073</v>
      </c>
      <c r="D567" s="3058">
        <v>2504</v>
      </c>
      <c r="E567" s="3058">
        <v>127.93</v>
      </c>
      <c r="F567" s="3058">
        <v>22500</v>
      </c>
      <c r="G567" s="3059">
        <f t="shared" si="11"/>
        <v>2878425</v>
      </c>
      <c r="H567" s="3059" t="s">
        <v>3055</v>
      </c>
      <c r="I567" s="3058" t="s">
        <v>3072</v>
      </c>
    </row>
    <row r="568" spans="1:10">
      <c r="A568" s="3059">
        <v>2192</v>
      </c>
      <c r="B568" s="3058" t="s">
        <v>3073</v>
      </c>
      <c r="D568" s="3058">
        <v>2604</v>
      </c>
      <c r="E568" s="3058">
        <v>127.93</v>
      </c>
      <c r="F568" s="3058">
        <v>22500</v>
      </c>
      <c r="G568" s="3059">
        <f t="shared" si="11"/>
        <v>2878425</v>
      </c>
      <c r="H568" s="3059" t="s">
        <v>3055</v>
      </c>
      <c r="I568" s="3058" t="s">
        <v>3072</v>
      </c>
      <c r="J568" s="3058">
        <f>SUM(E469:E568)</f>
        <v>12492.000000000016</v>
      </c>
    </row>
    <row r="571" spans="1:10">
      <c r="A571" s="3061"/>
    </row>
  </sheetData>
  <phoneticPr fontId="141" type="noConversion"/>
  <pageMargins left="0.75" right="0.75" top="1" bottom="1" header="0.51180555555555551" footer="0.51180555555555551"/>
  <pageSetup paperSize="9" orientation="portrait" horizontalDpi="1200" verticalDpi="1200" r:id="rId1"/>
  <headerFooter scaleWithDoc="0"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15"/>
  <sheetViews>
    <sheetView topLeftCell="A1380" zoomScaleSheetLayoutView="100" workbookViewId="0">
      <selection activeCell="L21" sqref="L21"/>
    </sheetView>
  </sheetViews>
  <sheetFormatPr defaultRowHeight="14.25"/>
  <cols>
    <col min="1" max="3" width="9" style="3058"/>
    <col min="4" max="4" width="13.375" style="3058" bestFit="1" customWidth="1"/>
    <col min="5" max="16384" width="9" style="3058"/>
  </cols>
  <sheetData>
    <row r="1" spans="1:9">
      <c r="A1" s="3059">
        <v>211</v>
      </c>
      <c r="B1" s="3062" t="s">
        <v>3291</v>
      </c>
      <c r="C1" s="3062"/>
      <c r="D1" s="3062" t="s">
        <v>4508</v>
      </c>
      <c r="E1" s="3058">
        <v>13.78</v>
      </c>
      <c r="F1" s="3058">
        <v>100000</v>
      </c>
      <c r="G1" s="3059">
        <v>100000</v>
      </c>
      <c r="H1" s="3059" t="s">
        <v>3090</v>
      </c>
      <c r="I1" s="3058" t="s">
        <v>3054</v>
      </c>
    </row>
    <row r="2" spans="1:9">
      <c r="A2" s="3059">
        <v>212</v>
      </c>
      <c r="B2" s="3062" t="s">
        <v>3291</v>
      </c>
      <c r="C2" s="3062"/>
      <c r="D2" s="3062" t="s">
        <v>4507</v>
      </c>
      <c r="E2" s="3058">
        <v>13.78</v>
      </c>
      <c r="F2" s="3058">
        <v>100000</v>
      </c>
      <c r="G2" s="3059">
        <v>100000</v>
      </c>
      <c r="H2" s="3059" t="s">
        <v>3090</v>
      </c>
      <c r="I2" s="3058" t="s">
        <v>3054</v>
      </c>
    </row>
    <row r="3" spans="1:9">
      <c r="A3" s="3059">
        <v>213</v>
      </c>
      <c r="B3" s="3062" t="s">
        <v>3291</v>
      </c>
      <c r="C3" s="3062"/>
      <c r="D3" s="3062" t="s">
        <v>4506</v>
      </c>
      <c r="E3" s="3058">
        <v>12.72</v>
      </c>
      <c r="F3" s="3058">
        <v>100000</v>
      </c>
      <c r="G3" s="3059">
        <v>100000</v>
      </c>
      <c r="H3" s="3059" t="s">
        <v>3090</v>
      </c>
      <c r="I3" s="3058" t="s">
        <v>3054</v>
      </c>
    </row>
    <row r="4" spans="1:9">
      <c r="A4" s="3059">
        <v>214</v>
      </c>
      <c r="B4" s="3062" t="s">
        <v>3291</v>
      </c>
      <c r="C4" s="3062"/>
      <c r="D4" s="3062" t="s">
        <v>4505</v>
      </c>
      <c r="E4" s="3058">
        <v>12.72</v>
      </c>
      <c r="F4" s="3058">
        <v>100000</v>
      </c>
      <c r="G4" s="3059">
        <v>100000</v>
      </c>
      <c r="H4" s="3059" t="s">
        <v>3090</v>
      </c>
      <c r="I4" s="3058" t="s">
        <v>3054</v>
      </c>
    </row>
    <row r="5" spans="1:9">
      <c r="A5" s="3059">
        <v>215</v>
      </c>
      <c r="B5" s="3062" t="s">
        <v>3291</v>
      </c>
      <c r="C5" s="3062"/>
      <c r="D5" s="3062" t="s">
        <v>4504</v>
      </c>
      <c r="E5" s="3058">
        <v>12.72</v>
      </c>
      <c r="F5" s="3058">
        <v>100000</v>
      </c>
      <c r="G5" s="3059">
        <v>100000</v>
      </c>
      <c r="H5" s="3059" t="s">
        <v>3090</v>
      </c>
      <c r="I5" s="3058" t="s">
        <v>3054</v>
      </c>
    </row>
    <row r="6" spans="1:9">
      <c r="A6" s="3059">
        <v>216</v>
      </c>
      <c r="B6" s="3062" t="s">
        <v>3291</v>
      </c>
      <c r="C6" s="3062"/>
      <c r="D6" s="3062" t="s">
        <v>4503</v>
      </c>
      <c r="E6" s="3058">
        <v>12.72</v>
      </c>
      <c r="F6" s="3058">
        <v>100000</v>
      </c>
      <c r="G6" s="3059">
        <v>100000</v>
      </c>
      <c r="H6" s="3059" t="s">
        <v>3090</v>
      </c>
      <c r="I6" s="3058" t="s">
        <v>3054</v>
      </c>
    </row>
    <row r="7" spans="1:9">
      <c r="A7" s="3059">
        <v>217</v>
      </c>
      <c r="B7" s="3062" t="s">
        <v>3291</v>
      </c>
      <c r="C7" s="3062"/>
      <c r="D7" s="3062" t="s">
        <v>4502</v>
      </c>
      <c r="E7" s="3058">
        <v>12.72</v>
      </c>
      <c r="F7" s="3058">
        <v>100000</v>
      </c>
      <c r="G7" s="3059">
        <v>100000</v>
      </c>
      <c r="H7" s="3059" t="s">
        <v>3090</v>
      </c>
      <c r="I7" s="3058" t="s">
        <v>3054</v>
      </c>
    </row>
    <row r="8" spans="1:9">
      <c r="A8" s="3059">
        <v>218</v>
      </c>
      <c r="B8" s="3062" t="s">
        <v>3291</v>
      </c>
      <c r="C8" s="3062"/>
      <c r="D8" s="3062" t="s">
        <v>4501</v>
      </c>
      <c r="E8" s="3058">
        <v>12.72</v>
      </c>
      <c r="F8" s="3058">
        <v>100000</v>
      </c>
      <c r="G8" s="3059">
        <v>100000</v>
      </c>
      <c r="H8" s="3059" t="s">
        <v>3090</v>
      </c>
      <c r="I8" s="3058" t="s">
        <v>3054</v>
      </c>
    </row>
    <row r="9" spans="1:9">
      <c r="A9" s="3059">
        <v>219</v>
      </c>
      <c r="B9" s="3062" t="s">
        <v>3291</v>
      </c>
      <c r="C9" s="3062"/>
      <c r="D9" s="3062" t="s">
        <v>4500</v>
      </c>
      <c r="E9" s="3058">
        <v>12.72</v>
      </c>
      <c r="F9" s="3058">
        <v>100000</v>
      </c>
      <c r="G9" s="3059">
        <v>100000</v>
      </c>
      <c r="H9" s="3059" t="s">
        <v>3090</v>
      </c>
      <c r="I9" s="3058" t="s">
        <v>3054</v>
      </c>
    </row>
    <row r="10" spans="1:9">
      <c r="A10" s="3059">
        <v>220</v>
      </c>
      <c r="B10" s="3062" t="s">
        <v>3291</v>
      </c>
      <c r="C10" s="3062"/>
      <c r="D10" s="3062" t="s">
        <v>4499</v>
      </c>
      <c r="E10" s="3058">
        <v>12.72</v>
      </c>
      <c r="F10" s="3058">
        <v>100000</v>
      </c>
      <c r="G10" s="3059">
        <v>100000</v>
      </c>
      <c r="H10" s="3059" t="s">
        <v>3090</v>
      </c>
      <c r="I10" s="3058" t="s">
        <v>3054</v>
      </c>
    </row>
    <row r="11" spans="1:9">
      <c r="A11" s="3059">
        <v>221</v>
      </c>
      <c r="B11" s="3062" t="s">
        <v>3291</v>
      </c>
      <c r="C11" s="3062"/>
      <c r="D11" s="3062" t="s">
        <v>4498</v>
      </c>
      <c r="E11" s="3058">
        <v>12.72</v>
      </c>
      <c r="F11" s="3058">
        <v>100000</v>
      </c>
      <c r="G11" s="3059">
        <v>100000</v>
      </c>
      <c r="H11" s="3059" t="s">
        <v>3090</v>
      </c>
      <c r="I11" s="3058" t="s">
        <v>3054</v>
      </c>
    </row>
    <row r="12" spans="1:9">
      <c r="A12" s="3059">
        <v>222</v>
      </c>
      <c r="B12" s="3062" t="s">
        <v>3291</v>
      </c>
      <c r="C12" s="3062"/>
      <c r="D12" s="3062" t="s">
        <v>4497</v>
      </c>
      <c r="E12" s="3058">
        <v>12.72</v>
      </c>
      <c r="F12" s="3058">
        <v>100000</v>
      </c>
      <c r="G12" s="3059">
        <v>100000</v>
      </c>
      <c r="H12" s="3059" t="s">
        <v>3090</v>
      </c>
      <c r="I12" s="3058" t="s">
        <v>3054</v>
      </c>
    </row>
    <row r="13" spans="1:9">
      <c r="A13" s="3059">
        <v>223</v>
      </c>
      <c r="B13" s="3062" t="s">
        <v>3291</v>
      </c>
      <c r="C13" s="3062"/>
      <c r="D13" s="3062" t="s">
        <v>4496</v>
      </c>
      <c r="E13" s="3058">
        <v>12.72</v>
      </c>
      <c r="F13" s="3058">
        <v>100000</v>
      </c>
      <c r="G13" s="3059">
        <v>100000</v>
      </c>
      <c r="H13" s="3059" t="s">
        <v>3090</v>
      </c>
      <c r="I13" s="3058" t="s">
        <v>3054</v>
      </c>
    </row>
    <row r="14" spans="1:9">
      <c r="A14" s="3059">
        <v>224</v>
      </c>
      <c r="B14" s="3062" t="s">
        <v>3291</v>
      </c>
      <c r="C14" s="3062"/>
      <c r="D14" s="3062" t="s">
        <v>4495</v>
      </c>
      <c r="E14" s="3058">
        <v>12.72</v>
      </c>
      <c r="F14" s="3058">
        <v>100000</v>
      </c>
      <c r="G14" s="3059">
        <v>100000</v>
      </c>
      <c r="H14" s="3059" t="s">
        <v>3090</v>
      </c>
      <c r="I14" s="3058" t="s">
        <v>3054</v>
      </c>
    </row>
    <row r="15" spans="1:9">
      <c r="A15" s="3059">
        <v>225</v>
      </c>
      <c r="B15" s="3062" t="s">
        <v>3291</v>
      </c>
      <c r="C15" s="3062"/>
      <c r="D15" s="3062" t="s">
        <v>4494</v>
      </c>
      <c r="E15" s="3058">
        <v>12.72</v>
      </c>
      <c r="F15" s="3058">
        <v>100000</v>
      </c>
      <c r="G15" s="3059">
        <v>100000</v>
      </c>
      <c r="H15" s="3059" t="s">
        <v>3090</v>
      </c>
      <c r="I15" s="3058" t="s">
        <v>3054</v>
      </c>
    </row>
    <row r="16" spans="1:9">
      <c r="A16" s="3059">
        <v>226</v>
      </c>
      <c r="B16" s="3062" t="s">
        <v>3291</v>
      </c>
      <c r="C16" s="3062"/>
      <c r="D16" s="3062" t="s">
        <v>4493</v>
      </c>
      <c r="E16" s="3058">
        <v>12.72</v>
      </c>
      <c r="F16" s="3058">
        <v>100000</v>
      </c>
      <c r="G16" s="3059">
        <v>100000</v>
      </c>
      <c r="H16" s="3059" t="s">
        <v>3090</v>
      </c>
      <c r="I16" s="3058" t="s">
        <v>3054</v>
      </c>
    </row>
    <row r="17" spans="1:9">
      <c r="A17" s="3059">
        <v>227</v>
      </c>
      <c r="B17" s="3062" t="s">
        <v>3291</v>
      </c>
      <c r="C17" s="3062"/>
      <c r="D17" s="3062" t="s">
        <v>4492</v>
      </c>
      <c r="E17" s="3058">
        <v>12.72</v>
      </c>
      <c r="F17" s="3058">
        <v>100000</v>
      </c>
      <c r="G17" s="3059">
        <v>100000</v>
      </c>
      <c r="H17" s="3059" t="s">
        <v>3090</v>
      </c>
      <c r="I17" s="3058" t="s">
        <v>3054</v>
      </c>
    </row>
    <row r="18" spans="1:9">
      <c r="A18" s="3059">
        <v>228</v>
      </c>
      <c r="B18" s="3062" t="s">
        <v>3291</v>
      </c>
      <c r="C18" s="3062"/>
      <c r="D18" s="3062" t="s">
        <v>4491</v>
      </c>
      <c r="E18" s="3058">
        <v>9.4600000000000009</v>
      </c>
      <c r="F18" s="3058">
        <v>100000</v>
      </c>
      <c r="G18" s="3059">
        <v>100000</v>
      </c>
      <c r="H18" s="3059" t="s">
        <v>3090</v>
      </c>
      <c r="I18" s="3058" t="s">
        <v>3054</v>
      </c>
    </row>
    <row r="19" spans="1:9">
      <c r="A19" s="3059">
        <v>229</v>
      </c>
      <c r="B19" s="3062" t="s">
        <v>3291</v>
      </c>
      <c r="C19" s="3062"/>
      <c r="D19" s="3062" t="s">
        <v>4490</v>
      </c>
      <c r="E19" s="3058">
        <v>12.72</v>
      </c>
      <c r="F19" s="3058">
        <v>100000</v>
      </c>
      <c r="G19" s="3059">
        <v>100000</v>
      </c>
      <c r="H19" s="3059" t="s">
        <v>3090</v>
      </c>
      <c r="I19" s="3058" t="s">
        <v>3054</v>
      </c>
    </row>
    <row r="20" spans="1:9">
      <c r="A20" s="3059">
        <v>230</v>
      </c>
      <c r="B20" s="3062" t="s">
        <v>3291</v>
      </c>
      <c r="C20" s="3062"/>
      <c r="D20" s="3062" t="s">
        <v>4489</v>
      </c>
      <c r="E20" s="3058">
        <v>12.72</v>
      </c>
      <c r="F20" s="3058">
        <v>100000</v>
      </c>
      <c r="G20" s="3059">
        <v>100000</v>
      </c>
      <c r="H20" s="3059" t="s">
        <v>3090</v>
      </c>
      <c r="I20" s="3058" t="s">
        <v>3054</v>
      </c>
    </row>
    <row r="21" spans="1:9">
      <c r="A21" s="3059">
        <v>231</v>
      </c>
      <c r="B21" s="3062" t="s">
        <v>3291</v>
      </c>
      <c r="C21" s="3062"/>
      <c r="D21" s="3062" t="s">
        <v>4488</v>
      </c>
      <c r="E21" s="3058">
        <v>13.78</v>
      </c>
      <c r="F21" s="3058">
        <v>100000</v>
      </c>
      <c r="G21" s="3059">
        <v>100000</v>
      </c>
      <c r="H21" s="3059" t="s">
        <v>3090</v>
      </c>
      <c r="I21" s="3058" t="s">
        <v>3054</v>
      </c>
    </row>
    <row r="22" spans="1:9">
      <c r="A22" s="3059">
        <v>232</v>
      </c>
      <c r="B22" s="3062" t="s">
        <v>3291</v>
      </c>
      <c r="C22" s="3062"/>
      <c r="D22" s="3062" t="s">
        <v>4487</v>
      </c>
      <c r="E22" s="3058">
        <v>12.72</v>
      </c>
      <c r="F22" s="3058">
        <v>100000</v>
      </c>
      <c r="G22" s="3059">
        <v>100000</v>
      </c>
      <c r="H22" s="3059" t="s">
        <v>3090</v>
      </c>
      <c r="I22" s="3058" t="s">
        <v>3054</v>
      </c>
    </row>
    <row r="23" spans="1:9">
      <c r="A23" s="3059">
        <v>233</v>
      </c>
      <c r="B23" s="3062" t="s">
        <v>3291</v>
      </c>
      <c r="C23" s="3062"/>
      <c r="D23" s="3062" t="s">
        <v>4486</v>
      </c>
      <c r="E23" s="3058">
        <v>12.72</v>
      </c>
      <c r="F23" s="3058">
        <v>100000</v>
      </c>
      <c r="G23" s="3059">
        <v>100000</v>
      </c>
      <c r="H23" s="3059" t="s">
        <v>3090</v>
      </c>
      <c r="I23" s="3058" t="s">
        <v>3054</v>
      </c>
    </row>
    <row r="24" spans="1:9">
      <c r="A24" s="3059">
        <v>234</v>
      </c>
      <c r="B24" s="3062" t="s">
        <v>3291</v>
      </c>
      <c r="C24" s="3062"/>
      <c r="D24" s="3062" t="s">
        <v>4485</v>
      </c>
      <c r="E24" s="3058">
        <v>13.78</v>
      </c>
      <c r="F24" s="3058">
        <v>100000</v>
      </c>
      <c r="G24" s="3059">
        <v>100000</v>
      </c>
      <c r="H24" s="3059" t="s">
        <v>3090</v>
      </c>
      <c r="I24" s="3058" t="s">
        <v>3054</v>
      </c>
    </row>
    <row r="25" spans="1:9">
      <c r="A25" s="3059">
        <v>235</v>
      </c>
      <c r="B25" s="3062" t="s">
        <v>3291</v>
      </c>
      <c r="C25" s="3062"/>
      <c r="D25" s="3062" t="s">
        <v>4484</v>
      </c>
      <c r="E25" s="3058">
        <v>12.72</v>
      </c>
      <c r="F25" s="3058">
        <v>100000</v>
      </c>
      <c r="G25" s="3059">
        <v>100000</v>
      </c>
      <c r="H25" s="3059" t="s">
        <v>3090</v>
      </c>
      <c r="I25" s="3058" t="s">
        <v>3054</v>
      </c>
    </row>
    <row r="26" spans="1:9">
      <c r="A26" s="3059">
        <v>236</v>
      </c>
      <c r="B26" s="3062" t="s">
        <v>3291</v>
      </c>
      <c r="C26" s="3062"/>
      <c r="D26" s="3062" t="s">
        <v>4483</v>
      </c>
      <c r="E26" s="3058">
        <v>12.72</v>
      </c>
      <c r="F26" s="3058">
        <v>100000</v>
      </c>
      <c r="G26" s="3059">
        <v>100000</v>
      </c>
      <c r="H26" s="3059" t="s">
        <v>3090</v>
      </c>
      <c r="I26" s="3058" t="s">
        <v>3054</v>
      </c>
    </row>
    <row r="27" spans="1:9">
      <c r="A27" s="3059">
        <v>237</v>
      </c>
      <c r="B27" s="3062" t="s">
        <v>3291</v>
      </c>
      <c r="C27" s="3062"/>
      <c r="D27" s="3062" t="s">
        <v>4482</v>
      </c>
      <c r="E27" s="3058">
        <v>13.78</v>
      </c>
      <c r="F27" s="3058">
        <v>100000</v>
      </c>
      <c r="G27" s="3059">
        <v>100000</v>
      </c>
      <c r="H27" s="3059" t="s">
        <v>3090</v>
      </c>
      <c r="I27" s="3058" t="s">
        <v>3054</v>
      </c>
    </row>
    <row r="28" spans="1:9">
      <c r="A28" s="3059">
        <v>238</v>
      </c>
      <c r="B28" s="3062" t="s">
        <v>3291</v>
      </c>
      <c r="C28" s="3062"/>
      <c r="D28" s="3062" t="s">
        <v>4481</v>
      </c>
      <c r="E28" s="3058">
        <v>12.72</v>
      </c>
      <c r="F28" s="3058">
        <v>100000</v>
      </c>
      <c r="G28" s="3059">
        <v>100000</v>
      </c>
      <c r="H28" s="3059" t="s">
        <v>3090</v>
      </c>
      <c r="I28" s="3058" t="s">
        <v>3054</v>
      </c>
    </row>
    <row r="29" spans="1:9">
      <c r="A29" s="3059">
        <v>239</v>
      </c>
      <c r="B29" s="3062" t="s">
        <v>3291</v>
      </c>
      <c r="C29" s="3062"/>
      <c r="D29" s="3062" t="s">
        <v>4480</v>
      </c>
      <c r="E29" s="3058">
        <v>12.72</v>
      </c>
      <c r="F29" s="3058">
        <v>100000</v>
      </c>
      <c r="G29" s="3059">
        <v>100000</v>
      </c>
      <c r="H29" s="3059" t="s">
        <v>3090</v>
      </c>
      <c r="I29" s="3058" t="s">
        <v>3054</v>
      </c>
    </row>
    <row r="30" spans="1:9">
      <c r="A30" s="3059">
        <v>240</v>
      </c>
      <c r="B30" s="3062" t="s">
        <v>3291</v>
      </c>
      <c r="C30" s="3062"/>
      <c r="D30" s="3062" t="s">
        <v>4479</v>
      </c>
      <c r="E30" s="3058">
        <v>13.78</v>
      </c>
      <c r="F30" s="3058">
        <v>100000</v>
      </c>
      <c r="G30" s="3059">
        <v>100000</v>
      </c>
      <c r="H30" s="3059" t="s">
        <v>3090</v>
      </c>
      <c r="I30" s="3058" t="s">
        <v>3054</v>
      </c>
    </row>
    <row r="31" spans="1:9">
      <c r="A31" s="3059">
        <v>241</v>
      </c>
      <c r="B31" s="3062" t="s">
        <v>3291</v>
      </c>
      <c r="C31" s="3062"/>
      <c r="D31" s="3062" t="s">
        <v>4478</v>
      </c>
      <c r="E31" s="3058">
        <v>12.72</v>
      </c>
      <c r="F31" s="3058">
        <v>100000</v>
      </c>
      <c r="G31" s="3059">
        <v>100000</v>
      </c>
      <c r="H31" s="3059" t="s">
        <v>3090</v>
      </c>
      <c r="I31" s="3058" t="s">
        <v>3054</v>
      </c>
    </row>
    <row r="32" spans="1:9">
      <c r="A32" s="3059">
        <v>242</v>
      </c>
      <c r="B32" s="3062" t="s">
        <v>3291</v>
      </c>
      <c r="C32" s="3062"/>
      <c r="D32" s="3062" t="s">
        <v>4477</v>
      </c>
      <c r="E32" s="3058">
        <v>12.72</v>
      </c>
      <c r="F32" s="3058">
        <v>100000</v>
      </c>
      <c r="G32" s="3059">
        <v>100000</v>
      </c>
      <c r="H32" s="3059" t="s">
        <v>3090</v>
      </c>
      <c r="I32" s="3058" t="s">
        <v>3054</v>
      </c>
    </row>
    <row r="33" spans="1:9">
      <c r="A33" s="3059">
        <v>243</v>
      </c>
      <c r="B33" s="3062" t="s">
        <v>3291</v>
      </c>
      <c r="C33" s="3062"/>
      <c r="D33" s="3062" t="s">
        <v>4476</v>
      </c>
      <c r="E33" s="3058">
        <v>12.72</v>
      </c>
      <c r="F33" s="3058">
        <v>100000</v>
      </c>
      <c r="G33" s="3059">
        <v>100000</v>
      </c>
      <c r="H33" s="3059" t="s">
        <v>3090</v>
      </c>
      <c r="I33" s="3058" t="s">
        <v>3054</v>
      </c>
    </row>
    <row r="34" spans="1:9">
      <c r="A34" s="3059">
        <v>244</v>
      </c>
      <c r="B34" s="3062" t="s">
        <v>3291</v>
      </c>
      <c r="C34" s="3062"/>
      <c r="D34" s="3062" t="s">
        <v>4475</v>
      </c>
      <c r="E34" s="3058">
        <v>12.72</v>
      </c>
      <c r="F34" s="3058">
        <v>100000</v>
      </c>
      <c r="G34" s="3059">
        <v>100000</v>
      </c>
      <c r="H34" s="3059" t="s">
        <v>3090</v>
      </c>
      <c r="I34" s="3058" t="s">
        <v>3054</v>
      </c>
    </row>
    <row r="35" spans="1:9">
      <c r="A35" s="3059">
        <v>245</v>
      </c>
      <c r="B35" s="3062" t="s">
        <v>3291</v>
      </c>
      <c r="C35" s="3062"/>
      <c r="D35" s="3062" t="s">
        <v>4474</v>
      </c>
      <c r="E35" s="3058">
        <v>12.72</v>
      </c>
      <c r="F35" s="3058">
        <v>100000</v>
      </c>
      <c r="G35" s="3059">
        <v>100000</v>
      </c>
      <c r="H35" s="3059" t="s">
        <v>3090</v>
      </c>
      <c r="I35" s="3058" t="s">
        <v>3054</v>
      </c>
    </row>
    <row r="36" spans="1:9">
      <c r="A36" s="3059">
        <v>246</v>
      </c>
      <c r="B36" s="3062" t="s">
        <v>3291</v>
      </c>
      <c r="C36" s="3062"/>
      <c r="D36" s="3062" t="s">
        <v>4473</v>
      </c>
      <c r="E36" s="3058">
        <v>9.4600000000000009</v>
      </c>
      <c r="F36" s="3058">
        <v>100000</v>
      </c>
      <c r="G36" s="3059">
        <v>100000</v>
      </c>
      <c r="H36" s="3059" t="s">
        <v>3090</v>
      </c>
      <c r="I36" s="3058" t="s">
        <v>3054</v>
      </c>
    </row>
    <row r="37" spans="1:9">
      <c r="A37" s="3059">
        <v>247</v>
      </c>
      <c r="B37" s="3062" t="s">
        <v>3291</v>
      </c>
      <c r="C37" s="3062"/>
      <c r="D37" s="3062" t="s">
        <v>4472</v>
      </c>
      <c r="E37" s="3058">
        <v>12.72</v>
      </c>
      <c r="F37" s="3058">
        <v>100000</v>
      </c>
      <c r="G37" s="3059">
        <v>100000</v>
      </c>
      <c r="H37" s="3059" t="s">
        <v>3090</v>
      </c>
      <c r="I37" s="3058" t="s">
        <v>3054</v>
      </c>
    </row>
    <row r="38" spans="1:9">
      <c r="A38" s="3059">
        <v>248</v>
      </c>
      <c r="B38" s="3062" t="s">
        <v>3291</v>
      </c>
      <c r="C38" s="3062"/>
      <c r="D38" s="3062" t="s">
        <v>4471</v>
      </c>
      <c r="E38" s="3058">
        <v>12.72</v>
      </c>
      <c r="F38" s="3058">
        <v>100000</v>
      </c>
      <c r="G38" s="3059">
        <v>100000</v>
      </c>
      <c r="H38" s="3059" t="s">
        <v>3090</v>
      </c>
      <c r="I38" s="3058" t="s">
        <v>3054</v>
      </c>
    </row>
    <row r="39" spans="1:9">
      <c r="A39" s="3059">
        <v>249</v>
      </c>
      <c r="B39" s="3062" t="s">
        <v>3291</v>
      </c>
      <c r="C39" s="3062"/>
      <c r="D39" s="3062" t="s">
        <v>4470</v>
      </c>
      <c r="E39" s="3058">
        <v>12.72</v>
      </c>
      <c r="F39" s="3058">
        <v>100000</v>
      </c>
      <c r="G39" s="3059">
        <v>100000</v>
      </c>
      <c r="H39" s="3059" t="s">
        <v>3090</v>
      </c>
      <c r="I39" s="3058" t="s">
        <v>3054</v>
      </c>
    </row>
    <row r="40" spans="1:9">
      <c r="A40" s="3059">
        <v>250</v>
      </c>
      <c r="B40" s="3062" t="s">
        <v>3291</v>
      </c>
      <c r="C40" s="3062"/>
      <c r="D40" s="3062" t="s">
        <v>4469</v>
      </c>
      <c r="E40" s="3058">
        <v>12.72</v>
      </c>
      <c r="F40" s="3058">
        <v>100000</v>
      </c>
      <c r="G40" s="3059">
        <v>100000</v>
      </c>
      <c r="H40" s="3059" t="s">
        <v>3090</v>
      </c>
      <c r="I40" s="3058" t="s">
        <v>3054</v>
      </c>
    </row>
    <row r="41" spans="1:9">
      <c r="A41" s="3059">
        <v>251</v>
      </c>
      <c r="B41" s="3062" t="s">
        <v>3291</v>
      </c>
      <c r="C41" s="3062"/>
      <c r="D41" s="3062" t="s">
        <v>4468</v>
      </c>
      <c r="E41" s="3058">
        <v>12.72</v>
      </c>
      <c r="F41" s="3058">
        <v>100000</v>
      </c>
      <c r="G41" s="3059">
        <v>100000</v>
      </c>
      <c r="H41" s="3059" t="s">
        <v>3090</v>
      </c>
      <c r="I41" s="3058" t="s">
        <v>3054</v>
      </c>
    </row>
    <row r="42" spans="1:9">
      <c r="A42" s="3059">
        <v>252</v>
      </c>
      <c r="B42" s="3062" t="s">
        <v>3291</v>
      </c>
      <c r="C42" s="3062"/>
      <c r="D42" s="3062" t="s">
        <v>4467</v>
      </c>
      <c r="E42" s="3058">
        <v>12.72</v>
      </c>
      <c r="F42" s="3058">
        <v>100000</v>
      </c>
      <c r="G42" s="3059">
        <v>100000</v>
      </c>
      <c r="H42" s="3059" t="s">
        <v>3090</v>
      </c>
      <c r="I42" s="3058" t="s">
        <v>3054</v>
      </c>
    </row>
    <row r="43" spans="1:9">
      <c r="A43" s="3059">
        <v>253</v>
      </c>
      <c r="B43" s="3062" t="s">
        <v>3291</v>
      </c>
      <c r="C43" s="3062"/>
      <c r="D43" s="3062" t="s">
        <v>4466</v>
      </c>
      <c r="E43" s="3058">
        <v>13.78</v>
      </c>
      <c r="F43" s="3058">
        <v>100000</v>
      </c>
      <c r="G43" s="3059">
        <v>100000</v>
      </c>
      <c r="H43" s="3059" t="s">
        <v>3090</v>
      </c>
      <c r="I43" s="3058" t="s">
        <v>3054</v>
      </c>
    </row>
    <row r="44" spans="1:9">
      <c r="A44" s="3059">
        <v>254</v>
      </c>
      <c r="B44" s="3062" t="s">
        <v>3291</v>
      </c>
      <c r="C44" s="3062"/>
      <c r="D44" s="3062" t="s">
        <v>4465</v>
      </c>
      <c r="E44" s="3058">
        <v>12.72</v>
      </c>
      <c r="F44" s="3058">
        <v>100000</v>
      </c>
      <c r="G44" s="3059">
        <v>100000</v>
      </c>
      <c r="H44" s="3059" t="s">
        <v>3090</v>
      </c>
      <c r="I44" s="3058" t="s">
        <v>3054</v>
      </c>
    </row>
    <row r="45" spans="1:9">
      <c r="A45" s="3059">
        <v>255</v>
      </c>
      <c r="B45" s="3062" t="s">
        <v>3291</v>
      </c>
      <c r="C45" s="3062"/>
      <c r="D45" s="3062" t="s">
        <v>4464</v>
      </c>
      <c r="E45" s="3058">
        <v>12.72</v>
      </c>
      <c r="F45" s="3058">
        <v>100000</v>
      </c>
      <c r="G45" s="3059">
        <v>100000</v>
      </c>
      <c r="H45" s="3059" t="s">
        <v>3090</v>
      </c>
      <c r="I45" s="3058" t="s">
        <v>3054</v>
      </c>
    </row>
    <row r="46" spans="1:9">
      <c r="A46" s="3059">
        <v>256</v>
      </c>
      <c r="B46" s="3062" t="s">
        <v>3291</v>
      </c>
      <c r="C46" s="3062"/>
      <c r="D46" s="3062" t="s">
        <v>4463</v>
      </c>
      <c r="E46" s="3058">
        <v>13.78</v>
      </c>
      <c r="F46" s="3058">
        <v>100000</v>
      </c>
      <c r="G46" s="3059">
        <v>100000</v>
      </c>
      <c r="H46" s="3059" t="s">
        <v>3090</v>
      </c>
      <c r="I46" s="3058" t="s">
        <v>3054</v>
      </c>
    </row>
    <row r="47" spans="1:9">
      <c r="A47" s="3059">
        <v>257</v>
      </c>
      <c r="B47" s="3062" t="s">
        <v>3291</v>
      </c>
      <c r="C47" s="3062"/>
      <c r="D47" s="3062" t="s">
        <v>4462</v>
      </c>
      <c r="E47" s="3058">
        <v>12.72</v>
      </c>
      <c r="F47" s="3058">
        <v>100000</v>
      </c>
      <c r="G47" s="3059">
        <v>100000</v>
      </c>
      <c r="H47" s="3059" t="s">
        <v>3090</v>
      </c>
      <c r="I47" s="3058" t="s">
        <v>3054</v>
      </c>
    </row>
    <row r="48" spans="1:9">
      <c r="A48" s="3059">
        <v>258</v>
      </c>
      <c r="B48" s="3062" t="s">
        <v>3291</v>
      </c>
      <c r="C48" s="3062"/>
      <c r="D48" s="3062" t="s">
        <v>4461</v>
      </c>
      <c r="E48" s="3058">
        <v>12.72</v>
      </c>
      <c r="F48" s="3058">
        <v>100000</v>
      </c>
      <c r="G48" s="3059">
        <v>100000</v>
      </c>
      <c r="H48" s="3059" t="s">
        <v>3090</v>
      </c>
      <c r="I48" s="3058" t="s">
        <v>3054</v>
      </c>
    </row>
    <row r="49" spans="1:9">
      <c r="A49" s="3059">
        <v>259</v>
      </c>
      <c r="B49" s="3062" t="s">
        <v>3291</v>
      </c>
      <c r="C49" s="3062"/>
      <c r="D49" s="3062" t="s">
        <v>4460</v>
      </c>
      <c r="E49" s="3058">
        <v>13.78</v>
      </c>
      <c r="F49" s="3058">
        <v>100000</v>
      </c>
      <c r="G49" s="3059">
        <v>100000</v>
      </c>
      <c r="H49" s="3059" t="s">
        <v>3090</v>
      </c>
      <c r="I49" s="3058" t="s">
        <v>3054</v>
      </c>
    </row>
    <row r="50" spans="1:9">
      <c r="A50" s="3059">
        <v>260</v>
      </c>
      <c r="B50" s="3062" t="s">
        <v>3291</v>
      </c>
      <c r="C50" s="3062"/>
      <c r="D50" s="3062" t="s">
        <v>4459</v>
      </c>
      <c r="E50" s="3058">
        <v>13.78</v>
      </c>
      <c r="F50" s="3058">
        <v>100000</v>
      </c>
      <c r="G50" s="3059">
        <v>100000</v>
      </c>
      <c r="H50" s="3059" t="s">
        <v>3090</v>
      </c>
      <c r="I50" s="3058" t="s">
        <v>3054</v>
      </c>
    </row>
    <row r="51" spans="1:9">
      <c r="A51" s="3059">
        <v>261</v>
      </c>
      <c r="B51" s="3062" t="s">
        <v>3291</v>
      </c>
      <c r="C51" s="3062"/>
      <c r="D51" s="3062" t="s">
        <v>4458</v>
      </c>
      <c r="E51" s="3058">
        <v>13.78</v>
      </c>
      <c r="F51" s="3058">
        <v>100000</v>
      </c>
      <c r="G51" s="3059">
        <v>100000</v>
      </c>
      <c r="H51" s="3059" t="s">
        <v>3090</v>
      </c>
      <c r="I51" s="3058" t="s">
        <v>3054</v>
      </c>
    </row>
    <row r="52" spans="1:9">
      <c r="A52" s="3059">
        <v>262</v>
      </c>
      <c r="B52" s="3062" t="s">
        <v>3291</v>
      </c>
      <c r="C52" s="3062"/>
      <c r="D52" s="3062" t="s">
        <v>4457</v>
      </c>
      <c r="E52" s="3058">
        <v>12.72</v>
      </c>
      <c r="F52" s="3058">
        <v>100000</v>
      </c>
      <c r="G52" s="3059">
        <v>100000</v>
      </c>
      <c r="H52" s="3059" t="s">
        <v>3090</v>
      </c>
      <c r="I52" s="3058" t="s">
        <v>3054</v>
      </c>
    </row>
    <row r="53" spans="1:9">
      <c r="A53" s="3059">
        <v>263</v>
      </c>
      <c r="B53" s="3062" t="s">
        <v>3291</v>
      </c>
      <c r="C53" s="3062"/>
      <c r="D53" s="3062" t="s">
        <v>4456</v>
      </c>
      <c r="E53" s="3058">
        <v>12.72</v>
      </c>
      <c r="F53" s="3058">
        <v>100000</v>
      </c>
      <c r="G53" s="3059">
        <v>100000</v>
      </c>
      <c r="H53" s="3059" t="s">
        <v>3090</v>
      </c>
      <c r="I53" s="3058" t="s">
        <v>3054</v>
      </c>
    </row>
    <row r="54" spans="1:9">
      <c r="A54" s="3059">
        <v>264</v>
      </c>
      <c r="B54" s="3062" t="s">
        <v>3291</v>
      </c>
      <c r="C54" s="3062"/>
      <c r="D54" s="3062" t="s">
        <v>4455</v>
      </c>
      <c r="E54" s="3058">
        <v>12.72</v>
      </c>
      <c r="F54" s="3058">
        <v>100000</v>
      </c>
      <c r="G54" s="3059">
        <v>100000</v>
      </c>
      <c r="H54" s="3059" t="s">
        <v>3090</v>
      </c>
      <c r="I54" s="3058" t="s">
        <v>3054</v>
      </c>
    </row>
    <row r="55" spans="1:9">
      <c r="A55" s="3059">
        <v>265</v>
      </c>
      <c r="B55" s="3062" t="s">
        <v>3291</v>
      </c>
      <c r="C55" s="3062"/>
      <c r="D55" s="3062" t="s">
        <v>4454</v>
      </c>
      <c r="E55" s="3058">
        <v>12.72</v>
      </c>
      <c r="F55" s="3058">
        <v>100000</v>
      </c>
      <c r="G55" s="3059">
        <v>100000</v>
      </c>
      <c r="H55" s="3059" t="s">
        <v>3090</v>
      </c>
      <c r="I55" s="3058" t="s">
        <v>3054</v>
      </c>
    </row>
    <row r="56" spans="1:9">
      <c r="A56" s="3059">
        <v>266</v>
      </c>
      <c r="B56" s="3062" t="s">
        <v>3291</v>
      </c>
      <c r="C56" s="3062"/>
      <c r="D56" s="3062" t="s">
        <v>4453</v>
      </c>
      <c r="E56" s="3058">
        <v>12.72</v>
      </c>
      <c r="F56" s="3058">
        <v>100000</v>
      </c>
      <c r="G56" s="3059">
        <v>100000</v>
      </c>
      <c r="H56" s="3059" t="s">
        <v>3090</v>
      </c>
      <c r="I56" s="3058" t="s">
        <v>3054</v>
      </c>
    </row>
    <row r="57" spans="1:9">
      <c r="A57" s="3059">
        <v>267</v>
      </c>
      <c r="B57" s="3062" t="s">
        <v>3291</v>
      </c>
      <c r="C57" s="3062"/>
      <c r="D57" s="3062" t="s">
        <v>4452</v>
      </c>
      <c r="E57" s="3058">
        <v>12.72</v>
      </c>
      <c r="F57" s="3058">
        <v>100000</v>
      </c>
      <c r="G57" s="3059">
        <v>100000</v>
      </c>
      <c r="H57" s="3059" t="s">
        <v>3090</v>
      </c>
      <c r="I57" s="3058" t="s">
        <v>3054</v>
      </c>
    </row>
    <row r="58" spans="1:9">
      <c r="A58" s="3059">
        <v>268</v>
      </c>
      <c r="B58" s="3062" t="s">
        <v>3291</v>
      </c>
      <c r="C58" s="3062"/>
      <c r="D58" s="3062" t="s">
        <v>4451</v>
      </c>
      <c r="E58" s="3058">
        <v>12.72</v>
      </c>
      <c r="F58" s="3058">
        <v>100000</v>
      </c>
      <c r="G58" s="3059">
        <v>100000</v>
      </c>
      <c r="H58" s="3059" t="s">
        <v>3090</v>
      </c>
      <c r="I58" s="3058" t="s">
        <v>3054</v>
      </c>
    </row>
    <row r="59" spans="1:9">
      <c r="A59" s="3059">
        <v>269</v>
      </c>
      <c r="B59" s="3062" t="s">
        <v>3291</v>
      </c>
      <c r="C59" s="3062"/>
      <c r="D59" s="3062" t="s">
        <v>4450</v>
      </c>
      <c r="E59" s="3058">
        <v>12.72</v>
      </c>
      <c r="F59" s="3058">
        <v>100000</v>
      </c>
      <c r="G59" s="3059">
        <v>100000</v>
      </c>
      <c r="H59" s="3059" t="s">
        <v>3090</v>
      </c>
      <c r="I59" s="3058" t="s">
        <v>3054</v>
      </c>
    </row>
    <row r="60" spans="1:9">
      <c r="A60" s="3059">
        <v>270</v>
      </c>
      <c r="B60" s="3062" t="s">
        <v>3291</v>
      </c>
      <c r="C60" s="3062"/>
      <c r="D60" s="3062" t="s">
        <v>4449</v>
      </c>
      <c r="E60" s="3058">
        <v>12.72</v>
      </c>
      <c r="F60" s="3058">
        <v>100000</v>
      </c>
      <c r="G60" s="3059">
        <v>100000</v>
      </c>
      <c r="H60" s="3059" t="s">
        <v>3090</v>
      </c>
      <c r="I60" s="3058" t="s">
        <v>3054</v>
      </c>
    </row>
    <row r="61" spans="1:9">
      <c r="A61" s="3059">
        <v>271</v>
      </c>
      <c r="B61" s="3062" t="s">
        <v>3291</v>
      </c>
      <c r="C61" s="3062"/>
      <c r="D61" s="3062" t="s">
        <v>4448</v>
      </c>
      <c r="E61" s="3058">
        <v>12.72</v>
      </c>
      <c r="F61" s="3058">
        <v>100000</v>
      </c>
      <c r="G61" s="3059">
        <v>100000</v>
      </c>
      <c r="H61" s="3059" t="s">
        <v>3090</v>
      </c>
      <c r="I61" s="3058" t="s">
        <v>3054</v>
      </c>
    </row>
    <row r="62" spans="1:9">
      <c r="A62" s="3059">
        <v>272</v>
      </c>
      <c r="B62" s="3062" t="s">
        <v>3291</v>
      </c>
      <c r="C62" s="3062"/>
      <c r="D62" s="3062" t="s">
        <v>4447</v>
      </c>
      <c r="E62" s="3058">
        <v>12.72</v>
      </c>
      <c r="F62" s="3058">
        <v>100000</v>
      </c>
      <c r="G62" s="3059">
        <v>100000</v>
      </c>
      <c r="H62" s="3059" t="s">
        <v>3090</v>
      </c>
      <c r="I62" s="3058" t="s">
        <v>3054</v>
      </c>
    </row>
    <row r="63" spans="1:9">
      <c r="A63" s="3059">
        <v>273</v>
      </c>
      <c r="B63" s="3062" t="s">
        <v>3291</v>
      </c>
      <c r="C63" s="3062"/>
      <c r="D63" s="3062" t="s">
        <v>4446</v>
      </c>
      <c r="E63" s="3058">
        <v>13.78</v>
      </c>
      <c r="F63" s="3058">
        <v>100000</v>
      </c>
      <c r="G63" s="3059">
        <v>100000</v>
      </c>
      <c r="H63" s="3059" t="s">
        <v>3090</v>
      </c>
      <c r="I63" s="3058" t="s">
        <v>3054</v>
      </c>
    </row>
    <row r="64" spans="1:9">
      <c r="A64" s="3059">
        <v>274</v>
      </c>
      <c r="B64" s="3062" t="s">
        <v>3291</v>
      </c>
      <c r="C64" s="3062"/>
      <c r="D64" s="3062" t="s">
        <v>4445</v>
      </c>
      <c r="E64" s="3058">
        <v>12.72</v>
      </c>
      <c r="F64" s="3058">
        <v>100000</v>
      </c>
      <c r="G64" s="3059">
        <v>100000</v>
      </c>
      <c r="H64" s="3059" t="s">
        <v>3090</v>
      </c>
      <c r="I64" s="3058" t="s">
        <v>3054</v>
      </c>
    </row>
    <row r="65" spans="1:9">
      <c r="A65" s="3059">
        <v>275</v>
      </c>
      <c r="B65" s="3062" t="s">
        <v>3291</v>
      </c>
      <c r="C65" s="3062"/>
      <c r="D65" s="3062" t="s">
        <v>4444</v>
      </c>
      <c r="E65" s="3058">
        <v>12.72</v>
      </c>
      <c r="F65" s="3058">
        <v>100000</v>
      </c>
      <c r="G65" s="3059">
        <v>100000</v>
      </c>
      <c r="H65" s="3059" t="s">
        <v>3090</v>
      </c>
      <c r="I65" s="3058" t="s">
        <v>3054</v>
      </c>
    </row>
    <row r="66" spans="1:9">
      <c r="A66" s="3059">
        <v>276</v>
      </c>
      <c r="B66" s="3062" t="s">
        <v>3291</v>
      </c>
      <c r="C66" s="3062"/>
      <c r="D66" s="3062" t="s">
        <v>4443</v>
      </c>
      <c r="E66" s="3058">
        <v>13.78</v>
      </c>
      <c r="F66" s="3058">
        <v>100000</v>
      </c>
      <c r="G66" s="3059">
        <v>100000</v>
      </c>
      <c r="H66" s="3059" t="s">
        <v>3090</v>
      </c>
      <c r="I66" s="3058" t="s">
        <v>3054</v>
      </c>
    </row>
    <row r="67" spans="1:9">
      <c r="A67" s="3059">
        <v>277</v>
      </c>
      <c r="B67" s="3062" t="s">
        <v>3291</v>
      </c>
      <c r="C67" s="3062"/>
      <c r="D67" s="3062" t="s">
        <v>4442</v>
      </c>
      <c r="E67" s="3058">
        <v>12.72</v>
      </c>
      <c r="F67" s="3058">
        <v>100000</v>
      </c>
      <c r="G67" s="3059">
        <v>100000</v>
      </c>
      <c r="H67" s="3059" t="s">
        <v>3090</v>
      </c>
      <c r="I67" s="3058" t="s">
        <v>3054</v>
      </c>
    </row>
    <row r="68" spans="1:9">
      <c r="A68" s="3059">
        <v>278</v>
      </c>
      <c r="B68" s="3062" t="s">
        <v>3291</v>
      </c>
      <c r="C68" s="3062"/>
      <c r="D68" s="3062" t="s">
        <v>4441</v>
      </c>
      <c r="E68" s="3058">
        <v>12.72</v>
      </c>
      <c r="F68" s="3058">
        <v>100000</v>
      </c>
      <c r="G68" s="3059">
        <v>100000</v>
      </c>
      <c r="H68" s="3059" t="s">
        <v>3090</v>
      </c>
      <c r="I68" s="3058" t="s">
        <v>3054</v>
      </c>
    </row>
    <row r="69" spans="1:9">
      <c r="A69" s="3059">
        <v>279</v>
      </c>
      <c r="B69" s="3062" t="s">
        <v>3291</v>
      </c>
      <c r="C69" s="3062"/>
      <c r="D69" s="3062" t="s">
        <v>4440</v>
      </c>
      <c r="E69" s="3058">
        <v>13.78</v>
      </c>
      <c r="F69" s="3058">
        <v>100000</v>
      </c>
      <c r="G69" s="3059">
        <v>100000</v>
      </c>
      <c r="H69" s="3059" t="s">
        <v>3090</v>
      </c>
      <c r="I69" s="3058" t="s">
        <v>3054</v>
      </c>
    </row>
    <row r="70" spans="1:9">
      <c r="A70" s="3059">
        <v>280</v>
      </c>
      <c r="B70" s="3062" t="s">
        <v>3291</v>
      </c>
      <c r="C70" s="3062"/>
      <c r="D70" s="3062" t="s">
        <v>4439</v>
      </c>
      <c r="E70" s="3058">
        <v>13.78</v>
      </c>
      <c r="F70" s="3058">
        <v>100000</v>
      </c>
      <c r="G70" s="3059">
        <v>100000</v>
      </c>
      <c r="H70" s="3059" t="s">
        <v>3090</v>
      </c>
      <c r="I70" s="3058" t="s">
        <v>3054</v>
      </c>
    </row>
    <row r="71" spans="1:9">
      <c r="A71" s="3059">
        <v>281</v>
      </c>
      <c r="B71" s="3062" t="s">
        <v>3291</v>
      </c>
      <c r="C71" s="3062"/>
      <c r="D71" s="3062" t="s">
        <v>4438</v>
      </c>
      <c r="E71" s="3058">
        <v>13.78</v>
      </c>
      <c r="F71" s="3058">
        <v>100000</v>
      </c>
      <c r="G71" s="3059">
        <v>100000</v>
      </c>
      <c r="H71" s="3059" t="s">
        <v>3090</v>
      </c>
      <c r="I71" s="3058" t="s">
        <v>3054</v>
      </c>
    </row>
    <row r="72" spans="1:9">
      <c r="A72" s="3059">
        <v>282</v>
      </c>
      <c r="B72" s="3062" t="s">
        <v>3291</v>
      </c>
      <c r="C72" s="3062"/>
      <c r="D72" s="3062" t="s">
        <v>4437</v>
      </c>
      <c r="E72" s="3058">
        <v>12.72</v>
      </c>
      <c r="F72" s="3058">
        <v>100000</v>
      </c>
      <c r="G72" s="3059">
        <v>100000</v>
      </c>
      <c r="H72" s="3059" t="s">
        <v>3090</v>
      </c>
      <c r="I72" s="3058" t="s">
        <v>3054</v>
      </c>
    </row>
    <row r="73" spans="1:9">
      <c r="A73" s="3059">
        <v>283</v>
      </c>
      <c r="B73" s="3062" t="s">
        <v>3291</v>
      </c>
      <c r="C73" s="3062"/>
      <c r="D73" s="3062" t="s">
        <v>4436</v>
      </c>
      <c r="E73" s="3058">
        <v>12.72</v>
      </c>
      <c r="F73" s="3058">
        <v>100000</v>
      </c>
      <c r="G73" s="3059">
        <v>100000</v>
      </c>
      <c r="H73" s="3059" t="s">
        <v>3090</v>
      </c>
      <c r="I73" s="3058" t="s">
        <v>3054</v>
      </c>
    </row>
    <row r="74" spans="1:9">
      <c r="A74" s="3059">
        <v>284</v>
      </c>
      <c r="B74" s="3062" t="s">
        <v>3291</v>
      </c>
      <c r="C74" s="3062"/>
      <c r="D74" s="3062" t="s">
        <v>4435</v>
      </c>
      <c r="E74" s="3058">
        <v>12.72</v>
      </c>
      <c r="F74" s="3058">
        <v>100000</v>
      </c>
      <c r="G74" s="3059">
        <v>100000</v>
      </c>
      <c r="H74" s="3059" t="s">
        <v>3090</v>
      </c>
      <c r="I74" s="3058" t="s">
        <v>3054</v>
      </c>
    </row>
    <row r="75" spans="1:9">
      <c r="A75" s="3059">
        <v>285</v>
      </c>
      <c r="B75" s="3062" t="s">
        <v>3291</v>
      </c>
      <c r="C75" s="3062"/>
      <c r="D75" s="3062" t="s">
        <v>4434</v>
      </c>
      <c r="E75" s="3058">
        <v>12.72</v>
      </c>
      <c r="F75" s="3058">
        <v>100000</v>
      </c>
      <c r="G75" s="3059">
        <v>100000</v>
      </c>
      <c r="H75" s="3059" t="s">
        <v>3090</v>
      </c>
      <c r="I75" s="3058" t="s">
        <v>3054</v>
      </c>
    </row>
    <row r="76" spans="1:9">
      <c r="A76" s="3059">
        <v>286</v>
      </c>
      <c r="B76" s="3062" t="s">
        <v>3291</v>
      </c>
      <c r="C76" s="3062"/>
      <c r="D76" s="3062" t="s">
        <v>4433</v>
      </c>
      <c r="E76" s="3058">
        <v>12.72</v>
      </c>
      <c r="F76" s="3058">
        <v>100000</v>
      </c>
      <c r="G76" s="3059">
        <v>100000</v>
      </c>
      <c r="H76" s="3059" t="s">
        <v>3090</v>
      </c>
      <c r="I76" s="3058" t="s">
        <v>3054</v>
      </c>
    </row>
    <row r="77" spans="1:9">
      <c r="A77" s="3059">
        <v>287</v>
      </c>
      <c r="B77" s="3062" t="s">
        <v>3291</v>
      </c>
      <c r="C77" s="3062"/>
      <c r="D77" s="3062" t="s">
        <v>4432</v>
      </c>
      <c r="E77" s="3058">
        <v>12.72</v>
      </c>
      <c r="F77" s="3058">
        <v>100000</v>
      </c>
      <c r="G77" s="3059">
        <v>100000</v>
      </c>
      <c r="H77" s="3059" t="s">
        <v>3090</v>
      </c>
      <c r="I77" s="3058" t="s">
        <v>3054</v>
      </c>
    </row>
    <row r="78" spans="1:9">
      <c r="A78" s="3059">
        <v>288</v>
      </c>
      <c r="B78" s="3062" t="s">
        <v>3291</v>
      </c>
      <c r="C78" s="3062"/>
      <c r="D78" s="3062" t="s">
        <v>4431</v>
      </c>
      <c r="E78" s="3058">
        <v>12.72</v>
      </c>
      <c r="F78" s="3058">
        <v>100000</v>
      </c>
      <c r="G78" s="3059">
        <v>100000</v>
      </c>
      <c r="H78" s="3059" t="s">
        <v>3090</v>
      </c>
      <c r="I78" s="3058" t="s">
        <v>3054</v>
      </c>
    </row>
    <row r="79" spans="1:9">
      <c r="A79" s="3059">
        <v>289</v>
      </c>
      <c r="B79" s="3062" t="s">
        <v>3291</v>
      </c>
      <c r="C79" s="3062"/>
      <c r="D79" s="3062" t="s">
        <v>4430</v>
      </c>
      <c r="E79" s="3058">
        <v>12.72</v>
      </c>
      <c r="F79" s="3058">
        <v>100000</v>
      </c>
      <c r="G79" s="3059">
        <v>100000</v>
      </c>
      <c r="H79" s="3059" t="s">
        <v>3090</v>
      </c>
      <c r="I79" s="3058" t="s">
        <v>3054</v>
      </c>
    </row>
    <row r="80" spans="1:9">
      <c r="A80" s="3059">
        <v>290</v>
      </c>
      <c r="B80" s="3062" t="s">
        <v>3291</v>
      </c>
      <c r="C80" s="3062"/>
      <c r="D80" s="3062" t="s">
        <v>4429</v>
      </c>
      <c r="E80" s="3058">
        <v>12.72</v>
      </c>
      <c r="F80" s="3058">
        <v>100000</v>
      </c>
      <c r="G80" s="3059">
        <v>100000</v>
      </c>
      <c r="H80" s="3059" t="s">
        <v>3090</v>
      </c>
      <c r="I80" s="3058" t="s">
        <v>3054</v>
      </c>
    </row>
    <row r="81" spans="1:9">
      <c r="A81" s="3059">
        <v>291</v>
      </c>
      <c r="B81" s="3062" t="s">
        <v>3254</v>
      </c>
      <c r="C81" s="3062"/>
      <c r="D81" s="3062" t="s">
        <v>4428</v>
      </c>
      <c r="E81" s="3058">
        <v>12.72</v>
      </c>
      <c r="F81" s="3058">
        <v>100000</v>
      </c>
      <c r="G81" s="3059">
        <v>100000</v>
      </c>
      <c r="H81" s="3059" t="s">
        <v>3090</v>
      </c>
      <c r="I81" s="3058" t="s">
        <v>3054</v>
      </c>
    </row>
    <row r="82" spans="1:9">
      <c r="A82" s="3059">
        <v>292</v>
      </c>
      <c r="B82" s="3062" t="s">
        <v>3254</v>
      </c>
      <c r="C82" s="3062"/>
      <c r="D82" s="3062" t="s">
        <v>4427</v>
      </c>
      <c r="E82" s="3058">
        <v>12.72</v>
      </c>
      <c r="F82" s="3058">
        <v>100000</v>
      </c>
      <c r="G82" s="3059">
        <v>100000</v>
      </c>
      <c r="H82" s="3059" t="s">
        <v>3090</v>
      </c>
      <c r="I82" s="3058" t="s">
        <v>3054</v>
      </c>
    </row>
    <row r="83" spans="1:9">
      <c r="A83" s="3059">
        <v>293</v>
      </c>
      <c r="B83" s="3062" t="s">
        <v>3254</v>
      </c>
      <c r="C83" s="3062"/>
      <c r="D83" s="3062" t="s">
        <v>4426</v>
      </c>
      <c r="E83" s="3058">
        <v>13.78</v>
      </c>
      <c r="F83" s="3058">
        <v>100000</v>
      </c>
      <c r="G83" s="3059">
        <v>100000</v>
      </c>
      <c r="H83" s="3059" t="s">
        <v>3090</v>
      </c>
      <c r="I83" s="3058" t="s">
        <v>3054</v>
      </c>
    </row>
    <row r="84" spans="1:9">
      <c r="A84" s="3059">
        <v>294</v>
      </c>
      <c r="B84" s="3062" t="s">
        <v>3254</v>
      </c>
      <c r="C84" s="3062"/>
      <c r="D84" s="3062" t="s">
        <v>4425</v>
      </c>
      <c r="E84" s="3058">
        <v>12.72</v>
      </c>
      <c r="F84" s="3058">
        <v>100000</v>
      </c>
      <c r="G84" s="3059">
        <v>100000</v>
      </c>
      <c r="H84" s="3059" t="s">
        <v>3090</v>
      </c>
      <c r="I84" s="3058" t="s">
        <v>3054</v>
      </c>
    </row>
    <row r="85" spans="1:9">
      <c r="A85" s="3059">
        <v>295</v>
      </c>
      <c r="B85" s="3062" t="s">
        <v>3254</v>
      </c>
      <c r="C85" s="3062"/>
      <c r="D85" s="3062" t="s">
        <v>4424</v>
      </c>
      <c r="E85" s="3058">
        <v>12.72</v>
      </c>
      <c r="F85" s="3058">
        <v>100000</v>
      </c>
      <c r="G85" s="3059">
        <v>100000</v>
      </c>
      <c r="H85" s="3059" t="s">
        <v>3090</v>
      </c>
      <c r="I85" s="3058" t="s">
        <v>3054</v>
      </c>
    </row>
    <row r="86" spans="1:9">
      <c r="A86" s="3059">
        <v>296</v>
      </c>
      <c r="B86" s="3062" t="s">
        <v>3254</v>
      </c>
      <c r="C86" s="3062"/>
      <c r="D86" s="3062" t="s">
        <v>4423</v>
      </c>
      <c r="E86" s="3058">
        <v>13.78</v>
      </c>
      <c r="F86" s="3058">
        <v>100000</v>
      </c>
      <c r="G86" s="3059">
        <v>100000</v>
      </c>
      <c r="H86" s="3059" t="s">
        <v>3090</v>
      </c>
      <c r="I86" s="3058" t="s">
        <v>3054</v>
      </c>
    </row>
    <row r="87" spans="1:9">
      <c r="A87" s="3059">
        <v>297</v>
      </c>
      <c r="B87" s="3062" t="s">
        <v>3254</v>
      </c>
      <c r="C87" s="3062"/>
      <c r="D87" s="3062" t="s">
        <v>4422</v>
      </c>
      <c r="E87" s="3058">
        <v>12.72</v>
      </c>
      <c r="F87" s="3058">
        <v>100000</v>
      </c>
      <c r="G87" s="3059">
        <v>100000</v>
      </c>
      <c r="H87" s="3059" t="s">
        <v>3090</v>
      </c>
      <c r="I87" s="3058" t="s">
        <v>3054</v>
      </c>
    </row>
    <row r="88" spans="1:9">
      <c r="A88" s="3059">
        <v>298</v>
      </c>
      <c r="B88" s="3062" t="s">
        <v>3254</v>
      </c>
      <c r="C88" s="3062"/>
      <c r="D88" s="3062" t="s">
        <v>4421</v>
      </c>
      <c r="E88" s="3058">
        <v>12.72</v>
      </c>
      <c r="F88" s="3058">
        <v>100000</v>
      </c>
      <c r="G88" s="3059">
        <v>100000</v>
      </c>
      <c r="H88" s="3059" t="s">
        <v>3090</v>
      </c>
      <c r="I88" s="3058" t="s">
        <v>3054</v>
      </c>
    </row>
    <row r="89" spans="1:9">
      <c r="A89" s="3059">
        <v>299</v>
      </c>
      <c r="B89" s="3062" t="s">
        <v>3254</v>
      </c>
      <c r="C89" s="3062"/>
      <c r="D89" s="3062" t="s">
        <v>4420</v>
      </c>
      <c r="E89" s="3058">
        <v>13.78</v>
      </c>
      <c r="F89" s="3058">
        <v>100000</v>
      </c>
      <c r="G89" s="3059">
        <v>100000</v>
      </c>
      <c r="H89" s="3059" t="s">
        <v>3090</v>
      </c>
      <c r="I89" s="3058" t="s">
        <v>3054</v>
      </c>
    </row>
    <row r="90" spans="1:9">
      <c r="A90" s="3059">
        <v>300</v>
      </c>
      <c r="B90" s="3062" t="s">
        <v>3254</v>
      </c>
      <c r="C90" s="3062"/>
      <c r="D90" s="3062" t="s">
        <v>4419</v>
      </c>
      <c r="E90" s="3058">
        <v>13.78</v>
      </c>
      <c r="F90" s="3058">
        <v>100000</v>
      </c>
      <c r="G90" s="3059">
        <v>100000</v>
      </c>
      <c r="H90" s="3059" t="s">
        <v>3090</v>
      </c>
      <c r="I90" s="3058" t="s">
        <v>3054</v>
      </c>
    </row>
    <row r="91" spans="1:9">
      <c r="A91" s="3059">
        <v>301</v>
      </c>
      <c r="B91" s="3062" t="s">
        <v>3254</v>
      </c>
      <c r="C91" s="3062"/>
      <c r="D91" s="3062" t="s">
        <v>4418</v>
      </c>
      <c r="E91" s="3058">
        <v>13.78</v>
      </c>
      <c r="F91" s="3058">
        <v>100000</v>
      </c>
      <c r="G91" s="3059">
        <v>100000</v>
      </c>
      <c r="H91" s="3059" t="s">
        <v>3090</v>
      </c>
      <c r="I91" s="3058" t="s">
        <v>3054</v>
      </c>
    </row>
    <row r="92" spans="1:9">
      <c r="A92" s="3059">
        <v>302</v>
      </c>
      <c r="B92" s="3062" t="s">
        <v>3254</v>
      </c>
      <c r="C92" s="3062"/>
      <c r="D92" s="3062" t="s">
        <v>4417</v>
      </c>
      <c r="E92" s="3058">
        <v>12.72</v>
      </c>
      <c r="F92" s="3058">
        <v>100000</v>
      </c>
      <c r="G92" s="3059">
        <v>100000</v>
      </c>
      <c r="H92" s="3059" t="s">
        <v>3090</v>
      </c>
      <c r="I92" s="3058" t="s">
        <v>3054</v>
      </c>
    </row>
    <row r="93" spans="1:9">
      <c r="A93" s="3059">
        <v>303</v>
      </c>
      <c r="B93" s="3062" t="s">
        <v>3254</v>
      </c>
      <c r="C93" s="3062"/>
      <c r="D93" s="3062" t="s">
        <v>4416</v>
      </c>
      <c r="E93" s="3058">
        <v>12.72</v>
      </c>
      <c r="F93" s="3058">
        <v>100000</v>
      </c>
      <c r="G93" s="3059">
        <v>100000</v>
      </c>
      <c r="H93" s="3059" t="s">
        <v>3090</v>
      </c>
      <c r="I93" s="3058" t="s">
        <v>3054</v>
      </c>
    </row>
    <row r="94" spans="1:9">
      <c r="A94" s="3059">
        <v>304</v>
      </c>
      <c r="B94" s="3062" t="s">
        <v>3254</v>
      </c>
      <c r="C94" s="3062"/>
      <c r="D94" s="3062" t="s">
        <v>4415</v>
      </c>
      <c r="E94" s="3058">
        <v>12.72</v>
      </c>
      <c r="F94" s="3058">
        <v>100000</v>
      </c>
      <c r="G94" s="3059">
        <v>100000</v>
      </c>
      <c r="H94" s="3059" t="s">
        <v>3090</v>
      </c>
      <c r="I94" s="3058" t="s">
        <v>3054</v>
      </c>
    </row>
    <row r="95" spans="1:9">
      <c r="A95" s="3059">
        <v>305</v>
      </c>
      <c r="B95" s="3062" t="s">
        <v>3254</v>
      </c>
      <c r="C95" s="3062"/>
      <c r="D95" s="3062" t="s">
        <v>4414</v>
      </c>
      <c r="E95" s="3058">
        <v>12.72</v>
      </c>
      <c r="F95" s="3058">
        <v>100000</v>
      </c>
      <c r="G95" s="3059">
        <v>100000</v>
      </c>
      <c r="H95" s="3059" t="s">
        <v>3090</v>
      </c>
      <c r="I95" s="3058" t="s">
        <v>3054</v>
      </c>
    </row>
    <row r="96" spans="1:9">
      <c r="A96" s="3059">
        <v>306</v>
      </c>
      <c r="B96" s="3062" t="s">
        <v>3254</v>
      </c>
      <c r="C96" s="3062"/>
      <c r="D96" s="3062" t="s">
        <v>4413</v>
      </c>
      <c r="E96" s="3058">
        <v>12.72</v>
      </c>
      <c r="F96" s="3058">
        <v>100000</v>
      </c>
      <c r="G96" s="3059">
        <v>100000</v>
      </c>
      <c r="H96" s="3059" t="s">
        <v>3090</v>
      </c>
      <c r="I96" s="3058" t="s">
        <v>3054</v>
      </c>
    </row>
    <row r="97" spans="1:9">
      <c r="A97" s="3059">
        <v>307</v>
      </c>
      <c r="B97" s="3062" t="s">
        <v>3254</v>
      </c>
      <c r="C97" s="3062"/>
      <c r="D97" s="3062" t="s">
        <v>4412</v>
      </c>
      <c r="E97" s="3058">
        <v>12.72</v>
      </c>
      <c r="F97" s="3058">
        <v>100000</v>
      </c>
      <c r="G97" s="3059">
        <v>100000</v>
      </c>
      <c r="H97" s="3059" t="s">
        <v>3090</v>
      </c>
      <c r="I97" s="3058" t="s">
        <v>3054</v>
      </c>
    </row>
    <row r="98" spans="1:9">
      <c r="A98" s="3059">
        <v>308</v>
      </c>
      <c r="B98" s="3062" t="s">
        <v>3254</v>
      </c>
      <c r="C98" s="3062"/>
      <c r="D98" s="3062" t="s">
        <v>4411</v>
      </c>
      <c r="E98" s="3058">
        <v>12.72</v>
      </c>
      <c r="F98" s="3058">
        <v>100000</v>
      </c>
      <c r="G98" s="3059">
        <v>100000</v>
      </c>
      <c r="H98" s="3059" t="s">
        <v>3090</v>
      </c>
      <c r="I98" s="3058" t="s">
        <v>3054</v>
      </c>
    </row>
    <row r="99" spans="1:9">
      <c r="A99" s="3059">
        <v>309</v>
      </c>
      <c r="B99" s="3062" t="s">
        <v>3254</v>
      </c>
      <c r="C99" s="3062"/>
      <c r="D99" s="3062" t="s">
        <v>4410</v>
      </c>
      <c r="E99" s="3058">
        <v>12.72</v>
      </c>
      <c r="F99" s="3058">
        <v>100000</v>
      </c>
      <c r="G99" s="3059">
        <v>100000</v>
      </c>
      <c r="H99" s="3059" t="s">
        <v>3090</v>
      </c>
      <c r="I99" s="3058" t="s">
        <v>3054</v>
      </c>
    </row>
    <row r="100" spans="1:9">
      <c r="A100" s="3059">
        <v>310</v>
      </c>
      <c r="B100" s="3062" t="s">
        <v>3254</v>
      </c>
      <c r="C100" s="3062"/>
      <c r="D100" s="3062" t="s">
        <v>4409</v>
      </c>
      <c r="E100" s="3058">
        <v>12.72</v>
      </c>
      <c r="F100" s="3058">
        <v>100000</v>
      </c>
      <c r="G100" s="3059">
        <v>100000</v>
      </c>
      <c r="H100" s="3059" t="s">
        <v>3090</v>
      </c>
      <c r="I100" s="3058" t="s">
        <v>3054</v>
      </c>
    </row>
    <row r="101" spans="1:9">
      <c r="A101" s="3059">
        <v>311</v>
      </c>
      <c r="B101" s="3062" t="s">
        <v>3254</v>
      </c>
      <c r="C101" s="3062"/>
      <c r="D101" s="3062" t="s">
        <v>4408</v>
      </c>
      <c r="E101" s="3058">
        <v>12.72</v>
      </c>
      <c r="F101" s="3058">
        <v>100000</v>
      </c>
      <c r="G101" s="3059">
        <v>100000</v>
      </c>
      <c r="H101" s="3059" t="s">
        <v>3090</v>
      </c>
      <c r="I101" s="3058" t="s">
        <v>3054</v>
      </c>
    </row>
    <row r="102" spans="1:9">
      <c r="A102" s="3059">
        <v>312</v>
      </c>
      <c r="B102" s="3062" t="s">
        <v>3254</v>
      </c>
      <c r="C102" s="3062"/>
      <c r="D102" s="3062" t="s">
        <v>4407</v>
      </c>
      <c r="E102" s="3058">
        <v>12.72</v>
      </c>
      <c r="F102" s="3058">
        <v>100000</v>
      </c>
      <c r="G102" s="3059">
        <v>100000</v>
      </c>
      <c r="H102" s="3059" t="s">
        <v>3090</v>
      </c>
      <c r="I102" s="3058" t="s">
        <v>3054</v>
      </c>
    </row>
    <row r="103" spans="1:9">
      <c r="A103" s="3059">
        <v>313</v>
      </c>
      <c r="B103" s="3062" t="s">
        <v>3254</v>
      </c>
      <c r="C103" s="3062"/>
      <c r="D103" s="3062" t="s">
        <v>4406</v>
      </c>
      <c r="E103" s="3058">
        <v>13.78</v>
      </c>
      <c r="F103" s="3058">
        <v>100000</v>
      </c>
      <c r="G103" s="3059">
        <v>100000</v>
      </c>
      <c r="H103" s="3059" t="s">
        <v>3090</v>
      </c>
      <c r="I103" s="3058" t="s">
        <v>3054</v>
      </c>
    </row>
    <row r="104" spans="1:9">
      <c r="A104" s="3059">
        <v>314</v>
      </c>
      <c r="B104" s="3062" t="s">
        <v>3254</v>
      </c>
      <c r="C104" s="3062"/>
      <c r="D104" s="3062" t="s">
        <v>4405</v>
      </c>
      <c r="E104" s="3058">
        <v>12.72</v>
      </c>
      <c r="F104" s="3058">
        <v>100000</v>
      </c>
      <c r="G104" s="3059">
        <v>100000</v>
      </c>
      <c r="H104" s="3059" t="s">
        <v>3090</v>
      </c>
      <c r="I104" s="3058" t="s">
        <v>3054</v>
      </c>
    </row>
    <row r="105" spans="1:9">
      <c r="A105" s="3059">
        <v>315</v>
      </c>
      <c r="B105" s="3062" t="s">
        <v>3254</v>
      </c>
      <c r="C105" s="3062"/>
      <c r="D105" s="3062" t="s">
        <v>4404</v>
      </c>
      <c r="E105" s="3058">
        <v>12.72</v>
      </c>
      <c r="F105" s="3058">
        <v>100000</v>
      </c>
      <c r="G105" s="3059">
        <v>100000</v>
      </c>
      <c r="H105" s="3059" t="s">
        <v>3090</v>
      </c>
      <c r="I105" s="3058" t="s">
        <v>3054</v>
      </c>
    </row>
    <row r="106" spans="1:9">
      <c r="A106" s="3059">
        <v>316</v>
      </c>
      <c r="B106" s="3062" t="s">
        <v>3254</v>
      </c>
      <c r="C106" s="3062"/>
      <c r="D106" s="3062" t="s">
        <v>4403</v>
      </c>
      <c r="E106" s="3058">
        <v>13.78</v>
      </c>
      <c r="F106" s="3058">
        <v>100000</v>
      </c>
      <c r="G106" s="3059">
        <v>100000</v>
      </c>
      <c r="H106" s="3059" t="s">
        <v>3090</v>
      </c>
      <c r="I106" s="3058" t="s">
        <v>3054</v>
      </c>
    </row>
    <row r="107" spans="1:9">
      <c r="A107" s="3059">
        <v>317</v>
      </c>
      <c r="B107" s="3062" t="s">
        <v>3254</v>
      </c>
      <c r="C107" s="3062"/>
      <c r="D107" s="3062" t="s">
        <v>4402</v>
      </c>
      <c r="E107" s="3058">
        <v>12.72</v>
      </c>
      <c r="F107" s="3058">
        <v>100000</v>
      </c>
      <c r="G107" s="3059">
        <v>100000</v>
      </c>
      <c r="H107" s="3059" t="s">
        <v>3090</v>
      </c>
      <c r="I107" s="3058" t="s">
        <v>3054</v>
      </c>
    </row>
    <row r="108" spans="1:9">
      <c r="A108" s="3059">
        <v>318</v>
      </c>
      <c r="B108" s="3062" t="s">
        <v>3254</v>
      </c>
      <c r="C108" s="3062"/>
      <c r="D108" s="3062" t="s">
        <v>4401</v>
      </c>
      <c r="E108" s="3058">
        <v>12.72</v>
      </c>
      <c r="F108" s="3058">
        <v>100000</v>
      </c>
      <c r="G108" s="3059">
        <v>100000</v>
      </c>
      <c r="H108" s="3059" t="s">
        <v>3090</v>
      </c>
      <c r="I108" s="3058" t="s">
        <v>3054</v>
      </c>
    </row>
    <row r="109" spans="1:9">
      <c r="A109" s="3059">
        <v>319</v>
      </c>
      <c r="B109" s="3062" t="s">
        <v>3254</v>
      </c>
      <c r="C109" s="3062"/>
      <c r="D109" s="3062" t="s">
        <v>4400</v>
      </c>
      <c r="E109" s="3058">
        <v>13.78</v>
      </c>
      <c r="F109" s="3058">
        <v>100000</v>
      </c>
      <c r="G109" s="3059">
        <v>100000</v>
      </c>
      <c r="H109" s="3059" t="s">
        <v>3090</v>
      </c>
      <c r="I109" s="3058" t="s">
        <v>3054</v>
      </c>
    </row>
    <row r="110" spans="1:9">
      <c r="A110" s="3059">
        <v>320</v>
      </c>
      <c r="B110" s="3062" t="s">
        <v>3254</v>
      </c>
      <c r="C110" s="3062"/>
      <c r="D110" s="3062" t="s">
        <v>4399</v>
      </c>
      <c r="E110" s="3058">
        <v>13.78</v>
      </c>
      <c r="F110" s="3058">
        <v>100000</v>
      </c>
      <c r="G110" s="3059">
        <v>100000</v>
      </c>
      <c r="H110" s="3059" t="s">
        <v>3090</v>
      </c>
      <c r="I110" s="3058" t="s">
        <v>3054</v>
      </c>
    </row>
    <row r="111" spans="1:9">
      <c r="A111" s="3059">
        <v>321</v>
      </c>
      <c r="B111" s="3062" t="s">
        <v>3254</v>
      </c>
      <c r="C111" s="3062"/>
      <c r="D111" s="3062" t="s">
        <v>4398</v>
      </c>
      <c r="E111" s="3058">
        <v>13.78</v>
      </c>
      <c r="F111" s="3058">
        <v>100000</v>
      </c>
      <c r="G111" s="3059">
        <v>100000</v>
      </c>
      <c r="H111" s="3059" t="s">
        <v>3090</v>
      </c>
      <c r="I111" s="3058" t="s">
        <v>3054</v>
      </c>
    </row>
    <row r="112" spans="1:9">
      <c r="A112" s="3059">
        <v>322</v>
      </c>
      <c r="B112" s="3062" t="s">
        <v>3254</v>
      </c>
      <c r="C112" s="3062"/>
      <c r="D112" s="3062" t="s">
        <v>4397</v>
      </c>
      <c r="E112" s="3058">
        <v>13.78</v>
      </c>
      <c r="F112" s="3058">
        <v>100000</v>
      </c>
      <c r="G112" s="3059">
        <v>100000</v>
      </c>
      <c r="H112" s="3059" t="s">
        <v>3090</v>
      </c>
      <c r="I112" s="3058" t="s">
        <v>3054</v>
      </c>
    </row>
    <row r="113" spans="1:9">
      <c r="A113" s="3059">
        <v>323</v>
      </c>
      <c r="B113" s="3062" t="s">
        <v>3254</v>
      </c>
      <c r="C113" s="3062"/>
      <c r="D113" s="3062" t="s">
        <v>4396</v>
      </c>
      <c r="E113" s="3058">
        <v>12.72</v>
      </c>
      <c r="F113" s="3058">
        <v>100000</v>
      </c>
      <c r="G113" s="3059">
        <v>100000</v>
      </c>
      <c r="H113" s="3059" t="s">
        <v>3090</v>
      </c>
      <c r="I113" s="3058" t="s">
        <v>3054</v>
      </c>
    </row>
    <row r="114" spans="1:9">
      <c r="A114" s="3059">
        <v>324</v>
      </c>
      <c r="B114" s="3062" t="s">
        <v>3254</v>
      </c>
      <c r="C114" s="3062"/>
      <c r="D114" s="3062" t="s">
        <v>4395</v>
      </c>
      <c r="E114" s="3058">
        <v>12.72</v>
      </c>
      <c r="F114" s="3058">
        <v>100000</v>
      </c>
      <c r="G114" s="3059">
        <v>100000</v>
      </c>
      <c r="H114" s="3059" t="s">
        <v>3090</v>
      </c>
      <c r="I114" s="3058" t="s">
        <v>3054</v>
      </c>
    </row>
    <row r="115" spans="1:9">
      <c r="A115" s="3059">
        <v>325</v>
      </c>
      <c r="B115" s="3062" t="s">
        <v>3254</v>
      </c>
      <c r="C115" s="3062"/>
      <c r="D115" s="3062" t="s">
        <v>4394</v>
      </c>
      <c r="E115" s="3058">
        <v>13.78</v>
      </c>
      <c r="F115" s="3058">
        <v>100000</v>
      </c>
      <c r="G115" s="3059">
        <v>100000</v>
      </c>
      <c r="H115" s="3059" t="s">
        <v>3090</v>
      </c>
      <c r="I115" s="3058" t="s">
        <v>3054</v>
      </c>
    </row>
    <row r="116" spans="1:9">
      <c r="A116" s="3059">
        <v>326</v>
      </c>
      <c r="B116" s="3062" t="s">
        <v>3254</v>
      </c>
      <c r="C116" s="3062"/>
      <c r="D116" s="3062" t="s">
        <v>4393</v>
      </c>
      <c r="E116" s="3058">
        <v>12.72</v>
      </c>
      <c r="F116" s="3058">
        <v>100000</v>
      </c>
      <c r="G116" s="3059">
        <v>100000</v>
      </c>
      <c r="H116" s="3059" t="s">
        <v>3090</v>
      </c>
      <c r="I116" s="3058" t="s">
        <v>3054</v>
      </c>
    </row>
    <row r="117" spans="1:9">
      <c r="A117" s="3059">
        <v>327</v>
      </c>
      <c r="B117" s="3062" t="s">
        <v>3254</v>
      </c>
      <c r="C117" s="3062"/>
      <c r="D117" s="3062" t="s">
        <v>4392</v>
      </c>
      <c r="E117" s="3058">
        <v>12.72</v>
      </c>
      <c r="F117" s="3058">
        <v>100000</v>
      </c>
      <c r="G117" s="3059">
        <v>100000</v>
      </c>
      <c r="H117" s="3059" t="s">
        <v>3090</v>
      </c>
      <c r="I117" s="3058" t="s">
        <v>3054</v>
      </c>
    </row>
    <row r="118" spans="1:9">
      <c r="A118" s="3059">
        <v>328</v>
      </c>
      <c r="B118" s="3062" t="s">
        <v>3254</v>
      </c>
      <c r="C118" s="3062"/>
      <c r="D118" s="3062" t="s">
        <v>4391</v>
      </c>
      <c r="E118" s="3058">
        <v>13.78</v>
      </c>
      <c r="F118" s="3058">
        <v>100000</v>
      </c>
      <c r="G118" s="3059">
        <v>100000</v>
      </c>
      <c r="H118" s="3059" t="s">
        <v>3090</v>
      </c>
      <c r="I118" s="3058" t="s">
        <v>3054</v>
      </c>
    </row>
    <row r="119" spans="1:9">
      <c r="A119" s="3059">
        <v>329</v>
      </c>
      <c r="B119" s="3062" t="s">
        <v>3254</v>
      </c>
      <c r="C119" s="3062"/>
      <c r="D119" s="3062" t="s">
        <v>4390</v>
      </c>
      <c r="E119" s="3058">
        <v>12.72</v>
      </c>
      <c r="F119" s="3058">
        <v>100000</v>
      </c>
      <c r="G119" s="3059">
        <v>100000</v>
      </c>
      <c r="H119" s="3059" t="s">
        <v>3090</v>
      </c>
      <c r="I119" s="3058" t="s">
        <v>3054</v>
      </c>
    </row>
    <row r="120" spans="1:9">
      <c r="A120" s="3059">
        <v>330</v>
      </c>
      <c r="B120" s="3062" t="s">
        <v>3254</v>
      </c>
      <c r="C120" s="3062"/>
      <c r="D120" s="3062" t="s">
        <v>4389</v>
      </c>
      <c r="E120" s="3058">
        <v>12.72</v>
      </c>
      <c r="F120" s="3058">
        <v>100000</v>
      </c>
      <c r="G120" s="3059">
        <v>100000</v>
      </c>
      <c r="H120" s="3059" t="s">
        <v>3090</v>
      </c>
      <c r="I120" s="3058" t="s">
        <v>3054</v>
      </c>
    </row>
    <row r="121" spans="1:9">
      <c r="A121" s="3059">
        <v>331</v>
      </c>
      <c r="B121" s="3062" t="s">
        <v>3254</v>
      </c>
      <c r="C121" s="3062"/>
      <c r="D121" s="3062" t="s">
        <v>4388</v>
      </c>
      <c r="E121" s="3058">
        <v>13.78</v>
      </c>
      <c r="F121" s="3058">
        <v>100000</v>
      </c>
      <c r="G121" s="3059">
        <v>100000</v>
      </c>
      <c r="H121" s="3059" t="s">
        <v>3090</v>
      </c>
      <c r="I121" s="3058" t="s">
        <v>3054</v>
      </c>
    </row>
    <row r="122" spans="1:9">
      <c r="A122" s="3059">
        <v>332</v>
      </c>
      <c r="B122" s="3062" t="s">
        <v>3254</v>
      </c>
      <c r="C122" s="3062"/>
      <c r="D122" s="3062" t="s">
        <v>4387</v>
      </c>
      <c r="E122" s="3058">
        <v>12.72</v>
      </c>
      <c r="F122" s="3058">
        <v>100000</v>
      </c>
      <c r="G122" s="3059">
        <v>100000</v>
      </c>
      <c r="H122" s="3059" t="s">
        <v>3090</v>
      </c>
      <c r="I122" s="3058" t="s">
        <v>3054</v>
      </c>
    </row>
    <row r="123" spans="1:9">
      <c r="A123" s="3059">
        <v>333</v>
      </c>
      <c r="B123" s="3062" t="s">
        <v>3254</v>
      </c>
      <c r="C123" s="3062"/>
      <c r="D123" s="3062" t="s">
        <v>4386</v>
      </c>
      <c r="E123" s="3058">
        <v>12.72</v>
      </c>
      <c r="F123" s="3058">
        <v>100000</v>
      </c>
      <c r="G123" s="3059">
        <v>100000</v>
      </c>
      <c r="H123" s="3059" t="s">
        <v>3090</v>
      </c>
      <c r="I123" s="3058" t="s">
        <v>3054</v>
      </c>
    </row>
    <row r="124" spans="1:9">
      <c r="A124" s="3059">
        <v>334</v>
      </c>
      <c r="B124" s="3062" t="s">
        <v>3254</v>
      </c>
      <c r="C124" s="3062"/>
      <c r="D124" s="3062" t="s">
        <v>4385</v>
      </c>
      <c r="E124" s="3058">
        <v>13.78</v>
      </c>
      <c r="F124" s="3058">
        <v>100000</v>
      </c>
      <c r="G124" s="3059">
        <v>100000</v>
      </c>
      <c r="H124" s="3059" t="s">
        <v>3090</v>
      </c>
      <c r="I124" s="3058" t="s">
        <v>3054</v>
      </c>
    </row>
    <row r="125" spans="1:9">
      <c r="A125" s="3059">
        <v>335</v>
      </c>
      <c r="B125" s="3062" t="s">
        <v>3254</v>
      </c>
      <c r="C125" s="3062"/>
      <c r="D125" s="3062" t="s">
        <v>4384</v>
      </c>
      <c r="E125" s="3058">
        <v>12.72</v>
      </c>
      <c r="F125" s="3058">
        <v>100000</v>
      </c>
      <c r="G125" s="3059">
        <v>100000</v>
      </c>
      <c r="H125" s="3059" t="s">
        <v>3090</v>
      </c>
      <c r="I125" s="3058" t="s">
        <v>3054</v>
      </c>
    </row>
    <row r="126" spans="1:9">
      <c r="A126" s="3059">
        <v>336</v>
      </c>
      <c r="B126" s="3062" t="s">
        <v>3254</v>
      </c>
      <c r="C126" s="3062"/>
      <c r="D126" s="3062" t="s">
        <v>4383</v>
      </c>
      <c r="E126" s="3058">
        <v>12.72</v>
      </c>
      <c r="F126" s="3058">
        <v>100000</v>
      </c>
      <c r="G126" s="3059">
        <v>100000</v>
      </c>
      <c r="H126" s="3059" t="s">
        <v>3090</v>
      </c>
      <c r="I126" s="3058" t="s">
        <v>3054</v>
      </c>
    </row>
    <row r="127" spans="1:9">
      <c r="A127" s="3059">
        <v>337</v>
      </c>
      <c r="B127" s="3062" t="s">
        <v>3254</v>
      </c>
      <c r="C127" s="3062"/>
      <c r="D127" s="3062" t="s">
        <v>4382</v>
      </c>
      <c r="E127" s="3058">
        <v>12.72</v>
      </c>
      <c r="F127" s="3058">
        <v>100000</v>
      </c>
      <c r="G127" s="3059">
        <v>100000</v>
      </c>
      <c r="H127" s="3059" t="s">
        <v>3090</v>
      </c>
      <c r="I127" s="3058" t="s">
        <v>3054</v>
      </c>
    </row>
    <row r="128" spans="1:9">
      <c r="A128" s="3059">
        <v>338</v>
      </c>
      <c r="B128" s="3062" t="s">
        <v>3254</v>
      </c>
      <c r="C128" s="3062"/>
      <c r="D128" s="3062" t="s">
        <v>4381</v>
      </c>
      <c r="E128" s="3058">
        <v>12.72</v>
      </c>
      <c r="F128" s="3058">
        <v>100000</v>
      </c>
      <c r="G128" s="3059">
        <v>100000</v>
      </c>
      <c r="H128" s="3059" t="s">
        <v>3090</v>
      </c>
      <c r="I128" s="3058" t="s">
        <v>3054</v>
      </c>
    </row>
    <row r="129" spans="1:9">
      <c r="A129" s="3059">
        <v>339</v>
      </c>
      <c r="B129" s="3062" t="s">
        <v>3254</v>
      </c>
      <c r="C129" s="3062"/>
      <c r="D129" s="3062" t="s">
        <v>4380</v>
      </c>
      <c r="E129" s="3058">
        <v>12.72</v>
      </c>
      <c r="F129" s="3058">
        <v>100000</v>
      </c>
      <c r="G129" s="3059">
        <v>100000</v>
      </c>
      <c r="H129" s="3059" t="s">
        <v>3090</v>
      </c>
      <c r="I129" s="3058" t="s">
        <v>3054</v>
      </c>
    </row>
    <row r="130" spans="1:9">
      <c r="A130" s="3059">
        <v>340</v>
      </c>
      <c r="B130" s="3062" t="s">
        <v>3254</v>
      </c>
      <c r="C130" s="3062"/>
      <c r="D130" s="3062" t="s">
        <v>4379</v>
      </c>
      <c r="E130" s="3058">
        <v>12.72</v>
      </c>
      <c r="F130" s="3058">
        <v>100000</v>
      </c>
      <c r="G130" s="3059">
        <v>100000</v>
      </c>
      <c r="H130" s="3059" t="s">
        <v>3090</v>
      </c>
      <c r="I130" s="3058" t="s">
        <v>3054</v>
      </c>
    </row>
    <row r="131" spans="1:9">
      <c r="A131" s="3059">
        <v>341</v>
      </c>
      <c r="B131" s="3062" t="s">
        <v>3254</v>
      </c>
      <c r="C131" s="3062"/>
      <c r="D131" s="3062" t="s">
        <v>4378</v>
      </c>
      <c r="E131" s="3058">
        <v>12.72</v>
      </c>
      <c r="F131" s="3058">
        <v>100000</v>
      </c>
      <c r="G131" s="3059">
        <v>100000</v>
      </c>
      <c r="H131" s="3059" t="s">
        <v>3090</v>
      </c>
      <c r="I131" s="3058" t="s">
        <v>3054</v>
      </c>
    </row>
    <row r="132" spans="1:9">
      <c r="A132" s="3059">
        <v>342</v>
      </c>
      <c r="B132" s="3062" t="s">
        <v>3254</v>
      </c>
      <c r="C132" s="3062"/>
      <c r="D132" s="3062" t="s">
        <v>4377</v>
      </c>
      <c r="E132" s="3058">
        <v>12.72</v>
      </c>
      <c r="F132" s="3058">
        <v>100000</v>
      </c>
      <c r="G132" s="3059">
        <v>100000</v>
      </c>
      <c r="H132" s="3059" t="s">
        <v>3090</v>
      </c>
      <c r="I132" s="3058" t="s">
        <v>3054</v>
      </c>
    </row>
    <row r="133" spans="1:9">
      <c r="A133" s="3059">
        <v>343</v>
      </c>
      <c r="B133" s="3062" t="s">
        <v>3254</v>
      </c>
      <c r="C133" s="3062"/>
      <c r="D133" s="3062" t="s">
        <v>4376</v>
      </c>
      <c r="E133" s="3058">
        <v>12.72</v>
      </c>
      <c r="F133" s="3058">
        <v>100000</v>
      </c>
      <c r="G133" s="3059">
        <v>100000</v>
      </c>
      <c r="H133" s="3059" t="s">
        <v>3090</v>
      </c>
      <c r="I133" s="3058" t="s">
        <v>3054</v>
      </c>
    </row>
    <row r="134" spans="1:9">
      <c r="A134" s="3059">
        <v>344</v>
      </c>
      <c r="B134" s="3062" t="s">
        <v>3254</v>
      </c>
      <c r="C134" s="3062"/>
      <c r="D134" s="3062" t="s">
        <v>4375</v>
      </c>
      <c r="E134" s="3058">
        <v>12.72</v>
      </c>
      <c r="F134" s="3058">
        <v>100000</v>
      </c>
      <c r="G134" s="3059">
        <v>100000</v>
      </c>
      <c r="H134" s="3059" t="s">
        <v>3090</v>
      </c>
      <c r="I134" s="3058" t="s">
        <v>3054</v>
      </c>
    </row>
    <row r="135" spans="1:9">
      <c r="A135" s="3059">
        <v>345</v>
      </c>
      <c r="B135" s="3062" t="s">
        <v>3254</v>
      </c>
      <c r="C135" s="3062"/>
      <c r="D135" s="3062" t="s">
        <v>4374</v>
      </c>
      <c r="E135" s="3058">
        <v>12.72</v>
      </c>
      <c r="F135" s="3058">
        <v>100000</v>
      </c>
      <c r="G135" s="3059">
        <v>100000</v>
      </c>
      <c r="H135" s="3059" t="s">
        <v>3090</v>
      </c>
      <c r="I135" s="3058" t="s">
        <v>3054</v>
      </c>
    </row>
    <row r="136" spans="1:9">
      <c r="A136" s="3059">
        <v>346</v>
      </c>
      <c r="B136" s="3062" t="s">
        <v>3254</v>
      </c>
      <c r="C136" s="3062"/>
      <c r="D136" s="3062" t="s">
        <v>4373</v>
      </c>
      <c r="E136" s="3058">
        <v>13.78</v>
      </c>
      <c r="F136" s="3058">
        <v>100000</v>
      </c>
      <c r="G136" s="3059">
        <v>100000</v>
      </c>
      <c r="H136" s="3059" t="s">
        <v>3090</v>
      </c>
      <c r="I136" s="3058" t="s">
        <v>3054</v>
      </c>
    </row>
    <row r="137" spans="1:9">
      <c r="A137" s="3059">
        <v>347</v>
      </c>
      <c r="B137" s="3062" t="s">
        <v>3254</v>
      </c>
      <c r="C137" s="3062"/>
      <c r="D137" s="3062" t="s">
        <v>4372</v>
      </c>
      <c r="E137" s="3058">
        <v>13.78</v>
      </c>
      <c r="F137" s="3058">
        <v>100000</v>
      </c>
      <c r="G137" s="3059">
        <v>100000</v>
      </c>
      <c r="H137" s="3059" t="s">
        <v>3090</v>
      </c>
      <c r="I137" s="3058" t="s">
        <v>3054</v>
      </c>
    </row>
    <row r="138" spans="1:9">
      <c r="A138" s="3059">
        <v>348</v>
      </c>
      <c r="B138" s="3062" t="s">
        <v>3254</v>
      </c>
      <c r="C138" s="3062"/>
      <c r="D138" s="3062" t="s">
        <v>4371</v>
      </c>
      <c r="E138" s="3058">
        <v>13.78</v>
      </c>
      <c r="F138" s="3058">
        <v>100000</v>
      </c>
      <c r="G138" s="3059">
        <v>100000</v>
      </c>
      <c r="H138" s="3059" t="s">
        <v>3090</v>
      </c>
      <c r="I138" s="3058" t="s">
        <v>3054</v>
      </c>
    </row>
    <row r="139" spans="1:9">
      <c r="A139" s="3059">
        <v>349</v>
      </c>
      <c r="B139" s="3062" t="s">
        <v>3254</v>
      </c>
      <c r="C139" s="3062"/>
      <c r="D139" s="3062" t="s">
        <v>4370</v>
      </c>
      <c r="E139" s="3058">
        <v>13.78</v>
      </c>
      <c r="F139" s="3058">
        <v>100000</v>
      </c>
      <c r="G139" s="3059">
        <v>100000</v>
      </c>
      <c r="H139" s="3059" t="s">
        <v>3090</v>
      </c>
      <c r="I139" s="3058" t="s">
        <v>3054</v>
      </c>
    </row>
    <row r="140" spans="1:9">
      <c r="A140" s="3059">
        <v>350</v>
      </c>
      <c r="B140" s="3062" t="s">
        <v>3254</v>
      </c>
      <c r="C140" s="3062"/>
      <c r="D140" s="3062" t="s">
        <v>4369</v>
      </c>
      <c r="E140" s="3058">
        <v>12.72</v>
      </c>
      <c r="F140" s="3058">
        <v>100000</v>
      </c>
      <c r="G140" s="3059">
        <v>100000</v>
      </c>
      <c r="H140" s="3059" t="s">
        <v>3090</v>
      </c>
      <c r="I140" s="3058" t="s">
        <v>3054</v>
      </c>
    </row>
    <row r="141" spans="1:9">
      <c r="A141" s="3059">
        <v>351</v>
      </c>
      <c r="B141" s="3062" t="s">
        <v>3254</v>
      </c>
      <c r="C141" s="3062"/>
      <c r="D141" s="3062" t="s">
        <v>4368</v>
      </c>
      <c r="E141" s="3058">
        <v>12.72</v>
      </c>
      <c r="F141" s="3058">
        <v>100000</v>
      </c>
      <c r="G141" s="3059">
        <v>100000</v>
      </c>
      <c r="H141" s="3059" t="s">
        <v>3090</v>
      </c>
      <c r="I141" s="3058" t="s">
        <v>3054</v>
      </c>
    </row>
    <row r="142" spans="1:9">
      <c r="A142" s="3059">
        <v>352</v>
      </c>
      <c r="B142" s="3062" t="s">
        <v>3254</v>
      </c>
      <c r="C142" s="3062"/>
      <c r="D142" s="3062" t="s">
        <v>4367</v>
      </c>
      <c r="E142" s="3058">
        <v>12.72</v>
      </c>
      <c r="F142" s="3058">
        <v>100000</v>
      </c>
      <c r="G142" s="3059">
        <v>100000</v>
      </c>
      <c r="H142" s="3059" t="s">
        <v>3090</v>
      </c>
      <c r="I142" s="3058" t="s">
        <v>3054</v>
      </c>
    </row>
    <row r="143" spans="1:9">
      <c r="A143" s="3059">
        <v>353</v>
      </c>
      <c r="B143" s="3062" t="s">
        <v>3254</v>
      </c>
      <c r="C143" s="3062"/>
      <c r="D143" s="3062" t="s">
        <v>4366</v>
      </c>
      <c r="E143" s="3058">
        <v>12.72</v>
      </c>
      <c r="F143" s="3058">
        <v>100000</v>
      </c>
      <c r="G143" s="3059">
        <v>100000</v>
      </c>
      <c r="H143" s="3059" t="s">
        <v>3090</v>
      </c>
      <c r="I143" s="3058" t="s">
        <v>3054</v>
      </c>
    </row>
    <row r="144" spans="1:9">
      <c r="A144" s="3059">
        <v>354</v>
      </c>
      <c r="B144" s="3062" t="s">
        <v>3254</v>
      </c>
      <c r="C144" s="3062"/>
      <c r="D144" s="3062" t="s">
        <v>4365</v>
      </c>
      <c r="E144" s="3058">
        <v>12.72</v>
      </c>
      <c r="F144" s="3058">
        <v>100000</v>
      </c>
      <c r="G144" s="3059">
        <v>100000</v>
      </c>
      <c r="H144" s="3059" t="s">
        <v>3090</v>
      </c>
      <c r="I144" s="3058" t="s">
        <v>3054</v>
      </c>
    </row>
    <row r="145" spans="1:9">
      <c r="A145" s="3059">
        <v>355</v>
      </c>
      <c r="B145" s="3062" t="s">
        <v>3254</v>
      </c>
      <c r="C145" s="3062"/>
      <c r="D145" s="3062" t="s">
        <v>4364</v>
      </c>
      <c r="E145" s="3058">
        <v>12.72</v>
      </c>
      <c r="F145" s="3058">
        <v>100000</v>
      </c>
      <c r="G145" s="3059">
        <v>100000</v>
      </c>
      <c r="H145" s="3059" t="s">
        <v>3090</v>
      </c>
      <c r="I145" s="3058" t="s">
        <v>3054</v>
      </c>
    </row>
    <row r="146" spans="1:9">
      <c r="A146" s="3059">
        <v>356</v>
      </c>
      <c r="B146" s="3062" t="s">
        <v>3254</v>
      </c>
      <c r="C146" s="3062"/>
      <c r="D146" s="3062" t="s">
        <v>4363</v>
      </c>
      <c r="E146" s="3058">
        <v>12.72</v>
      </c>
      <c r="F146" s="3058">
        <v>100000</v>
      </c>
      <c r="G146" s="3059">
        <v>100000</v>
      </c>
      <c r="H146" s="3059" t="s">
        <v>3090</v>
      </c>
      <c r="I146" s="3058" t="s">
        <v>3054</v>
      </c>
    </row>
    <row r="147" spans="1:9">
      <c r="A147" s="3059">
        <v>357</v>
      </c>
      <c r="B147" s="3062" t="s">
        <v>3254</v>
      </c>
      <c r="C147" s="3062"/>
      <c r="D147" s="3062" t="s">
        <v>4362</v>
      </c>
      <c r="E147" s="3058">
        <v>13.78</v>
      </c>
      <c r="F147" s="3058">
        <v>100000</v>
      </c>
      <c r="G147" s="3059">
        <v>100000</v>
      </c>
      <c r="H147" s="3059" t="s">
        <v>3090</v>
      </c>
      <c r="I147" s="3058" t="s">
        <v>3054</v>
      </c>
    </row>
    <row r="148" spans="1:9">
      <c r="A148" s="3059">
        <v>358</v>
      </c>
      <c r="B148" s="3062" t="s">
        <v>3254</v>
      </c>
      <c r="C148" s="3062"/>
      <c r="D148" s="3062" t="s">
        <v>4361</v>
      </c>
      <c r="E148" s="3058">
        <v>12.72</v>
      </c>
      <c r="F148" s="3058">
        <v>100000</v>
      </c>
      <c r="G148" s="3059">
        <v>100000</v>
      </c>
      <c r="H148" s="3059" t="s">
        <v>3090</v>
      </c>
      <c r="I148" s="3058" t="s">
        <v>3054</v>
      </c>
    </row>
    <row r="149" spans="1:9">
      <c r="A149" s="3059">
        <v>359</v>
      </c>
      <c r="B149" s="3062" t="s">
        <v>3254</v>
      </c>
      <c r="C149" s="3062"/>
      <c r="D149" s="3062" t="s">
        <v>4360</v>
      </c>
      <c r="E149" s="3058">
        <v>12.72</v>
      </c>
      <c r="F149" s="3058">
        <v>100000</v>
      </c>
      <c r="G149" s="3059">
        <v>100000</v>
      </c>
      <c r="H149" s="3059" t="s">
        <v>3090</v>
      </c>
      <c r="I149" s="3058" t="s">
        <v>3054</v>
      </c>
    </row>
    <row r="150" spans="1:9">
      <c r="A150" s="3059">
        <v>360</v>
      </c>
      <c r="B150" s="3062" t="s">
        <v>3254</v>
      </c>
      <c r="C150" s="3062"/>
      <c r="D150" s="3062" t="s">
        <v>4359</v>
      </c>
      <c r="E150" s="3058">
        <v>12.72</v>
      </c>
      <c r="F150" s="3058">
        <v>100000</v>
      </c>
      <c r="G150" s="3059">
        <v>100000</v>
      </c>
      <c r="H150" s="3059" t="s">
        <v>3090</v>
      </c>
      <c r="I150" s="3058" t="s">
        <v>3054</v>
      </c>
    </row>
    <row r="151" spans="1:9">
      <c r="A151" s="3059">
        <v>361</v>
      </c>
      <c r="B151" s="3062" t="s">
        <v>3254</v>
      </c>
      <c r="C151" s="3062"/>
      <c r="D151" s="3062" t="s">
        <v>4358</v>
      </c>
      <c r="E151" s="3058">
        <v>12.72</v>
      </c>
      <c r="F151" s="3058">
        <v>100000</v>
      </c>
      <c r="G151" s="3059">
        <v>100000</v>
      </c>
      <c r="H151" s="3059" t="s">
        <v>3090</v>
      </c>
      <c r="I151" s="3058" t="s">
        <v>3054</v>
      </c>
    </row>
    <row r="152" spans="1:9">
      <c r="A152" s="3059">
        <v>362</v>
      </c>
      <c r="B152" s="3062" t="s">
        <v>3254</v>
      </c>
      <c r="C152" s="3062"/>
      <c r="D152" s="3062" t="s">
        <v>4357</v>
      </c>
      <c r="E152" s="3058">
        <v>12.72</v>
      </c>
      <c r="F152" s="3058">
        <v>100000</v>
      </c>
      <c r="G152" s="3059">
        <v>100000</v>
      </c>
      <c r="H152" s="3059" t="s">
        <v>3090</v>
      </c>
      <c r="I152" s="3058" t="s">
        <v>3054</v>
      </c>
    </row>
    <row r="153" spans="1:9">
      <c r="A153" s="3059">
        <v>363</v>
      </c>
      <c r="B153" s="3062" t="s">
        <v>3254</v>
      </c>
      <c r="C153" s="3062"/>
      <c r="D153" s="3062" t="s">
        <v>4356</v>
      </c>
      <c r="E153" s="3058">
        <v>12.72</v>
      </c>
      <c r="F153" s="3058">
        <v>100000</v>
      </c>
      <c r="G153" s="3059">
        <v>100000</v>
      </c>
      <c r="H153" s="3059" t="s">
        <v>3090</v>
      </c>
      <c r="I153" s="3058" t="s">
        <v>3054</v>
      </c>
    </row>
    <row r="154" spans="1:9">
      <c r="A154" s="3059">
        <v>364</v>
      </c>
      <c r="B154" s="3062" t="s">
        <v>3254</v>
      </c>
      <c r="C154" s="3062"/>
      <c r="D154" s="3062" t="s">
        <v>4355</v>
      </c>
      <c r="E154" s="3058">
        <v>12.72</v>
      </c>
      <c r="F154" s="3058">
        <v>100000</v>
      </c>
      <c r="G154" s="3059">
        <v>100000</v>
      </c>
      <c r="H154" s="3059" t="s">
        <v>3090</v>
      </c>
      <c r="I154" s="3058" t="s">
        <v>3054</v>
      </c>
    </row>
    <row r="155" spans="1:9">
      <c r="A155" s="3059">
        <v>365</v>
      </c>
      <c r="B155" s="3062" t="s">
        <v>3254</v>
      </c>
      <c r="C155" s="3062"/>
      <c r="D155" s="3062" t="s">
        <v>4354</v>
      </c>
      <c r="E155" s="3058">
        <v>12.72</v>
      </c>
      <c r="F155" s="3058">
        <v>100000</v>
      </c>
      <c r="G155" s="3059">
        <v>100000</v>
      </c>
      <c r="H155" s="3059" t="s">
        <v>3090</v>
      </c>
      <c r="I155" s="3058" t="s">
        <v>3054</v>
      </c>
    </row>
    <row r="156" spans="1:9">
      <c r="A156" s="3059">
        <v>366</v>
      </c>
      <c r="B156" s="3062" t="s">
        <v>3254</v>
      </c>
      <c r="C156" s="3062"/>
      <c r="D156" s="3062" t="s">
        <v>4353</v>
      </c>
      <c r="E156" s="3058">
        <v>12.72</v>
      </c>
      <c r="F156" s="3058">
        <v>100000</v>
      </c>
      <c r="G156" s="3059">
        <v>100000</v>
      </c>
      <c r="H156" s="3059" t="s">
        <v>3090</v>
      </c>
      <c r="I156" s="3058" t="s">
        <v>3054</v>
      </c>
    </row>
    <row r="157" spans="1:9">
      <c r="A157" s="3059">
        <v>367</v>
      </c>
      <c r="B157" s="3062" t="s">
        <v>3254</v>
      </c>
      <c r="C157" s="3062"/>
      <c r="D157" s="3062" t="s">
        <v>4352</v>
      </c>
      <c r="E157" s="3058">
        <v>12.72</v>
      </c>
      <c r="F157" s="3058">
        <v>100000</v>
      </c>
      <c r="G157" s="3059">
        <v>100000</v>
      </c>
      <c r="H157" s="3059" t="s">
        <v>3090</v>
      </c>
      <c r="I157" s="3058" t="s">
        <v>3054</v>
      </c>
    </row>
    <row r="158" spans="1:9">
      <c r="A158" s="3059">
        <v>368</v>
      </c>
      <c r="B158" s="3062" t="s">
        <v>3254</v>
      </c>
      <c r="C158" s="3062"/>
      <c r="D158" s="3062" t="s">
        <v>4351</v>
      </c>
      <c r="E158" s="3058">
        <v>12.72</v>
      </c>
      <c r="F158" s="3058">
        <v>100000</v>
      </c>
      <c r="G158" s="3059">
        <v>100000</v>
      </c>
      <c r="H158" s="3059" t="s">
        <v>3090</v>
      </c>
      <c r="I158" s="3058" t="s">
        <v>3054</v>
      </c>
    </row>
    <row r="159" spans="1:9">
      <c r="A159" s="3059">
        <v>369</v>
      </c>
      <c r="B159" s="3062" t="s">
        <v>3254</v>
      </c>
      <c r="C159" s="3062"/>
      <c r="D159" s="3062" t="s">
        <v>4350</v>
      </c>
      <c r="E159" s="3058">
        <v>12.72</v>
      </c>
      <c r="F159" s="3058">
        <v>100000</v>
      </c>
      <c r="G159" s="3059">
        <v>100000</v>
      </c>
      <c r="H159" s="3059" t="s">
        <v>3090</v>
      </c>
      <c r="I159" s="3058" t="s">
        <v>3054</v>
      </c>
    </row>
    <row r="160" spans="1:9">
      <c r="A160" s="3059">
        <v>370</v>
      </c>
      <c r="B160" s="3062" t="s">
        <v>3254</v>
      </c>
      <c r="C160" s="3062"/>
      <c r="D160" s="3062" t="s">
        <v>4349</v>
      </c>
      <c r="E160" s="3058">
        <v>12.72</v>
      </c>
      <c r="F160" s="3058">
        <v>100000</v>
      </c>
      <c r="G160" s="3059">
        <v>100000</v>
      </c>
      <c r="H160" s="3059" t="s">
        <v>3090</v>
      </c>
      <c r="I160" s="3058" t="s">
        <v>3054</v>
      </c>
    </row>
    <row r="161" spans="1:9">
      <c r="A161" s="3059">
        <v>371</v>
      </c>
      <c r="B161" s="3062" t="s">
        <v>3254</v>
      </c>
      <c r="C161" s="3062"/>
      <c r="D161" s="3062" t="s">
        <v>4348</v>
      </c>
      <c r="E161" s="3058">
        <v>12.72</v>
      </c>
      <c r="F161" s="3058">
        <v>100000</v>
      </c>
      <c r="G161" s="3059">
        <v>100000</v>
      </c>
      <c r="H161" s="3059" t="s">
        <v>3090</v>
      </c>
      <c r="I161" s="3058" t="s">
        <v>3054</v>
      </c>
    </row>
    <row r="162" spans="1:9">
      <c r="A162" s="3059">
        <v>372</v>
      </c>
      <c r="B162" s="3062" t="s">
        <v>3254</v>
      </c>
      <c r="C162" s="3062"/>
      <c r="D162" s="3062" t="s">
        <v>4347</v>
      </c>
      <c r="E162" s="3058">
        <v>12.72</v>
      </c>
      <c r="F162" s="3058">
        <v>100000</v>
      </c>
      <c r="G162" s="3059">
        <v>100000</v>
      </c>
      <c r="H162" s="3059" t="s">
        <v>3090</v>
      </c>
      <c r="I162" s="3058" t="s">
        <v>3054</v>
      </c>
    </row>
    <row r="163" spans="1:9">
      <c r="A163" s="3059">
        <v>373</v>
      </c>
      <c r="B163" s="3062" t="s">
        <v>3254</v>
      </c>
      <c r="C163" s="3062"/>
      <c r="D163" s="3062" t="s">
        <v>4346</v>
      </c>
      <c r="E163" s="3058">
        <v>12.72</v>
      </c>
      <c r="F163" s="3058">
        <v>100000</v>
      </c>
      <c r="G163" s="3059">
        <v>100000</v>
      </c>
      <c r="H163" s="3059" t="s">
        <v>3090</v>
      </c>
      <c r="I163" s="3058" t="s">
        <v>3054</v>
      </c>
    </row>
    <row r="164" spans="1:9">
      <c r="A164" s="3059">
        <v>374</v>
      </c>
      <c r="B164" s="3062" t="s">
        <v>3254</v>
      </c>
      <c r="C164" s="3062"/>
      <c r="D164" s="3062" t="s">
        <v>4345</v>
      </c>
      <c r="E164" s="3058">
        <v>12.72</v>
      </c>
      <c r="F164" s="3058">
        <v>100000</v>
      </c>
      <c r="G164" s="3059">
        <v>100000</v>
      </c>
      <c r="H164" s="3059" t="s">
        <v>3090</v>
      </c>
      <c r="I164" s="3058" t="s">
        <v>3054</v>
      </c>
    </row>
    <row r="165" spans="1:9">
      <c r="A165" s="3059">
        <v>375</v>
      </c>
      <c r="B165" s="3062" t="s">
        <v>3254</v>
      </c>
      <c r="C165" s="3062"/>
      <c r="D165" s="3062" t="s">
        <v>4344</v>
      </c>
      <c r="E165" s="3058">
        <v>13.78</v>
      </c>
      <c r="F165" s="3058">
        <v>100000</v>
      </c>
      <c r="G165" s="3059">
        <v>100000</v>
      </c>
      <c r="H165" s="3059" t="s">
        <v>3090</v>
      </c>
      <c r="I165" s="3058" t="s">
        <v>3054</v>
      </c>
    </row>
    <row r="166" spans="1:9">
      <c r="A166" s="3059">
        <v>376</v>
      </c>
      <c r="B166" s="3062" t="s">
        <v>3254</v>
      </c>
      <c r="C166" s="3062"/>
      <c r="D166" s="3062" t="s">
        <v>4343</v>
      </c>
      <c r="E166" s="3058">
        <v>12.72</v>
      </c>
      <c r="F166" s="3058">
        <v>100000</v>
      </c>
      <c r="G166" s="3059">
        <v>100000</v>
      </c>
      <c r="H166" s="3059" t="s">
        <v>3090</v>
      </c>
      <c r="I166" s="3058" t="s">
        <v>3054</v>
      </c>
    </row>
    <row r="167" spans="1:9">
      <c r="A167" s="3059">
        <v>377</v>
      </c>
      <c r="B167" s="3062" t="s">
        <v>3254</v>
      </c>
      <c r="C167" s="3062"/>
      <c r="D167" s="3062" t="s">
        <v>4342</v>
      </c>
      <c r="E167" s="3058">
        <v>12.72</v>
      </c>
      <c r="F167" s="3058">
        <v>100000</v>
      </c>
      <c r="G167" s="3059">
        <v>100000</v>
      </c>
      <c r="H167" s="3059" t="s">
        <v>3090</v>
      </c>
      <c r="I167" s="3058" t="s">
        <v>3054</v>
      </c>
    </row>
    <row r="168" spans="1:9">
      <c r="A168" s="3059">
        <v>378</v>
      </c>
      <c r="B168" s="3062" t="s">
        <v>3254</v>
      </c>
      <c r="C168" s="3062"/>
      <c r="D168" s="3062" t="s">
        <v>4341</v>
      </c>
      <c r="E168" s="3058">
        <v>13.78</v>
      </c>
      <c r="F168" s="3058">
        <v>100000</v>
      </c>
      <c r="G168" s="3059">
        <v>100000</v>
      </c>
      <c r="H168" s="3059" t="s">
        <v>3090</v>
      </c>
      <c r="I168" s="3058" t="s">
        <v>3054</v>
      </c>
    </row>
    <row r="169" spans="1:9">
      <c r="A169" s="3059">
        <v>379</v>
      </c>
      <c r="B169" s="3062" t="s">
        <v>3254</v>
      </c>
      <c r="C169" s="3062"/>
      <c r="D169" s="3062" t="s">
        <v>4340</v>
      </c>
      <c r="E169" s="3058">
        <v>12.72</v>
      </c>
      <c r="F169" s="3058">
        <v>100000</v>
      </c>
      <c r="G169" s="3059">
        <v>100000</v>
      </c>
      <c r="H169" s="3059" t="s">
        <v>3090</v>
      </c>
      <c r="I169" s="3058" t="s">
        <v>3054</v>
      </c>
    </row>
    <row r="170" spans="1:9">
      <c r="A170" s="3059">
        <v>380</v>
      </c>
      <c r="B170" s="3062" t="s">
        <v>3254</v>
      </c>
      <c r="C170" s="3062"/>
      <c r="D170" s="3062" t="s">
        <v>4339</v>
      </c>
      <c r="E170" s="3058">
        <v>12.72</v>
      </c>
      <c r="F170" s="3058">
        <v>100000</v>
      </c>
      <c r="G170" s="3059">
        <v>100000</v>
      </c>
      <c r="H170" s="3059" t="s">
        <v>3090</v>
      </c>
      <c r="I170" s="3058" t="s">
        <v>3054</v>
      </c>
    </row>
    <row r="171" spans="1:9">
      <c r="A171" s="3059">
        <v>381</v>
      </c>
      <c r="B171" s="3062" t="s">
        <v>3254</v>
      </c>
      <c r="C171" s="3062"/>
      <c r="D171" s="3062" t="s">
        <v>4338</v>
      </c>
      <c r="E171" s="3058">
        <v>13.78</v>
      </c>
      <c r="F171" s="3058">
        <v>100000</v>
      </c>
      <c r="G171" s="3059">
        <v>100000</v>
      </c>
      <c r="H171" s="3059" t="s">
        <v>3090</v>
      </c>
      <c r="I171" s="3058" t="s">
        <v>3054</v>
      </c>
    </row>
    <row r="172" spans="1:9">
      <c r="A172" s="3059">
        <v>382</v>
      </c>
      <c r="B172" s="3062" t="s">
        <v>3254</v>
      </c>
      <c r="C172" s="3062"/>
      <c r="D172" s="3062" t="s">
        <v>4337</v>
      </c>
      <c r="E172" s="3058">
        <v>12.72</v>
      </c>
      <c r="F172" s="3058">
        <v>100000</v>
      </c>
      <c r="G172" s="3059">
        <v>100000</v>
      </c>
      <c r="H172" s="3059" t="s">
        <v>3090</v>
      </c>
      <c r="I172" s="3058" t="s">
        <v>3054</v>
      </c>
    </row>
    <row r="173" spans="1:9">
      <c r="A173" s="3059">
        <v>383</v>
      </c>
      <c r="B173" s="3062" t="s">
        <v>3254</v>
      </c>
      <c r="C173" s="3062"/>
      <c r="D173" s="3062" t="s">
        <v>4336</v>
      </c>
      <c r="E173" s="3058">
        <v>12.72</v>
      </c>
      <c r="F173" s="3058">
        <v>100000</v>
      </c>
      <c r="G173" s="3059">
        <v>100000</v>
      </c>
      <c r="H173" s="3059" t="s">
        <v>3090</v>
      </c>
      <c r="I173" s="3058" t="s">
        <v>3054</v>
      </c>
    </row>
    <row r="174" spans="1:9">
      <c r="A174" s="3059">
        <v>384</v>
      </c>
      <c r="B174" s="3062" t="s">
        <v>3254</v>
      </c>
      <c r="C174" s="3062"/>
      <c r="D174" s="3062" t="s">
        <v>4335</v>
      </c>
      <c r="E174" s="3058">
        <v>13.78</v>
      </c>
      <c r="F174" s="3058">
        <v>100000</v>
      </c>
      <c r="G174" s="3059">
        <v>100000</v>
      </c>
      <c r="H174" s="3059" t="s">
        <v>3090</v>
      </c>
      <c r="I174" s="3058" t="s">
        <v>3054</v>
      </c>
    </row>
    <row r="175" spans="1:9">
      <c r="A175" s="3059">
        <v>385</v>
      </c>
      <c r="B175" s="3062" t="s">
        <v>3254</v>
      </c>
      <c r="C175" s="3062"/>
      <c r="D175" s="3062" t="s">
        <v>4334</v>
      </c>
      <c r="E175" s="3058">
        <v>12.72</v>
      </c>
      <c r="F175" s="3058">
        <v>100000</v>
      </c>
      <c r="G175" s="3059">
        <v>100000</v>
      </c>
      <c r="H175" s="3059" t="s">
        <v>3090</v>
      </c>
      <c r="I175" s="3058" t="s">
        <v>3054</v>
      </c>
    </row>
    <row r="176" spans="1:9">
      <c r="A176" s="3059">
        <v>386</v>
      </c>
      <c r="B176" s="3062" t="s">
        <v>3254</v>
      </c>
      <c r="C176" s="3062"/>
      <c r="D176" s="3062" t="s">
        <v>4333</v>
      </c>
      <c r="E176" s="3058">
        <v>12.72</v>
      </c>
      <c r="F176" s="3058">
        <v>100000</v>
      </c>
      <c r="G176" s="3059">
        <v>100000</v>
      </c>
      <c r="H176" s="3059" t="s">
        <v>3090</v>
      </c>
      <c r="I176" s="3058" t="s">
        <v>3054</v>
      </c>
    </row>
    <row r="177" spans="1:9">
      <c r="A177" s="3059">
        <v>387</v>
      </c>
      <c r="B177" s="3062" t="s">
        <v>3254</v>
      </c>
      <c r="C177" s="3062"/>
      <c r="D177" s="3062" t="s">
        <v>4332</v>
      </c>
      <c r="E177" s="3058">
        <v>13.78</v>
      </c>
      <c r="F177" s="3058">
        <v>100000</v>
      </c>
      <c r="G177" s="3059">
        <v>100000</v>
      </c>
      <c r="H177" s="3059" t="s">
        <v>3090</v>
      </c>
      <c r="I177" s="3058" t="s">
        <v>3054</v>
      </c>
    </row>
    <row r="178" spans="1:9">
      <c r="A178" s="3059">
        <v>388</v>
      </c>
      <c r="B178" s="3062" t="s">
        <v>3254</v>
      </c>
      <c r="C178" s="3062"/>
      <c r="D178" s="3062" t="s">
        <v>4331</v>
      </c>
      <c r="E178" s="3058">
        <v>12.72</v>
      </c>
      <c r="F178" s="3058">
        <v>100000</v>
      </c>
      <c r="G178" s="3059">
        <v>100000</v>
      </c>
      <c r="H178" s="3059" t="s">
        <v>3090</v>
      </c>
      <c r="I178" s="3058" t="s">
        <v>3054</v>
      </c>
    </row>
    <row r="179" spans="1:9">
      <c r="A179" s="3059">
        <v>389</v>
      </c>
      <c r="B179" s="3062" t="s">
        <v>3254</v>
      </c>
      <c r="C179" s="3062"/>
      <c r="D179" s="3062" t="s">
        <v>4330</v>
      </c>
      <c r="E179" s="3058">
        <v>12.72</v>
      </c>
      <c r="F179" s="3058">
        <v>100000</v>
      </c>
      <c r="G179" s="3059">
        <v>100000</v>
      </c>
      <c r="H179" s="3059" t="s">
        <v>3090</v>
      </c>
      <c r="I179" s="3058" t="s">
        <v>3054</v>
      </c>
    </row>
    <row r="180" spans="1:9">
      <c r="A180" s="3059">
        <v>390</v>
      </c>
      <c r="B180" s="3062" t="s">
        <v>3254</v>
      </c>
      <c r="C180" s="3062"/>
      <c r="D180" s="3062" t="s">
        <v>4329</v>
      </c>
      <c r="E180" s="3058">
        <v>13.78</v>
      </c>
      <c r="F180" s="3058">
        <v>100000</v>
      </c>
      <c r="G180" s="3059">
        <v>100000</v>
      </c>
      <c r="H180" s="3059" t="s">
        <v>3090</v>
      </c>
      <c r="I180" s="3058" t="s">
        <v>3054</v>
      </c>
    </row>
    <row r="181" spans="1:9">
      <c r="A181" s="3059">
        <v>391</v>
      </c>
      <c r="B181" s="3062" t="s">
        <v>3254</v>
      </c>
      <c r="C181" s="3062"/>
      <c r="D181" s="3062" t="s">
        <v>4328</v>
      </c>
      <c r="E181" s="3058">
        <v>13.78</v>
      </c>
      <c r="F181" s="3058">
        <v>100000</v>
      </c>
      <c r="G181" s="3059">
        <v>100000</v>
      </c>
      <c r="H181" s="3059" t="s">
        <v>3090</v>
      </c>
      <c r="I181" s="3058" t="s">
        <v>3054</v>
      </c>
    </row>
    <row r="182" spans="1:9">
      <c r="A182" s="3059">
        <v>392</v>
      </c>
      <c r="B182" s="3062" t="s">
        <v>3254</v>
      </c>
      <c r="C182" s="3062"/>
      <c r="D182" s="3062" t="s">
        <v>4327</v>
      </c>
      <c r="E182" s="3058">
        <v>13.78</v>
      </c>
      <c r="F182" s="3058">
        <v>100000</v>
      </c>
      <c r="G182" s="3059">
        <v>100000</v>
      </c>
      <c r="H182" s="3059" t="s">
        <v>3090</v>
      </c>
      <c r="I182" s="3058" t="s">
        <v>3054</v>
      </c>
    </row>
    <row r="183" spans="1:9">
      <c r="A183" s="3059">
        <v>393</v>
      </c>
      <c r="B183" s="3062" t="s">
        <v>3254</v>
      </c>
      <c r="C183" s="3062"/>
      <c r="D183" s="3062" t="s">
        <v>4326</v>
      </c>
      <c r="E183" s="3058">
        <v>12.72</v>
      </c>
      <c r="F183" s="3058">
        <v>100000</v>
      </c>
      <c r="G183" s="3059">
        <v>100000</v>
      </c>
      <c r="H183" s="3059" t="s">
        <v>3090</v>
      </c>
      <c r="I183" s="3058" t="s">
        <v>3054</v>
      </c>
    </row>
    <row r="184" spans="1:9">
      <c r="A184" s="3059">
        <v>394</v>
      </c>
      <c r="B184" s="3062" t="s">
        <v>3254</v>
      </c>
      <c r="C184" s="3062"/>
      <c r="D184" s="3062" t="s">
        <v>4325</v>
      </c>
      <c r="E184" s="3058">
        <v>12.72</v>
      </c>
      <c r="F184" s="3058">
        <v>100000</v>
      </c>
      <c r="G184" s="3059">
        <v>100000</v>
      </c>
      <c r="H184" s="3059" t="s">
        <v>3090</v>
      </c>
      <c r="I184" s="3058" t="s">
        <v>3054</v>
      </c>
    </row>
    <row r="185" spans="1:9">
      <c r="A185" s="3059">
        <v>395</v>
      </c>
      <c r="B185" s="3062" t="s">
        <v>3254</v>
      </c>
      <c r="C185" s="3062"/>
      <c r="D185" s="3062" t="s">
        <v>4324</v>
      </c>
      <c r="E185" s="3058">
        <v>12.72</v>
      </c>
      <c r="F185" s="3058">
        <v>100000</v>
      </c>
      <c r="G185" s="3059">
        <v>100000</v>
      </c>
      <c r="H185" s="3059" t="s">
        <v>3090</v>
      </c>
      <c r="I185" s="3058" t="s">
        <v>3054</v>
      </c>
    </row>
    <row r="186" spans="1:9">
      <c r="A186" s="3059">
        <v>396</v>
      </c>
      <c r="B186" s="3062" t="s">
        <v>3254</v>
      </c>
      <c r="C186" s="3062"/>
      <c r="D186" s="3062" t="s">
        <v>4323</v>
      </c>
      <c r="E186" s="3058">
        <v>12.72</v>
      </c>
      <c r="F186" s="3058">
        <v>100000</v>
      </c>
      <c r="G186" s="3059">
        <v>100000</v>
      </c>
      <c r="H186" s="3059" t="s">
        <v>3090</v>
      </c>
      <c r="I186" s="3058" t="s">
        <v>3054</v>
      </c>
    </row>
    <row r="187" spans="1:9">
      <c r="A187" s="3059">
        <v>397</v>
      </c>
      <c r="B187" s="3062" t="s">
        <v>3254</v>
      </c>
      <c r="C187" s="3062"/>
      <c r="D187" s="3062" t="s">
        <v>4322</v>
      </c>
      <c r="E187" s="3058">
        <v>12.72</v>
      </c>
      <c r="F187" s="3058">
        <v>100000</v>
      </c>
      <c r="G187" s="3059">
        <v>100000</v>
      </c>
      <c r="H187" s="3059" t="s">
        <v>3090</v>
      </c>
      <c r="I187" s="3058" t="s">
        <v>3054</v>
      </c>
    </row>
    <row r="188" spans="1:9">
      <c r="A188" s="3059">
        <v>398</v>
      </c>
      <c r="B188" s="3062" t="s">
        <v>3254</v>
      </c>
      <c r="C188" s="3062"/>
      <c r="D188" s="3062" t="s">
        <v>4321</v>
      </c>
      <c r="E188" s="3058">
        <v>12.72</v>
      </c>
      <c r="F188" s="3058">
        <v>100000</v>
      </c>
      <c r="G188" s="3059">
        <v>100000</v>
      </c>
      <c r="H188" s="3059" t="s">
        <v>3090</v>
      </c>
      <c r="I188" s="3058" t="s">
        <v>3054</v>
      </c>
    </row>
    <row r="189" spans="1:9">
      <c r="A189" s="3059">
        <v>399</v>
      </c>
      <c r="B189" s="3062" t="s">
        <v>3254</v>
      </c>
      <c r="C189" s="3062"/>
      <c r="D189" s="3062" t="s">
        <v>4320</v>
      </c>
      <c r="E189" s="3058">
        <v>12.72</v>
      </c>
      <c r="F189" s="3058">
        <v>100000</v>
      </c>
      <c r="G189" s="3059">
        <v>100000</v>
      </c>
      <c r="H189" s="3059" t="s">
        <v>3090</v>
      </c>
      <c r="I189" s="3058" t="s">
        <v>3054</v>
      </c>
    </row>
    <row r="190" spans="1:9">
      <c r="A190" s="3059">
        <v>400</v>
      </c>
      <c r="B190" s="3062" t="s">
        <v>3254</v>
      </c>
      <c r="C190" s="3062"/>
      <c r="D190" s="3062" t="s">
        <v>4319</v>
      </c>
      <c r="E190" s="3058">
        <v>12.72</v>
      </c>
      <c r="F190" s="3058">
        <v>100000</v>
      </c>
      <c r="G190" s="3059">
        <v>100000</v>
      </c>
      <c r="H190" s="3059" t="s">
        <v>3090</v>
      </c>
      <c r="I190" s="3058" t="s">
        <v>3054</v>
      </c>
    </row>
    <row r="191" spans="1:9">
      <c r="A191" s="3059">
        <v>401</v>
      </c>
      <c r="B191" s="3062" t="s">
        <v>3254</v>
      </c>
      <c r="C191" s="3062"/>
      <c r="D191" s="3062" t="s">
        <v>4318</v>
      </c>
      <c r="E191" s="3058">
        <v>12.72</v>
      </c>
      <c r="F191" s="3058">
        <v>100000</v>
      </c>
      <c r="G191" s="3059">
        <v>100000</v>
      </c>
      <c r="H191" s="3059" t="s">
        <v>3090</v>
      </c>
      <c r="I191" s="3058" t="s">
        <v>3054</v>
      </c>
    </row>
    <row r="192" spans="1:9">
      <c r="A192" s="3059">
        <v>402</v>
      </c>
      <c r="B192" s="3062" t="s">
        <v>3254</v>
      </c>
      <c r="C192" s="3062"/>
      <c r="D192" s="3062" t="s">
        <v>4317</v>
      </c>
      <c r="E192" s="3058">
        <v>12.72</v>
      </c>
      <c r="F192" s="3058">
        <v>100000</v>
      </c>
      <c r="G192" s="3059">
        <v>100000</v>
      </c>
      <c r="H192" s="3059" t="s">
        <v>3090</v>
      </c>
      <c r="I192" s="3058" t="s">
        <v>3054</v>
      </c>
    </row>
    <row r="193" spans="1:9">
      <c r="A193" s="3059">
        <v>403</v>
      </c>
      <c r="B193" s="3062" t="s">
        <v>3254</v>
      </c>
      <c r="C193" s="3062"/>
      <c r="D193" s="3062" t="s">
        <v>4316</v>
      </c>
      <c r="E193" s="3058">
        <v>12.72</v>
      </c>
      <c r="F193" s="3058">
        <v>100000</v>
      </c>
      <c r="G193" s="3059">
        <v>100000</v>
      </c>
      <c r="H193" s="3059" t="s">
        <v>3090</v>
      </c>
      <c r="I193" s="3058" t="s">
        <v>3054</v>
      </c>
    </row>
    <row r="194" spans="1:9">
      <c r="A194" s="3059">
        <v>404</v>
      </c>
      <c r="B194" s="3062" t="s">
        <v>3254</v>
      </c>
      <c r="C194" s="3062"/>
      <c r="D194" s="3062" t="s">
        <v>4315</v>
      </c>
      <c r="E194" s="3058">
        <v>12.72</v>
      </c>
      <c r="F194" s="3058">
        <v>100000</v>
      </c>
      <c r="G194" s="3059">
        <v>100000</v>
      </c>
      <c r="H194" s="3059" t="s">
        <v>3090</v>
      </c>
      <c r="I194" s="3058" t="s">
        <v>3054</v>
      </c>
    </row>
    <row r="195" spans="1:9">
      <c r="A195" s="3059">
        <v>405</v>
      </c>
      <c r="B195" s="3062" t="s">
        <v>3254</v>
      </c>
      <c r="C195" s="3062"/>
      <c r="D195" s="3062" t="s">
        <v>4314</v>
      </c>
      <c r="E195" s="3058">
        <v>12.72</v>
      </c>
      <c r="F195" s="3058">
        <v>100000</v>
      </c>
      <c r="G195" s="3059">
        <v>100000</v>
      </c>
      <c r="H195" s="3059" t="s">
        <v>3090</v>
      </c>
      <c r="I195" s="3058" t="s">
        <v>3054</v>
      </c>
    </row>
    <row r="196" spans="1:9">
      <c r="A196" s="3059">
        <v>406</v>
      </c>
      <c r="B196" s="3062" t="s">
        <v>3254</v>
      </c>
      <c r="C196" s="3062"/>
      <c r="D196" s="3062" t="s">
        <v>4313</v>
      </c>
      <c r="E196" s="3058">
        <v>9.4600000000000009</v>
      </c>
      <c r="F196" s="3058">
        <v>100000</v>
      </c>
      <c r="G196" s="3059">
        <v>100000</v>
      </c>
      <c r="H196" s="3059" t="s">
        <v>3090</v>
      </c>
      <c r="I196" s="3058" t="s">
        <v>3054</v>
      </c>
    </row>
    <row r="197" spans="1:9">
      <c r="A197" s="3059">
        <v>407</v>
      </c>
      <c r="B197" s="3062" t="s">
        <v>3254</v>
      </c>
      <c r="C197" s="3062"/>
      <c r="D197" s="3062" t="s">
        <v>4312</v>
      </c>
      <c r="E197" s="3058">
        <v>12.72</v>
      </c>
      <c r="F197" s="3058">
        <v>100000</v>
      </c>
      <c r="G197" s="3059">
        <v>100000</v>
      </c>
      <c r="H197" s="3059" t="s">
        <v>3090</v>
      </c>
      <c r="I197" s="3058" t="s">
        <v>3054</v>
      </c>
    </row>
    <row r="198" spans="1:9">
      <c r="A198" s="3059">
        <v>408</v>
      </c>
      <c r="B198" s="3062" t="s">
        <v>3254</v>
      </c>
      <c r="C198" s="3062"/>
      <c r="D198" s="3062" t="s">
        <v>4311</v>
      </c>
      <c r="E198" s="3058">
        <v>12.72</v>
      </c>
      <c r="F198" s="3058">
        <v>100000</v>
      </c>
      <c r="G198" s="3059">
        <v>100000</v>
      </c>
      <c r="H198" s="3059" t="s">
        <v>3090</v>
      </c>
      <c r="I198" s="3058" t="s">
        <v>3054</v>
      </c>
    </row>
    <row r="199" spans="1:9">
      <c r="A199" s="3059">
        <v>409</v>
      </c>
      <c r="B199" s="3062" t="s">
        <v>3254</v>
      </c>
      <c r="C199" s="3062"/>
      <c r="D199" s="3062" t="s">
        <v>4310</v>
      </c>
      <c r="E199" s="3058">
        <v>12.72</v>
      </c>
      <c r="F199" s="3058">
        <v>100000</v>
      </c>
      <c r="G199" s="3059">
        <v>100000</v>
      </c>
      <c r="H199" s="3059" t="s">
        <v>3090</v>
      </c>
      <c r="I199" s="3058" t="s">
        <v>3054</v>
      </c>
    </row>
    <row r="200" spans="1:9">
      <c r="A200" s="3059">
        <v>410</v>
      </c>
      <c r="B200" s="3062" t="s">
        <v>3254</v>
      </c>
      <c r="C200" s="3062"/>
      <c r="D200" s="3062" t="s">
        <v>4309</v>
      </c>
      <c r="E200" s="3058">
        <v>12.72</v>
      </c>
      <c r="F200" s="3058">
        <v>100000</v>
      </c>
      <c r="G200" s="3059">
        <v>100000</v>
      </c>
      <c r="H200" s="3059" t="s">
        <v>3090</v>
      </c>
      <c r="I200" s="3058" t="s">
        <v>3054</v>
      </c>
    </row>
    <row r="201" spans="1:9">
      <c r="A201" s="3059">
        <v>411</v>
      </c>
      <c r="B201" s="3062" t="s">
        <v>3254</v>
      </c>
      <c r="C201" s="3062"/>
      <c r="D201" s="3062" t="s">
        <v>4308</v>
      </c>
      <c r="E201" s="3058">
        <v>12.72</v>
      </c>
      <c r="F201" s="3058">
        <v>100000</v>
      </c>
      <c r="G201" s="3059">
        <v>100000</v>
      </c>
      <c r="H201" s="3059" t="s">
        <v>3090</v>
      </c>
      <c r="I201" s="3058" t="s">
        <v>3054</v>
      </c>
    </row>
    <row r="202" spans="1:9">
      <c r="A202" s="3059">
        <v>412</v>
      </c>
      <c r="B202" s="3062" t="s">
        <v>3254</v>
      </c>
      <c r="C202" s="3062"/>
      <c r="D202" s="3062" t="s">
        <v>4307</v>
      </c>
      <c r="E202" s="3058">
        <v>12.72</v>
      </c>
      <c r="F202" s="3058">
        <v>100000</v>
      </c>
      <c r="G202" s="3059">
        <v>100000</v>
      </c>
      <c r="H202" s="3059" t="s">
        <v>3090</v>
      </c>
      <c r="I202" s="3058" t="s">
        <v>3054</v>
      </c>
    </row>
    <row r="203" spans="1:9">
      <c r="A203" s="3059">
        <v>413</v>
      </c>
      <c r="B203" s="3062" t="s">
        <v>3254</v>
      </c>
      <c r="C203" s="3062"/>
      <c r="D203" s="3062" t="s">
        <v>4306</v>
      </c>
      <c r="E203" s="3058">
        <v>13.78</v>
      </c>
      <c r="F203" s="3058">
        <v>100000</v>
      </c>
      <c r="G203" s="3059">
        <v>100000</v>
      </c>
      <c r="H203" s="3059" t="s">
        <v>3090</v>
      </c>
      <c r="I203" s="3058" t="s">
        <v>3054</v>
      </c>
    </row>
    <row r="204" spans="1:9">
      <c r="A204" s="3059">
        <v>414</v>
      </c>
      <c r="B204" s="3062" t="s">
        <v>3254</v>
      </c>
      <c r="C204" s="3062"/>
      <c r="D204" s="3062" t="s">
        <v>4305</v>
      </c>
      <c r="E204" s="3058">
        <v>12.72</v>
      </c>
      <c r="F204" s="3058">
        <v>100000</v>
      </c>
      <c r="G204" s="3059">
        <v>100000</v>
      </c>
      <c r="H204" s="3059" t="s">
        <v>3090</v>
      </c>
      <c r="I204" s="3058" t="s">
        <v>3054</v>
      </c>
    </row>
    <row r="205" spans="1:9">
      <c r="A205" s="3059">
        <v>415</v>
      </c>
      <c r="B205" s="3062" t="s">
        <v>3254</v>
      </c>
      <c r="C205" s="3062"/>
      <c r="D205" s="3062" t="s">
        <v>4304</v>
      </c>
      <c r="E205" s="3058">
        <v>12.72</v>
      </c>
      <c r="F205" s="3058">
        <v>100000</v>
      </c>
      <c r="G205" s="3059">
        <v>100000</v>
      </c>
      <c r="H205" s="3059" t="s">
        <v>3090</v>
      </c>
      <c r="I205" s="3058" t="s">
        <v>3054</v>
      </c>
    </row>
    <row r="206" spans="1:9">
      <c r="A206" s="3059">
        <v>416</v>
      </c>
      <c r="B206" s="3062" t="s">
        <v>3254</v>
      </c>
      <c r="C206" s="3062"/>
      <c r="D206" s="3062" t="s">
        <v>4303</v>
      </c>
      <c r="E206" s="3058">
        <v>13.78</v>
      </c>
      <c r="F206" s="3058">
        <v>100000</v>
      </c>
      <c r="G206" s="3059">
        <v>100000</v>
      </c>
      <c r="H206" s="3059" t="s">
        <v>3090</v>
      </c>
      <c r="I206" s="3058" t="s">
        <v>3054</v>
      </c>
    </row>
    <row r="207" spans="1:9">
      <c r="A207" s="3059">
        <v>417</v>
      </c>
      <c r="B207" s="3062" t="s">
        <v>3254</v>
      </c>
      <c r="C207" s="3062"/>
      <c r="D207" s="3062" t="s">
        <v>4302</v>
      </c>
      <c r="E207" s="3058">
        <v>12.72</v>
      </c>
      <c r="F207" s="3058">
        <v>100000</v>
      </c>
      <c r="G207" s="3059">
        <v>100000</v>
      </c>
      <c r="H207" s="3059" t="s">
        <v>3090</v>
      </c>
      <c r="I207" s="3058" t="s">
        <v>3054</v>
      </c>
    </row>
    <row r="208" spans="1:9">
      <c r="A208" s="3059">
        <v>418</v>
      </c>
      <c r="B208" s="3062" t="s">
        <v>3254</v>
      </c>
      <c r="C208" s="3062"/>
      <c r="D208" s="3062" t="s">
        <v>4301</v>
      </c>
      <c r="E208" s="3058">
        <v>12.72</v>
      </c>
      <c r="F208" s="3058">
        <v>100000</v>
      </c>
      <c r="G208" s="3059">
        <v>100000</v>
      </c>
      <c r="H208" s="3059" t="s">
        <v>3090</v>
      </c>
      <c r="I208" s="3058" t="s">
        <v>3054</v>
      </c>
    </row>
    <row r="209" spans="1:9">
      <c r="A209" s="3059">
        <v>419</v>
      </c>
      <c r="B209" s="3062" t="s">
        <v>3254</v>
      </c>
      <c r="C209" s="3062"/>
      <c r="D209" s="3062" t="s">
        <v>4300</v>
      </c>
      <c r="E209" s="3058">
        <v>13.78</v>
      </c>
      <c r="F209" s="3058">
        <v>100000</v>
      </c>
      <c r="G209" s="3059">
        <v>100000</v>
      </c>
      <c r="H209" s="3059" t="s">
        <v>3090</v>
      </c>
      <c r="I209" s="3058" t="s">
        <v>3054</v>
      </c>
    </row>
    <row r="210" spans="1:9">
      <c r="A210" s="3059">
        <v>420</v>
      </c>
      <c r="B210" s="3062" t="s">
        <v>3254</v>
      </c>
      <c r="C210" s="3062"/>
      <c r="D210" s="3062" t="s">
        <v>4299</v>
      </c>
      <c r="E210" s="3058">
        <v>12.72</v>
      </c>
      <c r="F210" s="3058">
        <v>100000</v>
      </c>
      <c r="G210" s="3059">
        <v>100000</v>
      </c>
      <c r="H210" s="3059" t="s">
        <v>3090</v>
      </c>
      <c r="I210" s="3058" t="s">
        <v>3054</v>
      </c>
    </row>
    <row r="211" spans="1:9">
      <c r="A211" s="3059">
        <v>421</v>
      </c>
      <c r="B211" s="3062" t="s">
        <v>3254</v>
      </c>
      <c r="C211" s="3062"/>
      <c r="D211" s="3062" t="s">
        <v>4298</v>
      </c>
      <c r="E211" s="3058">
        <v>12.72</v>
      </c>
      <c r="F211" s="3058">
        <v>100000</v>
      </c>
      <c r="G211" s="3059">
        <v>100000</v>
      </c>
      <c r="H211" s="3059" t="s">
        <v>3090</v>
      </c>
      <c r="I211" s="3058" t="s">
        <v>3054</v>
      </c>
    </row>
    <row r="212" spans="1:9">
      <c r="A212" s="3059">
        <v>422</v>
      </c>
      <c r="B212" s="3062" t="s">
        <v>3254</v>
      </c>
      <c r="C212" s="3062"/>
      <c r="D212" s="3062" t="s">
        <v>4297</v>
      </c>
      <c r="E212" s="3058">
        <v>13.78</v>
      </c>
      <c r="F212" s="3058">
        <v>100000</v>
      </c>
      <c r="G212" s="3059">
        <v>100000</v>
      </c>
      <c r="H212" s="3059" t="s">
        <v>3090</v>
      </c>
      <c r="I212" s="3058" t="s">
        <v>3054</v>
      </c>
    </row>
    <row r="213" spans="1:9">
      <c r="A213" s="3059">
        <v>423</v>
      </c>
      <c r="B213" s="3062" t="s">
        <v>3254</v>
      </c>
      <c r="C213" s="3062"/>
      <c r="D213" s="3062" t="s">
        <v>4296</v>
      </c>
      <c r="E213" s="3058">
        <v>12.72</v>
      </c>
      <c r="F213" s="3058">
        <v>100000</v>
      </c>
      <c r="G213" s="3059">
        <v>100000</v>
      </c>
      <c r="H213" s="3059" t="s">
        <v>3090</v>
      </c>
      <c r="I213" s="3058" t="s">
        <v>3054</v>
      </c>
    </row>
    <row r="214" spans="1:9">
      <c r="A214" s="3059">
        <v>424</v>
      </c>
      <c r="B214" s="3062" t="s">
        <v>3254</v>
      </c>
      <c r="C214" s="3062"/>
      <c r="D214" s="3062" t="s">
        <v>4295</v>
      </c>
      <c r="E214" s="3058">
        <v>12.72</v>
      </c>
      <c r="F214" s="3058">
        <v>100000</v>
      </c>
      <c r="G214" s="3059">
        <v>100000</v>
      </c>
      <c r="H214" s="3059" t="s">
        <v>3090</v>
      </c>
      <c r="I214" s="3058" t="s">
        <v>3054</v>
      </c>
    </row>
    <row r="215" spans="1:9">
      <c r="A215" s="3059">
        <v>425</v>
      </c>
      <c r="B215" s="3062" t="s">
        <v>3254</v>
      </c>
      <c r="C215" s="3062"/>
      <c r="D215" s="3062" t="s">
        <v>4294</v>
      </c>
      <c r="E215" s="3058">
        <v>13.78</v>
      </c>
      <c r="F215" s="3058">
        <v>100000</v>
      </c>
      <c r="G215" s="3059">
        <v>100000</v>
      </c>
      <c r="H215" s="3059" t="s">
        <v>3090</v>
      </c>
      <c r="I215" s="3058" t="s">
        <v>3054</v>
      </c>
    </row>
    <row r="216" spans="1:9">
      <c r="A216" s="3059">
        <v>426</v>
      </c>
      <c r="B216" s="3062" t="s">
        <v>3254</v>
      </c>
      <c r="C216" s="3062"/>
      <c r="D216" s="3062" t="s">
        <v>4293</v>
      </c>
      <c r="E216" s="3058">
        <v>13.78</v>
      </c>
      <c r="F216" s="3058">
        <v>100000</v>
      </c>
      <c r="G216" s="3059">
        <v>100000</v>
      </c>
      <c r="H216" s="3059" t="s">
        <v>3090</v>
      </c>
      <c r="I216" s="3058" t="s">
        <v>3054</v>
      </c>
    </row>
    <row r="217" spans="1:9">
      <c r="A217" s="3059">
        <v>427</v>
      </c>
      <c r="B217" s="3062" t="s">
        <v>3254</v>
      </c>
      <c r="C217" s="3062"/>
      <c r="D217" s="3062" t="s">
        <v>4292</v>
      </c>
      <c r="E217" s="3058">
        <v>13.78</v>
      </c>
      <c r="F217" s="3058">
        <v>100000</v>
      </c>
      <c r="G217" s="3059">
        <v>100000</v>
      </c>
      <c r="H217" s="3059" t="s">
        <v>3090</v>
      </c>
      <c r="I217" s="3058" t="s">
        <v>3054</v>
      </c>
    </row>
    <row r="218" spans="1:9">
      <c r="A218" s="3059">
        <v>428</v>
      </c>
      <c r="B218" s="3062" t="s">
        <v>3254</v>
      </c>
      <c r="C218" s="3062"/>
      <c r="D218" s="3062" t="s">
        <v>4291</v>
      </c>
      <c r="E218" s="3058">
        <v>12.72</v>
      </c>
      <c r="F218" s="3058">
        <v>100000</v>
      </c>
      <c r="G218" s="3059">
        <v>100000</v>
      </c>
      <c r="H218" s="3059" t="s">
        <v>3090</v>
      </c>
      <c r="I218" s="3058" t="s">
        <v>3054</v>
      </c>
    </row>
    <row r="219" spans="1:9">
      <c r="A219" s="3059">
        <v>429</v>
      </c>
      <c r="B219" s="3062" t="s">
        <v>3254</v>
      </c>
      <c r="C219" s="3062"/>
      <c r="D219" s="3062" t="s">
        <v>4290</v>
      </c>
      <c r="E219" s="3058">
        <v>12.72</v>
      </c>
      <c r="F219" s="3058">
        <v>100000</v>
      </c>
      <c r="G219" s="3059">
        <v>100000</v>
      </c>
      <c r="H219" s="3059" t="s">
        <v>3090</v>
      </c>
      <c r="I219" s="3058" t="s">
        <v>3054</v>
      </c>
    </row>
    <row r="220" spans="1:9">
      <c r="A220" s="3059">
        <v>430</v>
      </c>
      <c r="B220" s="3062" t="s">
        <v>3254</v>
      </c>
      <c r="C220" s="3062"/>
      <c r="D220" s="3062" t="s">
        <v>4289</v>
      </c>
      <c r="E220" s="3058">
        <v>12.72</v>
      </c>
      <c r="F220" s="3058">
        <v>100000</v>
      </c>
      <c r="G220" s="3059">
        <v>100000</v>
      </c>
      <c r="H220" s="3059" t="s">
        <v>3090</v>
      </c>
      <c r="I220" s="3058" t="s">
        <v>3054</v>
      </c>
    </row>
    <row r="221" spans="1:9">
      <c r="A221" s="3059">
        <v>431</v>
      </c>
      <c r="B221" s="3062" t="s">
        <v>3254</v>
      </c>
      <c r="C221" s="3062"/>
      <c r="D221" s="3062" t="s">
        <v>4288</v>
      </c>
      <c r="E221" s="3058">
        <v>12.72</v>
      </c>
      <c r="F221" s="3058">
        <v>100000</v>
      </c>
      <c r="G221" s="3059">
        <v>100000</v>
      </c>
      <c r="H221" s="3059" t="s">
        <v>3090</v>
      </c>
      <c r="I221" s="3058" t="s">
        <v>3054</v>
      </c>
    </row>
    <row r="222" spans="1:9">
      <c r="A222" s="3059">
        <v>432</v>
      </c>
      <c r="B222" s="3062" t="s">
        <v>3254</v>
      </c>
      <c r="C222" s="3062"/>
      <c r="D222" s="3062" t="s">
        <v>4287</v>
      </c>
      <c r="E222" s="3058">
        <v>12.72</v>
      </c>
      <c r="F222" s="3058">
        <v>100000</v>
      </c>
      <c r="G222" s="3059">
        <v>100000</v>
      </c>
      <c r="H222" s="3059" t="s">
        <v>3090</v>
      </c>
      <c r="I222" s="3058" t="s">
        <v>3054</v>
      </c>
    </row>
    <row r="223" spans="1:9">
      <c r="A223" s="3059">
        <v>433</v>
      </c>
      <c r="B223" s="3062" t="s">
        <v>3254</v>
      </c>
      <c r="C223" s="3062"/>
      <c r="D223" s="3062" t="s">
        <v>4286</v>
      </c>
      <c r="E223" s="3058">
        <v>12.72</v>
      </c>
      <c r="F223" s="3058">
        <v>100000</v>
      </c>
      <c r="G223" s="3059">
        <v>100000</v>
      </c>
      <c r="H223" s="3059" t="s">
        <v>3090</v>
      </c>
      <c r="I223" s="3058" t="s">
        <v>3054</v>
      </c>
    </row>
    <row r="224" spans="1:9">
      <c r="A224" s="3059">
        <v>434</v>
      </c>
      <c r="B224" s="3062" t="s">
        <v>3254</v>
      </c>
      <c r="C224" s="3062"/>
      <c r="D224" s="3062" t="s">
        <v>4285</v>
      </c>
      <c r="E224" s="3058">
        <v>12.72</v>
      </c>
      <c r="F224" s="3058">
        <v>100000</v>
      </c>
      <c r="G224" s="3059">
        <v>100000</v>
      </c>
      <c r="H224" s="3059" t="s">
        <v>3090</v>
      </c>
      <c r="I224" s="3058" t="s">
        <v>3054</v>
      </c>
    </row>
    <row r="225" spans="1:9">
      <c r="A225" s="3059">
        <v>435</v>
      </c>
      <c r="B225" s="3062" t="s">
        <v>3254</v>
      </c>
      <c r="C225" s="3062"/>
      <c r="D225" s="3062" t="s">
        <v>4284</v>
      </c>
      <c r="E225" s="3058">
        <v>12.72</v>
      </c>
      <c r="F225" s="3058">
        <v>100000</v>
      </c>
      <c r="G225" s="3059">
        <v>100000</v>
      </c>
      <c r="H225" s="3059" t="s">
        <v>3090</v>
      </c>
      <c r="I225" s="3058" t="s">
        <v>3054</v>
      </c>
    </row>
    <row r="226" spans="1:9">
      <c r="A226" s="3059">
        <v>436</v>
      </c>
      <c r="B226" s="3062" t="s">
        <v>3254</v>
      </c>
      <c r="C226" s="3062"/>
      <c r="D226" s="3062" t="s">
        <v>4283</v>
      </c>
      <c r="E226" s="3058">
        <v>12.72</v>
      </c>
      <c r="F226" s="3058">
        <v>100000</v>
      </c>
      <c r="G226" s="3059">
        <v>100000</v>
      </c>
      <c r="H226" s="3059" t="s">
        <v>3090</v>
      </c>
      <c r="I226" s="3058" t="s">
        <v>3054</v>
      </c>
    </row>
    <row r="227" spans="1:9">
      <c r="A227" s="3059">
        <v>437</v>
      </c>
      <c r="B227" s="3062" t="s">
        <v>3254</v>
      </c>
      <c r="C227" s="3062"/>
      <c r="D227" s="3062" t="s">
        <v>4282</v>
      </c>
      <c r="E227" s="3058">
        <v>12.72</v>
      </c>
      <c r="F227" s="3058">
        <v>100000</v>
      </c>
      <c r="G227" s="3059">
        <v>100000</v>
      </c>
      <c r="H227" s="3059" t="s">
        <v>3090</v>
      </c>
      <c r="I227" s="3058" t="s">
        <v>3054</v>
      </c>
    </row>
    <row r="228" spans="1:9">
      <c r="A228" s="3059">
        <v>438</v>
      </c>
      <c r="B228" s="3062" t="s">
        <v>3254</v>
      </c>
      <c r="C228" s="3062"/>
      <c r="D228" s="3062" t="s">
        <v>4281</v>
      </c>
      <c r="E228" s="3058">
        <v>12.72</v>
      </c>
      <c r="F228" s="3058">
        <v>100000</v>
      </c>
      <c r="G228" s="3059">
        <v>100000</v>
      </c>
      <c r="H228" s="3059" t="s">
        <v>3090</v>
      </c>
      <c r="I228" s="3058" t="s">
        <v>3054</v>
      </c>
    </row>
    <row r="229" spans="1:9">
      <c r="A229" s="3059">
        <v>439</v>
      </c>
      <c r="B229" s="3062" t="s">
        <v>3254</v>
      </c>
      <c r="C229" s="3062"/>
      <c r="D229" s="3062" t="s">
        <v>4280</v>
      </c>
      <c r="E229" s="3058">
        <v>12.72</v>
      </c>
      <c r="F229" s="3058">
        <v>100000</v>
      </c>
      <c r="G229" s="3059">
        <v>100000</v>
      </c>
      <c r="H229" s="3059" t="s">
        <v>3090</v>
      </c>
      <c r="I229" s="3058" t="s">
        <v>3054</v>
      </c>
    </row>
    <row r="230" spans="1:9">
      <c r="A230" s="3059">
        <v>440</v>
      </c>
      <c r="B230" s="3062" t="s">
        <v>3254</v>
      </c>
      <c r="C230" s="3062"/>
      <c r="D230" s="3062" t="s">
        <v>4279</v>
      </c>
      <c r="E230" s="3058">
        <v>12.72</v>
      </c>
      <c r="F230" s="3058">
        <v>100000</v>
      </c>
      <c r="G230" s="3059">
        <v>100000</v>
      </c>
      <c r="H230" s="3059" t="s">
        <v>3090</v>
      </c>
      <c r="I230" s="3058" t="s">
        <v>3054</v>
      </c>
    </row>
    <row r="231" spans="1:9">
      <c r="A231" s="3059">
        <v>441</v>
      </c>
      <c r="B231" s="3062" t="s">
        <v>3254</v>
      </c>
      <c r="C231" s="3062"/>
      <c r="D231" s="3062" t="s">
        <v>4278</v>
      </c>
      <c r="E231" s="3058">
        <v>12.72</v>
      </c>
      <c r="F231" s="3058">
        <v>100000</v>
      </c>
      <c r="G231" s="3059">
        <v>100000</v>
      </c>
      <c r="H231" s="3059" t="s">
        <v>3090</v>
      </c>
      <c r="I231" s="3058" t="s">
        <v>3054</v>
      </c>
    </row>
    <row r="232" spans="1:9">
      <c r="A232" s="3059">
        <v>442</v>
      </c>
      <c r="B232" s="3062" t="s">
        <v>3254</v>
      </c>
      <c r="C232" s="3062"/>
      <c r="D232" s="3062" t="s">
        <v>4277</v>
      </c>
      <c r="E232" s="3058">
        <v>12.72</v>
      </c>
      <c r="F232" s="3058">
        <v>100000</v>
      </c>
      <c r="G232" s="3059">
        <v>100000</v>
      </c>
      <c r="H232" s="3059" t="s">
        <v>3090</v>
      </c>
      <c r="I232" s="3058" t="s">
        <v>3054</v>
      </c>
    </row>
    <row r="233" spans="1:9">
      <c r="A233" s="3059">
        <v>443</v>
      </c>
      <c r="B233" s="3062" t="s">
        <v>3254</v>
      </c>
      <c r="C233" s="3062"/>
      <c r="D233" s="3062" t="s">
        <v>4276</v>
      </c>
      <c r="E233" s="3058">
        <v>12.72</v>
      </c>
      <c r="F233" s="3058">
        <v>100000</v>
      </c>
      <c r="G233" s="3059">
        <v>100000</v>
      </c>
      <c r="H233" s="3059" t="s">
        <v>3090</v>
      </c>
      <c r="I233" s="3058" t="s">
        <v>3054</v>
      </c>
    </row>
    <row r="234" spans="1:9">
      <c r="A234" s="3059">
        <v>444</v>
      </c>
      <c r="B234" s="3062" t="s">
        <v>3254</v>
      </c>
      <c r="C234" s="3062"/>
      <c r="D234" s="3062" t="s">
        <v>4275</v>
      </c>
      <c r="E234" s="3058">
        <v>12.72</v>
      </c>
      <c r="F234" s="3058">
        <v>100000</v>
      </c>
      <c r="G234" s="3059">
        <v>100000</v>
      </c>
      <c r="H234" s="3059" t="s">
        <v>3090</v>
      </c>
      <c r="I234" s="3058" t="s">
        <v>3054</v>
      </c>
    </row>
    <row r="235" spans="1:9">
      <c r="A235" s="3059">
        <v>445</v>
      </c>
      <c r="B235" s="3062" t="s">
        <v>3254</v>
      </c>
      <c r="C235" s="3062"/>
      <c r="D235" s="3062" t="s">
        <v>4274</v>
      </c>
      <c r="E235" s="3058">
        <v>13.78</v>
      </c>
      <c r="F235" s="3058">
        <v>100000</v>
      </c>
      <c r="G235" s="3059">
        <v>100000</v>
      </c>
      <c r="H235" s="3059" t="s">
        <v>3090</v>
      </c>
      <c r="I235" s="3058" t="s">
        <v>3054</v>
      </c>
    </row>
    <row r="236" spans="1:9">
      <c r="A236" s="3059">
        <v>446</v>
      </c>
      <c r="B236" s="3062" t="s">
        <v>3254</v>
      </c>
      <c r="C236" s="3062"/>
      <c r="D236" s="3062" t="s">
        <v>4273</v>
      </c>
      <c r="E236" s="3058">
        <v>12.72</v>
      </c>
      <c r="F236" s="3058">
        <v>100000</v>
      </c>
      <c r="G236" s="3059">
        <v>100000</v>
      </c>
      <c r="H236" s="3059" t="s">
        <v>3090</v>
      </c>
      <c r="I236" s="3058" t="s">
        <v>3054</v>
      </c>
    </row>
    <row r="237" spans="1:9">
      <c r="A237" s="3059">
        <v>447</v>
      </c>
      <c r="B237" s="3062" t="s">
        <v>3254</v>
      </c>
      <c r="C237" s="3062"/>
      <c r="D237" s="3062" t="s">
        <v>4272</v>
      </c>
      <c r="E237" s="3058">
        <v>12.72</v>
      </c>
      <c r="F237" s="3058">
        <v>100000</v>
      </c>
      <c r="G237" s="3059">
        <v>100000</v>
      </c>
      <c r="H237" s="3059" t="s">
        <v>3090</v>
      </c>
      <c r="I237" s="3058" t="s">
        <v>3054</v>
      </c>
    </row>
    <row r="238" spans="1:9">
      <c r="A238" s="3059">
        <v>448</v>
      </c>
      <c r="B238" s="3062" t="s">
        <v>3254</v>
      </c>
      <c r="C238" s="3062"/>
      <c r="D238" s="3062" t="s">
        <v>4271</v>
      </c>
      <c r="E238" s="3058">
        <v>13.78</v>
      </c>
      <c r="F238" s="3058">
        <v>100000</v>
      </c>
      <c r="G238" s="3059">
        <v>100000</v>
      </c>
      <c r="H238" s="3059" t="s">
        <v>3090</v>
      </c>
      <c r="I238" s="3058" t="s">
        <v>3054</v>
      </c>
    </row>
    <row r="239" spans="1:9">
      <c r="A239" s="3059">
        <v>449</v>
      </c>
      <c r="B239" s="3062" t="s">
        <v>3254</v>
      </c>
      <c r="C239" s="3062"/>
      <c r="D239" s="3062" t="s">
        <v>4270</v>
      </c>
      <c r="E239" s="3058">
        <v>12.72</v>
      </c>
      <c r="F239" s="3058">
        <v>100000</v>
      </c>
      <c r="G239" s="3059">
        <v>100000</v>
      </c>
      <c r="H239" s="3059" t="s">
        <v>3090</v>
      </c>
      <c r="I239" s="3058" t="s">
        <v>3054</v>
      </c>
    </row>
    <row r="240" spans="1:9">
      <c r="A240" s="3059">
        <v>450</v>
      </c>
      <c r="B240" s="3062" t="s">
        <v>3254</v>
      </c>
      <c r="C240" s="3062"/>
      <c r="D240" s="3062" t="s">
        <v>4269</v>
      </c>
      <c r="E240" s="3058">
        <v>12.72</v>
      </c>
      <c r="F240" s="3058">
        <v>100000</v>
      </c>
      <c r="G240" s="3059">
        <v>100000</v>
      </c>
      <c r="H240" s="3059" t="s">
        <v>3090</v>
      </c>
      <c r="I240" s="3058" t="s">
        <v>3054</v>
      </c>
    </row>
    <row r="241" spans="1:9">
      <c r="A241" s="3059">
        <v>451</v>
      </c>
      <c r="B241" s="3062" t="s">
        <v>3254</v>
      </c>
      <c r="C241" s="3062"/>
      <c r="D241" s="3062" t="s">
        <v>4268</v>
      </c>
      <c r="E241" s="3058">
        <v>13.78</v>
      </c>
      <c r="F241" s="3058">
        <v>100000</v>
      </c>
      <c r="G241" s="3059">
        <v>100000</v>
      </c>
      <c r="H241" s="3059" t="s">
        <v>3090</v>
      </c>
      <c r="I241" s="3058" t="s">
        <v>3054</v>
      </c>
    </row>
    <row r="242" spans="1:9">
      <c r="A242" s="3059">
        <v>452</v>
      </c>
      <c r="B242" s="3062" t="s">
        <v>3254</v>
      </c>
      <c r="C242" s="3062"/>
      <c r="D242" s="3062" t="s">
        <v>4267</v>
      </c>
      <c r="E242" s="3058">
        <v>12.72</v>
      </c>
      <c r="F242" s="3058">
        <v>100000</v>
      </c>
      <c r="G242" s="3059">
        <v>100000</v>
      </c>
      <c r="H242" s="3059" t="s">
        <v>3090</v>
      </c>
      <c r="I242" s="3058" t="s">
        <v>3054</v>
      </c>
    </row>
    <row r="243" spans="1:9">
      <c r="A243" s="3059">
        <v>453</v>
      </c>
      <c r="B243" s="3062" t="s">
        <v>3254</v>
      </c>
      <c r="C243" s="3062"/>
      <c r="D243" s="3062" t="s">
        <v>4266</v>
      </c>
      <c r="E243" s="3058">
        <v>12.72</v>
      </c>
      <c r="F243" s="3058">
        <v>100000</v>
      </c>
      <c r="G243" s="3059">
        <v>100000</v>
      </c>
      <c r="H243" s="3059" t="s">
        <v>3090</v>
      </c>
      <c r="I243" s="3058" t="s">
        <v>3054</v>
      </c>
    </row>
    <row r="244" spans="1:9">
      <c r="A244" s="3059">
        <v>454</v>
      </c>
      <c r="B244" s="3062" t="s">
        <v>3254</v>
      </c>
      <c r="C244" s="3062"/>
      <c r="D244" s="3062" t="s">
        <v>4265</v>
      </c>
      <c r="E244" s="3058">
        <v>13.78</v>
      </c>
      <c r="F244" s="3058">
        <v>100000</v>
      </c>
      <c r="G244" s="3059">
        <v>100000</v>
      </c>
      <c r="H244" s="3059" t="s">
        <v>3090</v>
      </c>
      <c r="I244" s="3058" t="s">
        <v>3054</v>
      </c>
    </row>
    <row r="245" spans="1:9">
      <c r="A245" s="3059">
        <v>455</v>
      </c>
      <c r="B245" s="3062" t="s">
        <v>3254</v>
      </c>
      <c r="C245" s="3062"/>
      <c r="D245" s="3062" t="s">
        <v>4264</v>
      </c>
      <c r="E245" s="3058">
        <v>12.72</v>
      </c>
      <c r="F245" s="3058">
        <v>100000</v>
      </c>
      <c r="G245" s="3059">
        <v>100000</v>
      </c>
      <c r="H245" s="3059" t="s">
        <v>3090</v>
      </c>
      <c r="I245" s="3058" t="s">
        <v>3054</v>
      </c>
    </row>
    <row r="246" spans="1:9">
      <c r="A246" s="3059">
        <v>456</v>
      </c>
      <c r="B246" s="3062" t="s">
        <v>3254</v>
      </c>
      <c r="C246" s="3062"/>
      <c r="D246" s="3062" t="s">
        <v>4263</v>
      </c>
      <c r="E246" s="3058">
        <v>12.72</v>
      </c>
      <c r="F246" s="3058">
        <v>100000</v>
      </c>
      <c r="G246" s="3059">
        <v>100000</v>
      </c>
      <c r="H246" s="3059" t="s">
        <v>3090</v>
      </c>
      <c r="I246" s="3058" t="s">
        <v>3054</v>
      </c>
    </row>
    <row r="247" spans="1:9">
      <c r="A247" s="3059">
        <v>457</v>
      </c>
      <c r="B247" s="3062" t="s">
        <v>3254</v>
      </c>
      <c r="C247" s="3062"/>
      <c r="D247" s="3062" t="s">
        <v>4262</v>
      </c>
      <c r="E247" s="3058">
        <v>13.78</v>
      </c>
      <c r="F247" s="3058">
        <v>100000</v>
      </c>
      <c r="G247" s="3059">
        <v>100000</v>
      </c>
      <c r="H247" s="3059" t="s">
        <v>3090</v>
      </c>
      <c r="I247" s="3058" t="s">
        <v>3054</v>
      </c>
    </row>
    <row r="248" spans="1:9">
      <c r="A248" s="3059">
        <v>458</v>
      </c>
      <c r="B248" s="3062" t="s">
        <v>3254</v>
      </c>
      <c r="C248" s="3062"/>
      <c r="D248" s="3062" t="s">
        <v>4261</v>
      </c>
      <c r="E248" s="3058">
        <v>12.72</v>
      </c>
      <c r="F248" s="3058">
        <v>100000</v>
      </c>
      <c r="G248" s="3059">
        <v>100000</v>
      </c>
      <c r="H248" s="3059" t="s">
        <v>3090</v>
      </c>
      <c r="I248" s="3058" t="s">
        <v>3054</v>
      </c>
    </row>
    <row r="249" spans="1:9">
      <c r="A249" s="3059">
        <v>459</v>
      </c>
      <c r="B249" s="3062" t="s">
        <v>3254</v>
      </c>
      <c r="C249" s="3062"/>
      <c r="D249" s="3062" t="s">
        <v>4260</v>
      </c>
      <c r="E249" s="3058">
        <v>12.72</v>
      </c>
      <c r="F249" s="3058">
        <v>100000</v>
      </c>
      <c r="G249" s="3059">
        <v>100000</v>
      </c>
      <c r="H249" s="3059" t="s">
        <v>3090</v>
      </c>
      <c r="I249" s="3058" t="s">
        <v>3054</v>
      </c>
    </row>
    <row r="250" spans="1:9">
      <c r="A250" s="3059">
        <v>460</v>
      </c>
      <c r="B250" s="3062" t="s">
        <v>3254</v>
      </c>
      <c r="C250" s="3062"/>
      <c r="D250" s="3062" t="s">
        <v>4259</v>
      </c>
      <c r="E250" s="3058">
        <v>13.78</v>
      </c>
      <c r="F250" s="3058">
        <v>100000</v>
      </c>
      <c r="G250" s="3059">
        <v>100000</v>
      </c>
      <c r="H250" s="3059" t="s">
        <v>3090</v>
      </c>
      <c r="I250" s="3058" t="s">
        <v>3054</v>
      </c>
    </row>
    <row r="251" spans="1:9">
      <c r="A251" s="3059">
        <v>461</v>
      </c>
      <c r="B251" s="3062" t="s">
        <v>3254</v>
      </c>
      <c r="C251" s="3062"/>
      <c r="D251" s="3062" t="s">
        <v>4258</v>
      </c>
      <c r="E251" s="3058">
        <v>13.78</v>
      </c>
      <c r="F251" s="3058">
        <v>100000</v>
      </c>
      <c r="G251" s="3059">
        <v>100000</v>
      </c>
      <c r="H251" s="3059" t="s">
        <v>3090</v>
      </c>
      <c r="I251" s="3058" t="s">
        <v>3054</v>
      </c>
    </row>
    <row r="252" spans="1:9">
      <c r="A252" s="3059">
        <v>462</v>
      </c>
      <c r="B252" s="3062" t="s">
        <v>3254</v>
      </c>
      <c r="C252" s="3062"/>
      <c r="D252" s="3062" t="s">
        <v>4257</v>
      </c>
      <c r="E252" s="3058">
        <v>13.78</v>
      </c>
      <c r="F252" s="3058">
        <v>100000</v>
      </c>
      <c r="G252" s="3059">
        <v>100000</v>
      </c>
      <c r="H252" s="3059" t="s">
        <v>3090</v>
      </c>
      <c r="I252" s="3058" t="s">
        <v>3054</v>
      </c>
    </row>
    <row r="253" spans="1:9">
      <c r="A253" s="3059">
        <v>463</v>
      </c>
      <c r="B253" s="3062" t="s">
        <v>3254</v>
      </c>
      <c r="C253" s="3062"/>
      <c r="D253" s="3062" t="s">
        <v>4256</v>
      </c>
      <c r="E253" s="3058">
        <v>12.72</v>
      </c>
      <c r="F253" s="3058">
        <v>100000</v>
      </c>
      <c r="G253" s="3059">
        <v>100000</v>
      </c>
      <c r="H253" s="3059" t="s">
        <v>3090</v>
      </c>
      <c r="I253" s="3058" t="s">
        <v>3054</v>
      </c>
    </row>
    <row r="254" spans="1:9">
      <c r="A254" s="3059">
        <v>464</v>
      </c>
      <c r="B254" s="3062" t="s">
        <v>3254</v>
      </c>
      <c r="C254" s="3062"/>
      <c r="D254" s="3062" t="s">
        <v>4255</v>
      </c>
      <c r="E254" s="3058">
        <v>12.72</v>
      </c>
      <c r="F254" s="3058">
        <v>100000</v>
      </c>
      <c r="G254" s="3059">
        <v>100000</v>
      </c>
      <c r="H254" s="3059" t="s">
        <v>3090</v>
      </c>
      <c r="I254" s="3058" t="s">
        <v>3054</v>
      </c>
    </row>
    <row r="255" spans="1:9">
      <c r="A255" s="3059">
        <v>465</v>
      </c>
      <c r="B255" s="3062" t="s">
        <v>3254</v>
      </c>
      <c r="C255" s="3062"/>
      <c r="D255" s="3062" t="s">
        <v>4254</v>
      </c>
      <c r="E255" s="3058">
        <v>13.78</v>
      </c>
      <c r="F255" s="3058">
        <v>100000</v>
      </c>
      <c r="G255" s="3059">
        <v>100000</v>
      </c>
      <c r="H255" s="3059" t="s">
        <v>3090</v>
      </c>
      <c r="I255" s="3058" t="s">
        <v>3054</v>
      </c>
    </row>
    <row r="256" spans="1:9">
      <c r="A256" s="3059">
        <v>466</v>
      </c>
      <c r="B256" s="3062" t="s">
        <v>3254</v>
      </c>
      <c r="C256" s="3062"/>
      <c r="D256" s="3062" t="s">
        <v>4253</v>
      </c>
      <c r="E256" s="3058">
        <v>12.72</v>
      </c>
      <c r="F256" s="3058">
        <v>100000</v>
      </c>
      <c r="G256" s="3059">
        <v>100000</v>
      </c>
      <c r="H256" s="3059" t="s">
        <v>3090</v>
      </c>
      <c r="I256" s="3058" t="s">
        <v>3054</v>
      </c>
    </row>
    <row r="257" spans="1:9">
      <c r="A257" s="3059">
        <v>467</v>
      </c>
      <c r="B257" s="3062" t="s">
        <v>3254</v>
      </c>
      <c r="C257" s="3062"/>
      <c r="D257" s="3062" t="s">
        <v>4252</v>
      </c>
      <c r="E257" s="3058">
        <v>12.72</v>
      </c>
      <c r="F257" s="3058">
        <v>100000</v>
      </c>
      <c r="G257" s="3059">
        <v>100000</v>
      </c>
      <c r="H257" s="3059" t="s">
        <v>3090</v>
      </c>
      <c r="I257" s="3058" t="s">
        <v>3054</v>
      </c>
    </row>
    <row r="258" spans="1:9">
      <c r="A258" s="3059">
        <v>468</v>
      </c>
      <c r="B258" s="3062" t="s">
        <v>3254</v>
      </c>
      <c r="C258" s="3062"/>
      <c r="D258" s="3062" t="s">
        <v>4251</v>
      </c>
      <c r="E258" s="3058">
        <v>12.72</v>
      </c>
      <c r="F258" s="3058">
        <v>100000</v>
      </c>
      <c r="G258" s="3059">
        <v>100000</v>
      </c>
      <c r="H258" s="3059" t="s">
        <v>3090</v>
      </c>
      <c r="I258" s="3058" t="s">
        <v>3054</v>
      </c>
    </row>
    <row r="259" spans="1:9">
      <c r="A259" s="3059">
        <v>469</v>
      </c>
      <c r="B259" s="3062" t="s">
        <v>3254</v>
      </c>
      <c r="C259" s="3062"/>
      <c r="D259" s="3062" t="s">
        <v>4250</v>
      </c>
      <c r="E259" s="3058">
        <v>12.72</v>
      </c>
      <c r="F259" s="3058">
        <v>100000</v>
      </c>
      <c r="G259" s="3059">
        <v>100000</v>
      </c>
      <c r="H259" s="3059" t="s">
        <v>3090</v>
      </c>
      <c r="I259" s="3058" t="s">
        <v>3054</v>
      </c>
    </row>
    <row r="260" spans="1:9">
      <c r="A260" s="3059">
        <v>470</v>
      </c>
      <c r="B260" s="3062" t="s">
        <v>3254</v>
      </c>
      <c r="C260" s="3062"/>
      <c r="D260" s="3062" t="s">
        <v>4249</v>
      </c>
      <c r="E260" s="3058">
        <v>12.72</v>
      </c>
      <c r="F260" s="3058">
        <v>100000</v>
      </c>
      <c r="G260" s="3059">
        <v>100000</v>
      </c>
      <c r="H260" s="3059" t="s">
        <v>3090</v>
      </c>
      <c r="I260" s="3058" t="s">
        <v>3054</v>
      </c>
    </row>
    <row r="261" spans="1:9">
      <c r="A261" s="3059">
        <v>471</v>
      </c>
      <c r="B261" s="3062" t="s">
        <v>3254</v>
      </c>
      <c r="C261" s="3062"/>
      <c r="D261" s="3062" t="s">
        <v>4248</v>
      </c>
      <c r="E261" s="3058">
        <v>12.72</v>
      </c>
      <c r="F261" s="3058">
        <v>100000</v>
      </c>
      <c r="G261" s="3059">
        <v>100000</v>
      </c>
      <c r="H261" s="3059" t="s">
        <v>3090</v>
      </c>
      <c r="I261" s="3058" t="s">
        <v>3054</v>
      </c>
    </row>
    <row r="262" spans="1:9">
      <c r="A262" s="3059">
        <v>472</v>
      </c>
      <c r="B262" s="3062" t="s">
        <v>3254</v>
      </c>
      <c r="C262" s="3062"/>
      <c r="D262" s="3062" t="s">
        <v>4247</v>
      </c>
      <c r="E262" s="3058">
        <v>12.72</v>
      </c>
      <c r="F262" s="3058">
        <v>100000</v>
      </c>
      <c r="G262" s="3059">
        <v>100000</v>
      </c>
      <c r="H262" s="3059" t="s">
        <v>3090</v>
      </c>
      <c r="I262" s="3058" t="s">
        <v>3054</v>
      </c>
    </row>
    <row r="263" spans="1:9">
      <c r="A263" s="3059">
        <v>473</v>
      </c>
      <c r="B263" s="3062" t="s">
        <v>3254</v>
      </c>
      <c r="C263" s="3062"/>
      <c r="D263" s="3062" t="s">
        <v>4246</v>
      </c>
      <c r="E263" s="3058">
        <v>12.72</v>
      </c>
      <c r="F263" s="3058">
        <v>100000</v>
      </c>
      <c r="G263" s="3059">
        <v>100000</v>
      </c>
      <c r="H263" s="3059" t="s">
        <v>3090</v>
      </c>
      <c r="I263" s="3058" t="s">
        <v>3054</v>
      </c>
    </row>
    <row r="264" spans="1:9">
      <c r="A264" s="3059">
        <v>474</v>
      </c>
      <c r="B264" s="3062" t="s">
        <v>3254</v>
      </c>
      <c r="C264" s="3062"/>
      <c r="D264" s="3062" t="s">
        <v>4245</v>
      </c>
      <c r="E264" s="3058">
        <v>12.72</v>
      </c>
      <c r="F264" s="3058">
        <v>100000</v>
      </c>
      <c r="G264" s="3059">
        <v>100000</v>
      </c>
      <c r="H264" s="3059" t="s">
        <v>3090</v>
      </c>
      <c r="I264" s="3058" t="s">
        <v>3054</v>
      </c>
    </row>
    <row r="265" spans="1:9">
      <c r="A265" s="3059">
        <v>475</v>
      </c>
      <c r="B265" s="3062" t="s">
        <v>3254</v>
      </c>
      <c r="C265" s="3062"/>
      <c r="D265" s="3062" t="s">
        <v>4244</v>
      </c>
      <c r="E265" s="3058">
        <v>12.72</v>
      </c>
      <c r="F265" s="3058">
        <v>100000</v>
      </c>
      <c r="G265" s="3059">
        <v>100000</v>
      </c>
      <c r="H265" s="3059" t="s">
        <v>3090</v>
      </c>
      <c r="I265" s="3058" t="s">
        <v>3054</v>
      </c>
    </row>
    <row r="266" spans="1:9">
      <c r="A266" s="3059">
        <v>476</v>
      </c>
      <c r="B266" s="3062" t="s">
        <v>3254</v>
      </c>
      <c r="C266" s="3062"/>
      <c r="D266" s="3062" t="s">
        <v>4243</v>
      </c>
      <c r="E266" s="3058">
        <v>12.72</v>
      </c>
      <c r="F266" s="3058">
        <v>100000</v>
      </c>
      <c r="G266" s="3059">
        <v>100000</v>
      </c>
      <c r="H266" s="3059" t="s">
        <v>3090</v>
      </c>
      <c r="I266" s="3058" t="s">
        <v>3054</v>
      </c>
    </row>
    <row r="267" spans="1:9">
      <c r="A267" s="3059">
        <v>477</v>
      </c>
      <c r="B267" s="3062" t="s">
        <v>3254</v>
      </c>
      <c r="C267" s="3062"/>
      <c r="D267" s="3062" t="s">
        <v>4242</v>
      </c>
      <c r="E267" s="3058">
        <v>12.72</v>
      </c>
      <c r="F267" s="3058">
        <v>100000</v>
      </c>
      <c r="G267" s="3059">
        <v>100000</v>
      </c>
      <c r="H267" s="3059" t="s">
        <v>3090</v>
      </c>
      <c r="I267" s="3058" t="s">
        <v>3054</v>
      </c>
    </row>
    <row r="268" spans="1:9">
      <c r="A268" s="3059">
        <v>478</v>
      </c>
      <c r="B268" s="3062" t="s">
        <v>3254</v>
      </c>
      <c r="C268" s="3062"/>
      <c r="D268" s="3062" t="s">
        <v>4241</v>
      </c>
      <c r="E268" s="3058">
        <v>12.72</v>
      </c>
      <c r="F268" s="3058">
        <v>100000</v>
      </c>
      <c r="G268" s="3059">
        <v>100000</v>
      </c>
      <c r="H268" s="3059" t="s">
        <v>3090</v>
      </c>
      <c r="I268" s="3058" t="s">
        <v>3054</v>
      </c>
    </row>
    <row r="269" spans="1:9">
      <c r="A269" s="3059">
        <v>479</v>
      </c>
      <c r="B269" s="3062" t="s">
        <v>3254</v>
      </c>
      <c r="C269" s="3062"/>
      <c r="D269" s="3062" t="s">
        <v>4240</v>
      </c>
      <c r="E269" s="3058">
        <v>12.72</v>
      </c>
      <c r="F269" s="3058">
        <v>100000</v>
      </c>
      <c r="G269" s="3059">
        <v>100000</v>
      </c>
      <c r="H269" s="3059" t="s">
        <v>3090</v>
      </c>
      <c r="I269" s="3058" t="s">
        <v>3054</v>
      </c>
    </row>
    <row r="270" spans="1:9">
      <c r="A270" s="3059">
        <v>480</v>
      </c>
      <c r="B270" s="3062" t="s">
        <v>3254</v>
      </c>
      <c r="C270" s="3062"/>
      <c r="D270" s="3062" t="s">
        <v>4239</v>
      </c>
      <c r="E270" s="3058">
        <v>13.78</v>
      </c>
      <c r="F270" s="3058">
        <v>100000</v>
      </c>
      <c r="G270" s="3059">
        <v>100000</v>
      </c>
      <c r="H270" s="3059" t="s">
        <v>3090</v>
      </c>
      <c r="I270" s="3058" t="s">
        <v>3054</v>
      </c>
    </row>
    <row r="271" spans="1:9">
      <c r="A271" s="3059">
        <v>481</v>
      </c>
      <c r="B271" s="3062" t="s">
        <v>3254</v>
      </c>
      <c r="C271" s="3062"/>
      <c r="D271" s="3062" t="s">
        <v>4238</v>
      </c>
      <c r="E271" s="3058">
        <v>12.72</v>
      </c>
      <c r="F271" s="3058">
        <v>100000</v>
      </c>
      <c r="G271" s="3059">
        <v>100000</v>
      </c>
      <c r="H271" s="3059" t="s">
        <v>3090</v>
      </c>
      <c r="I271" s="3058" t="s">
        <v>3054</v>
      </c>
    </row>
    <row r="272" spans="1:9">
      <c r="A272" s="3059">
        <v>482</v>
      </c>
      <c r="B272" s="3062" t="s">
        <v>3254</v>
      </c>
      <c r="C272" s="3062"/>
      <c r="D272" s="3062" t="s">
        <v>4237</v>
      </c>
      <c r="E272" s="3058">
        <v>12.72</v>
      </c>
      <c r="F272" s="3058">
        <v>100000</v>
      </c>
      <c r="G272" s="3059">
        <v>100000</v>
      </c>
      <c r="H272" s="3059" t="s">
        <v>3090</v>
      </c>
      <c r="I272" s="3058" t="s">
        <v>3054</v>
      </c>
    </row>
    <row r="273" spans="1:9">
      <c r="A273" s="3059">
        <v>483</v>
      </c>
      <c r="B273" s="3062" t="s">
        <v>3254</v>
      </c>
      <c r="C273" s="3062"/>
      <c r="D273" s="3062" t="s">
        <v>4236</v>
      </c>
      <c r="E273" s="3058">
        <v>13.78</v>
      </c>
      <c r="F273" s="3058">
        <v>100000</v>
      </c>
      <c r="G273" s="3059">
        <v>100000</v>
      </c>
      <c r="H273" s="3059" t="s">
        <v>3090</v>
      </c>
      <c r="I273" s="3058" t="s">
        <v>3054</v>
      </c>
    </row>
    <row r="274" spans="1:9">
      <c r="A274" s="3059">
        <v>484</v>
      </c>
      <c r="B274" s="3062" t="s">
        <v>3254</v>
      </c>
      <c r="C274" s="3062"/>
      <c r="D274" s="3062" t="s">
        <v>4235</v>
      </c>
      <c r="E274" s="3058">
        <v>12.72</v>
      </c>
      <c r="F274" s="3058">
        <v>100000</v>
      </c>
      <c r="G274" s="3059">
        <v>100000</v>
      </c>
      <c r="H274" s="3059" t="s">
        <v>3090</v>
      </c>
      <c r="I274" s="3058" t="s">
        <v>3054</v>
      </c>
    </row>
    <row r="275" spans="1:9">
      <c r="A275" s="3059">
        <v>485</v>
      </c>
      <c r="B275" s="3062" t="s">
        <v>3254</v>
      </c>
      <c r="C275" s="3062"/>
      <c r="D275" s="3062" t="s">
        <v>4234</v>
      </c>
      <c r="E275" s="3058">
        <v>12.72</v>
      </c>
      <c r="F275" s="3058">
        <v>100000</v>
      </c>
      <c r="G275" s="3059">
        <v>100000</v>
      </c>
      <c r="H275" s="3059" t="s">
        <v>3090</v>
      </c>
      <c r="I275" s="3058" t="s">
        <v>3054</v>
      </c>
    </row>
    <row r="276" spans="1:9">
      <c r="A276" s="3059">
        <v>486</v>
      </c>
      <c r="B276" s="3062" t="s">
        <v>3254</v>
      </c>
      <c r="C276" s="3062"/>
      <c r="D276" s="3062" t="s">
        <v>4233</v>
      </c>
      <c r="E276" s="3058">
        <v>13.78</v>
      </c>
      <c r="F276" s="3058">
        <v>100000</v>
      </c>
      <c r="G276" s="3059">
        <v>100000</v>
      </c>
      <c r="H276" s="3059" t="s">
        <v>3090</v>
      </c>
      <c r="I276" s="3058" t="s">
        <v>3054</v>
      </c>
    </row>
    <row r="277" spans="1:9">
      <c r="A277" s="3059">
        <v>487</v>
      </c>
      <c r="B277" s="3062" t="s">
        <v>3254</v>
      </c>
      <c r="C277" s="3062"/>
      <c r="D277" s="3062" t="s">
        <v>4232</v>
      </c>
      <c r="E277" s="3058">
        <v>12.72</v>
      </c>
      <c r="F277" s="3058">
        <v>100000</v>
      </c>
      <c r="G277" s="3059">
        <v>100000</v>
      </c>
      <c r="H277" s="3059" t="s">
        <v>3090</v>
      </c>
      <c r="I277" s="3058" t="s">
        <v>3054</v>
      </c>
    </row>
    <row r="278" spans="1:9">
      <c r="A278" s="3059">
        <v>488</v>
      </c>
      <c r="B278" s="3062" t="s">
        <v>3254</v>
      </c>
      <c r="C278" s="3062"/>
      <c r="D278" s="3062" t="s">
        <v>4231</v>
      </c>
      <c r="E278" s="3058">
        <v>12.72</v>
      </c>
      <c r="F278" s="3058">
        <v>100000</v>
      </c>
      <c r="G278" s="3059">
        <v>100000</v>
      </c>
      <c r="H278" s="3059" t="s">
        <v>3090</v>
      </c>
      <c r="I278" s="3058" t="s">
        <v>3054</v>
      </c>
    </row>
    <row r="279" spans="1:9">
      <c r="A279" s="3059">
        <v>489</v>
      </c>
      <c r="B279" s="3062" t="s">
        <v>3254</v>
      </c>
      <c r="C279" s="3062"/>
      <c r="D279" s="3062" t="s">
        <v>4230</v>
      </c>
      <c r="E279" s="3058">
        <v>13.78</v>
      </c>
      <c r="F279" s="3058">
        <v>100000</v>
      </c>
      <c r="G279" s="3059">
        <v>100000</v>
      </c>
      <c r="H279" s="3059" t="s">
        <v>3090</v>
      </c>
      <c r="I279" s="3058" t="s">
        <v>3054</v>
      </c>
    </row>
    <row r="280" spans="1:9">
      <c r="A280" s="3059">
        <v>490</v>
      </c>
      <c r="B280" s="3062" t="s">
        <v>3254</v>
      </c>
      <c r="C280" s="3062"/>
      <c r="D280" s="3062" t="s">
        <v>4229</v>
      </c>
      <c r="E280" s="3058">
        <v>12.72</v>
      </c>
      <c r="F280" s="3058">
        <v>100000</v>
      </c>
      <c r="G280" s="3059">
        <v>100000</v>
      </c>
      <c r="H280" s="3059" t="s">
        <v>3090</v>
      </c>
      <c r="I280" s="3058" t="s">
        <v>3054</v>
      </c>
    </row>
    <row r="281" spans="1:9">
      <c r="A281" s="3059">
        <v>491</v>
      </c>
      <c r="B281" s="3062" t="s">
        <v>3254</v>
      </c>
      <c r="C281" s="3062"/>
      <c r="D281" s="3062" t="s">
        <v>4228</v>
      </c>
      <c r="E281" s="3058">
        <v>12.72</v>
      </c>
      <c r="F281" s="3058">
        <v>100000</v>
      </c>
      <c r="G281" s="3059">
        <v>100000</v>
      </c>
      <c r="H281" s="3059" t="s">
        <v>3090</v>
      </c>
      <c r="I281" s="3058" t="s">
        <v>3054</v>
      </c>
    </row>
    <row r="282" spans="1:9">
      <c r="A282" s="3059">
        <v>492</v>
      </c>
      <c r="B282" s="3062" t="s">
        <v>3254</v>
      </c>
      <c r="C282" s="3062"/>
      <c r="D282" s="3062" t="s">
        <v>4227</v>
      </c>
      <c r="E282" s="3058">
        <v>13.78</v>
      </c>
      <c r="F282" s="3058">
        <v>100000</v>
      </c>
      <c r="G282" s="3059">
        <v>100000</v>
      </c>
      <c r="H282" s="3059" t="s">
        <v>3090</v>
      </c>
      <c r="I282" s="3058" t="s">
        <v>3054</v>
      </c>
    </row>
    <row r="283" spans="1:9">
      <c r="A283" s="3059">
        <v>493</v>
      </c>
      <c r="B283" s="3062" t="s">
        <v>3254</v>
      </c>
      <c r="C283" s="3062"/>
      <c r="D283" s="3062" t="s">
        <v>4226</v>
      </c>
      <c r="E283" s="3058">
        <v>12.72</v>
      </c>
      <c r="F283" s="3058">
        <v>100000</v>
      </c>
      <c r="G283" s="3059">
        <v>100000</v>
      </c>
      <c r="H283" s="3059" t="s">
        <v>3090</v>
      </c>
      <c r="I283" s="3058" t="s">
        <v>3054</v>
      </c>
    </row>
    <row r="284" spans="1:9">
      <c r="A284" s="3059">
        <v>494</v>
      </c>
      <c r="B284" s="3062" t="s">
        <v>3254</v>
      </c>
      <c r="C284" s="3062"/>
      <c r="D284" s="3062" t="s">
        <v>4225</v>
      </c>
      <c r="E284" s="3058">
        <v>12.72</v>
      </c>
      <c r="F284" s="3058">
        <v>100000</v>
      </c>
      <c r="G284" s="3059">
        <v>100000</v>
      </c>
      <c r="H284" s="3059" t="s">
        <v>3090</v>
      </c>
      <c r="I284" s="3058" t="s">
        <v>3054</v>
      </c>
    </row>
    <row r="285" spans="1:9">
      <c r="A285" s="3059">
        <v>495</v>
      </c>
      <c r="B285" s="3062" t="s">
        <v>3254</v>
      </c>
      <c r="C285" s="3062"/>
      <c r="D285" s="3062" t="s">
        <v>4224</v>
      </c>
      <c r="E285" s="3058">
        <v>13.78</v>
      </c>
      <c r="F285" s="3058">
        <v>100000</v>
      </c>
      <c r="G285" s="3059">
        <v>100000</v>
      </c>
      <c r="H285" s="3059" t="s">
        <v>3090</v>
      </c>
      <c r="I285" s="3058" t="s">
        <v>3054</v>
      </c>
    </row>
    <row r="286" spans="1:9">
      <c r="A286" s="3059">
        <v>496</v>
      </c>
      <c r="B286" s="3062" t="s">
        <v>3254</v>
      </c>
      <c r="C286" s="3062"/>
      <c r="D286" s="3062" t="s">
        <v>4223</v>
      </c>
      <c r="E286" s="3058">
        <v>13.78</v>
      </c>
      <c r="F286" s="3058">
        <v>100000</v>
      </c>
      <c r="G286" s="3059">
        <v>100000</v>
      </c>
      <c r="H286" s="3059" t="s">
        <v>3090</v>
      </c>
      <c r="I286" s="3058" t="s">
        <v>3054</v>
      </c>
    </row>
    <row r="287" spans="1:9">
      <c r="A287" s="3059">
        <v>497</v>
      </c>
      <c r="B287" s="3062" t="s">
        <v>3254</v>
      </c>
      <c r="C287" s="3062"/>
      <c r="D287" s="3062" t="s">
        <v>4222</v>
      </c>
      <c r="E287" s="3058">
        <v>12.72</v>
      </c>
      <c r="F287" s="3058">
        <v>100000</v>
      </c>
      <c r="G287" s="3059">
        <v>100000</v>
      </c>
      <c r="H287" s="3059" t="s">
        <v>3090</v>
      </c>
      <c r="I287" s="3058" t="s">
        <v>3054</v>
      </c>
    </row>
    <row r="288" spans="1:9">
      <c r="A288" s="3059">
        <v>498</v>
      </c>
      <c r="B288" s="3062" t="s">
        <v>3254</v>
      </c>
      <c r="C288" s="3062"/>
      <c r="D288" s="3062" t="s">
        <v>4221</v>
      </c>
      <c r="E288" s="3058">
        <v>12.72</v>
      </c>
      <c r="F288" s="3058">
        <v>100000</v>
      </c>
      <c r="G288" s="3059">
        <v>100000</v>
      </c>
      <c r="H288" s="3059" t="s">
        <v>3090</v>
      </c>
      <c r="I288" s="3058" t="s">
        <v>3054</v>
      </c>
    </row>
    <row r="289" spans="1:9">
      <c r="A289" s="3059">
        <v>499</v>
      </c>
      <c r="B289" s="3062" t="s">
        <v>3254</v>
      </c>
      <c r="C289" s="3062"/>
      <c r="D289" s="3062" t="s">
        <v>4220</v>
      </c>
      <c r="E289" s="3058">
        <v>13.78</v>
      </c>
      <c r="F289" s="3058">
        <v>100000</v>
      </c>
      <c r="G289" s="3059">
        <v>100000</v>
      </c>
      <c r="H289" s="3059" t="s">
        <v>3090</v>
      </c>
      <c r="I289" s="3058" t="s">
        <v>3054</v>
      </c>
    </row>
    <row r="290" spans="1:9">
      <c r="A290" s="3059">
        <v>500</v>
      </c>
      <c r="B290" s="3062" t="s">
        <v>3254</v>
      </c>
      <c r="C290" s="3062"/>
      <c r="D290" s="3062" t="s">
        <v>4219</v>
      </c>
      <c r="E290" s="3058">
        <v>13.78</v>
      </c>
      <c r="F290" s="3058">
        <v>100000</v>
      </c>
      <c r="G290" s="3059">
        <v>100000</v>
      </c>
      <c r="H290" s="3059" t="s">
        <v>3090</v>
      </c>
      <c r="I290" s="3058" t="s">
        <v>3054</v>
      </c>
    </row>
    <row r="291" spans="1:9">
      <c r="A291" s="3059">
        <v>501</v>
      </c>
      <c r="B291" s="3062" t="s">
        <v>3254</v>
      </c>
      <c r="C291" s="3062"/>
      <c r="D291" s="3062" t="s">
        <v>4218</v>
      </c>
      <c r="E291" s="3058">
        <v>12.72</v>
      </c>
      <c r="F291" s="3058">
        <v>100000</v>
      </c>
      <c r="G291" s="3059">
        <v>100000</v>
      </c>
      <c r="H291" s="3059" t="s">
        <v>3090</v>
      </c>
      <c r="I291" s="3058" t="s">
        <v>3054</v>
      </c>
    </row>
    <row r="292" spans="1:9">
      <c r="A292" s="3059">
        <v>502</v>
      </c>
      <c r="B292" s="3062" t="s">
        <v>3254</v>
      </c>
      <c r="C292" s="3062"/>
      <c r="D292" s="3062" t="s">
        <v>4217</v>
      </c>
      <c r="E292" s="3058">
        <v>12.72</v>
      </c>
      <c r="F292" s="3058">
        <v>100000</v>
      </c>
      <c r="G292" s="3059">
        <v>100000</v>
      </c>
      <c r="H292" s="3059" t="s">
        <v>3090</v>
      </c>
      <c r="I292" s="3058" t="s">
        <v>3054</v>
      </c>
    </row>
    <row r="293" spans="1:9">
      <c r="A293" s="3059">
        <v>503</v>
      </c>
      <c r="B293" s="3062" t="s">
        <v>3254</v>
      </c>
      <c r="C293" s="3062"/>
      <c r="D293" s="3062" t="s">
        <v>4216</v>
      </c>
      <c r="E293" s="3058">
        <v>13.78</v>
      </c>
      <c r="F293" s="3058">
        <v>100000</v>
      </c>
      <c r="G293" s="3059">
        <v>100000</v>
      </c>
      <c r="H293" s="3059" t="s">
        <v>3090</v>
      </c>
      <c r="I293" s="3058" t="s">
        <v>3054</v>
      </c>
    </row>
    <row r="294" spans="1:9">
      <c r="A294" s="3059">
        <v>504</v>
      </c>
      <c r="B294" s="3062" t="s">
        <v>3254</v>
      </c>
      <c r="C294" s="3062"/>
      <c r="D294" s="3062" t="s">
        <v>4215</v>
      </c>
      <c r="E294" s="3058">
        <v>12.72</v>
      </c>
      <c r="F294" s="3058">
        <v>100000</v>
      </c>
      <c r="G294" s="3059">
        <v>100000</v>
      </c>
      <c r="H294" s="3059" t="s">
        <v>3090</v>
      </c>
      <c r="I294" s="3058" t="s">
        <v>3054</v>
      </c>
    </row>
    <row r="295" spans="1:9">
      <c r="A295" s="3059">
        <v>505</v>
      </c>
      <c r="B295" s="3062" t="s">
        <v>3254</v>
      </c>
      <c r="C295" s="3062"/>
      <c r="D295" s="3062" t="s">
        <v>4214</v>
      </c>
      <c r="E295" s="3058">
        <v>12.72</v>
      </c>
      <c r="F295" s="3058">
        <v>100000</v>
      </c>
      <c r="G295" s="3059">
        <v>100000</v>
      </c>
      <c r="H295" s="3059" t="s">
        <v>3090</v>
      </c>
      <c r="I295" s="3058" t="s">
        <v>3054</v>
      </c>
    </row>
    <row r="296" spans="1:9">
      <c r="A296" s="3059">
        <v>506</v>
      </c>
      <c r="B296" s="3062" t="s">
        <v>3254</v>
      </c>
      <c r="C296" s="3062"/>
      <c r="D296" s="3062" t="s">
        <v>4213</v>
      </c>
      <c r="E296" s="3058">
        <v>13.78</v>
      </c>
      <c r="F296" s="3058">
        <v>100000</v>
      </c>
      <c r="G296" s="3059">
        <v>100000</v>
      </c>
      <c r="H296" s="3059" t="s">
        <v>3090</v>
      </c>
      <c r="I296" s="3058" t="s">
        <v>3054</v>
      </c>
    </row>
    <row r="297" spans="1:9">
      <c r="A297" s="3059">
        <v>507</v>
      </c>
      <c r="B297" s="3062" t="s">
        <v>3254</v>
      </c>
      <c r="C297" s="3062"/>
      <c r="D297" s="3062" t="s">
        <v>4212</v>
      </c>
      <c r="E297" s="3058">
        <v>12.72</v>
      </c>
      <c r="F297" s="3058">
        <v>100000</v>
      </c>
      <c r="G297" s="3059">
        <v>100000</v>
      </c>
      <c r="H297" s="3059" t="s">
        <v>3090</v>
      </c>
      <c r="I297" s="3058" t="s">
        <v>3054</v>
      </c>
    </row>
    <row r="298" spans="1:9">
      <c r="A298" s="3059">
        <v>508</v>
      </c>
      <c r="B298" s="3062" t="s">
        <v>3254</v>
      </c>
      <c r="C298" s="3062"/>
      <c r="D298" s="3062" t="s">
        <v>4211</v>
      </c>
      <c r="E298" s="3058">
        <v>12.72</v>
      </c>
      <c r="F298" s="3058">
        <v>100000</v>
      </c>
      <c r="G298" s="3059">
        <v>100000</v>
      </c>
      <c r="H298" s="3059" t="s">
        <v>3090</v>
      </c>
      <c r="I298" s="3058" t="s">
        <v>3054</v>
      </c>
    </row>
    <row r="299" spans="1:9">
      <c r="A299" s="3059">
        <v>509</v>
      </c>
      <c r="B299" s="3062" t="s">
        <v>3254</v>
      </c>
      <c r="C299" s="3062"/>
      <c r="D299" s="3062" t="s">
        <v>4210</v>
      </c>
      <c r="E299" s="3058">
        <v>12.72</v>
      </c>
      <c r="F299" s="3058">
        <v>100000</v>
      </c>
      <c r="G299" s="3059">
        <v>100000</v>
      </c>
      <c r="H299" s="3059" t="s">
        <v>3090</v>
      </c>
      <c r="I299" s="3058" t="s">
        <v>3054</v>
      </c>
    </row>
    <row r="300" spans="1:9">
      <c r="A300" s="3059">
        <v>510</v>
      </c>
      <c r="B300" s="3062" t="s">
        <v>3254</v>
      </c>
      <c r="C300" s="3062"/>
      <c r="D300" s="3062" t="s">
        <v>4209</v>
      </c>
      <c r="E300" s="3058">
        <v>12.72</v>
      </c>
      <c r="F300" s="3058">
        <v>100000</v>
      </c>
      <c r="G300" s="3059">
        <v>100000</v>
      </c>
      <c r="H300" s="3059" t="s">
        <v>3090</v>
      </c>
      <c r="I300" s="3058" t="s">
        <v>3054</v>
      </c>
    </row>
    <row r="301" spans="1:9">
      <c r="A301" s="3059">
        <v>511</v>
      </c>
      <c r="B301" s="3062" t="s">
        <v>3710</v>
      </c>
      <c r="C301" s="3062"/>
      <c r="D301" s="3062" t="s">
        <v>4208</v>
      </c>
      <c r="E301" s="3058">
        <v>12.72</v>
      </c>
      <c r="F301" s="3058">
        <v>100000</v>
      </c>
      <c r="G301" s="3059">
        <v>100000</v>
      </c>
      <c r="H301" s="3059" t="s">
        <v>3090</v>
      </c>
      <c r="I301" s="3058" t="s">
        <v>3054</v>
      </c>
    </row>
    <row r="302" spans="1:9">
      <c r="A302" s="3059">
        <v>512</v>
      </c>
      <c r="B302" s="3062" t="s">
        <v>3710</v>
      </c>
      <c r="C302" s="3062"/>
      <c r="D302" s="3062" t="s">
        <v>4207</v>
      </c>
      <c r="E302" s="3058">
        <v>12.72</v>
      </c>
      <c r="F302" s="3058">
        <v>100000</v>
      </c>
      <c r="G302" s="3059">
        <v>100000</v>
      </c>
      <c r="H302" s="3059" t="s">
        <v>3090</v>
      </c>
      <c r="I302" s="3058" t="s">
        <v>3054</v>
      </c>
    </row>
    <row r="303" spans="1:9">
      <c r="A303" s="3059">
        <v>513</v>
      </c>
      <c r="B303" s="3062" t="s">
        <v>3710</v>
      </c>
      <c r="C303" s="3062"/>
      <c r="D303" s="3062" t="s">
        <v>4206</v>
      </c>
      <c r="E303" s="3058">
        <v>12.72</v>
      </c>
      <c r="F303" s="3058">
        <v>100000</v>
      </c>
      <c r="G303" s="3059">
        <v>100000</v>
      </c>
      <c r="H303" s="3059" t="s">
        <v>3090</v>
      </c>
      <c r="I303" s="3058" t="s">
        <v>3054</v>
      </c>
    </row>
    <row r="304" spans="1:9">
      <c r="A304" s="3059">
        <v>514</v>
      </c>
      <c r="B304" s="3062" t="s">
        <v>3710</v>
      </c>
      <c r="C304" s="3062"/>
      <c r="D304" s="3062" t="s">
        <v>4205</v>
      </c>
      <c r="E304" s="3058">
        <v>12.72</v>
      </c>
      <c r="F304" s="3058">
        <v>100000</v>
      </c>
      <c r="G304" s="3059">
        <v>100000</v>
      </c>
      <c r="H304" s="3059" t="s">
        <v>3090</v>
      </c>
      <c r="I304" s="3058" t="s">
        <v>3054</v>
      </c>
    </row>
    <row r="305" spans="1:9">
      <c r="A305" s="3059">
        <v>515</v>
      </c>
      <c r="B305" s="3062" t="s">
        <v>3710</v>
      </c>
      <c r="C305" s="3062"/>
      <c r="D305" s="3062" t="s">
        <v>4204</v>
      </c>
      <c r="E305" s="3058">
        <v>13.78</v>
      </c>
      <c r="F305" s="3058">
        <v>100000</v>
      </c>
      <c r="G305" s="3059">
        <v>100000</v>
      </c>
      <c r="H305" s="3059" t="s">
        <v>3090</v>
      </c>
      <c r="I305" s="3058" t="s">
        <v>3054</v>
      </c>
    </row>
    <row r="306" spans="1:9">
      <c r="A306" s="3059">
        <v>516</v>
      </c>
      <c r="B306" s="3062" t="s">
        <v>3710</v>
      </c>
      <c r="C306" s="3062"/>
      <c r="D306" s="3062" t="s">
        <v>4203</v>
      </c>
      <c r="E306" s="3058">
        <v>12.72</v>
      </c>
      <c r="F306" s="3058">
        <v>100000</v>
      </c>
      <c r="G306" s="3059">
        <v>100000</v>
      </c>
      <c r="H306" s="3059" t="s">
        <v>3090</v>
      </c>
      <c r="I306" s="3058" t="s">
        <v>3054</v>
      </c>
    </row>
    <row r="307" spans="1:9">
      <c r="A307" s="3059">
        <v>517</v>
      </c>
      <c r="B307" s="3062" t="s">
        <v>3710</v>
      </c>
      <c r="C307" s="3062"/>
      <c r="D307" s="3062" t="s">
        <v>4202</v>
      </c>
      <c r="E307" s="3058">
        <v>12.72</v>
      </c>
      <c r="F307" s="3058">
        <v>100000</v>
      </c>
      <c r="G307" s="3059">
        <v>100000</v>
      </c>
      <c r="H307" s="3059" t="s">
        <v>3090</v>
      </c>
      <c r="I307" s="3058" t="s">
        <v>3054</v>
      </c>
    </row>
    <row r="308" spans="1:9">
      <c r="A308" s="3059">
        <v>518</v>
      </c>
      <c r="B308" s="3062" t="s">
        <v>3710</v>
      </c>
      <c r="C308" s="3062"/>
      <c r="D308" s="3062" t="s">
        <v>4201</v>
      </c>
      <c r="E308" s="3058">
        <v>12.72</v>
      </c>
      <c r="F308" s="3058">
        <v>100000</v>
      </c>
      <c r="G308" s="3059">
        <v>100000</v>
      </c>
      <c r="H308" s="3059" t="s">
        <v>3090</v>
      </c>
      <c r="I308" s="3058" t="s">
        <v>3054</v>
      </c>
    </row>
    <row r="309" spans="1:9">
      <c r="A309" s="3059">
        <v>519</v>
      </c>
      <c r="B309" s="3062" t="s">
        <v>3710</v>
      </c>
      <c r="C309" s="3062"/>
      <c r="D309" s="3062" t="s">
        <v>4200</v>
      </c>
      <c r="E309" s="3058">
        <v>12.72</v>
      </c>
      <c r="F309" s="3058">
        <v>100000</v>
      </c>
      <c r="G309" s="3059">
        <v>100000</v>
      </c>
      <c r="H309" s="3059" t="s">
        <v>3090</v>
      </c>
      <c r="I309" s="3058" t="s">
        <v>3054</v>
      </c>
    </row>
    <row r="310" spans="1:9">
      <c r="A310" s="3059">
        <v>520</v>
      </c>
      <c r="B310" s="3062" t="s">
        <v>3710</v>
      </c>
      <c r="C310" s="3062"/>
      <c r="D310" s="3062" t="s">
        <v>4199</v>
      </c>
      <c r="E310" s="3058">
        <v>12.72</v>
      </c>
      <c r="F310" s="3058">
        <v>100000</v>
      </c>
      <c r="G310" s="3059">
        <v>100000</v>
      </c>
      <c r="H310" s="3059" t="s">
        <v>3090</v>
      </c>
      <c r="I310" s="3058" t="s">
        <v>3054</v>
      </c>
    </row>
    <row r="311" spans="1:9">
      <c r="A311" s="3059">
        <v>521</v>
      </c>
      <c r="B311" s="3062" t="s">
        <v>3710</v>
      </c>
      <c r="C311" s="3062"/>
      <c r="D311" s="3062" t="s">
        <v>4198</v>
      </c>
      <c r="E311" s="3058">
        <v>12.72</v>
      </c>
      <c r="F311" s="3058">
        <v>100000</v>
      </c>
      <c r="G311" s="3059">
        <v>100000</v>
      </c>
      <c r="H311" s="3059" t="s">
        <v>3090</v>
      </c>
      <c r="I311" s="3058" t="s">
        <v>3054</v>
      </c>
    </row>
    <row r="312" spans="1:9">
      <c r="A312" s="3059">
        <v>522</v>
      </c>
      <c r="B312" s="3062" t="s">
        <v>3710</v>
      </c>
      <c r="C312" s="3062"/>
      <c r="D312" s="3062" t="s">
        <v>4197</v>
      </c>
      <c r="E312" s="3058">
        <v>12.72</v>
      </c>
      <c r="F312" s="3058">
        <v>100000</v>
      </c>
      <c r="G312" s="3059">
        <v>100000</v>
      </c>
      <c r="H312" s="3059" t="s">
        <v>3090</v>
      </c>
      <c r="I312" s="3058" t="s">
        <v>3054</v>
      </c>
    </row>
    <row r="313" spans="1:9">
      <c r="A313" s="3059">
        <v>523</v>
      </c>
      <c r="B313" s="3062" t="s">
        <v>3710</v>
      </c>
      <c r="C313" s="3062"/>
      <c r="D313" s="3062" t="s">
        <v>4196</v>
      </c>
      <c r="E313" s="3058">
        <v>12.72</v>
      </c>
      <c r="F313" s="3058">
        <v>100000</v>
      </c>
      <c r="G313" s="3059">
        <v>100000</v>
      </c>
      <c r="H313" s="3059" t="s">
        <v>3090</v>
      </c>
      <c r="I313" s="3058" t="s">
        <v>3054</v>
      </c>
    </row>
    <row r="314" spans="1:9">
      <c r="A314" s="3059">
        <v>524</v>
      </c>
      <c r="B314" s="3062" t="s">
        <v>3710</v>
      </c>
      <c r="C314" s="3062"/>
      <c r="D314" s="3062" t="s">
        <v>4195</v>
      </c>
      <c r="E314" s="3058">
        <v>12.72</v>
      </c>
      <c r="F314" s="3058">
        <v>100000</v>
      </c>
      <c r="G314" s="3059">
        <v>100000</v>
      </c>
      <c r="H314" s="3059" t="s">
        <v>3090</v>
      </c>
      <c r="I314" s="3058" t="s">
        <v>3054</v>
      </c>
    </row>
    <row r="315" spans="1:9">
      <c r="A315" s="3059">
        <v>525</v>
      </c>
      <c r="B315" s="3062" t="s">
        <v>3710</v>
      </c>
      <c r="C315" s="3062"/>
      <c r="D315" s="3062" t="s">
        <v>4194</v>
      </c>
      <c r="E315" s="3058">
        <v>12.72</v>
      </c>
      <c r="F315" s="3058">
        <v>100000</v>
      </c>
      <c r="G315" s="3059">
        <v>100000</v>
      </c>
      <c r="H315" s="3059" t="s">
        <v>3090</v>
      </c>
      <c r="I315" s="3058" t="s">
        <v>3054</v>
      </c>
    </row>
    <row r="316" spans="1:9">
      <c r="A316" s="3059">
        <v>526</v>
      </c>
      <c r="B316" s="3062" t="s">
        <v>3710</v>
      </c>
      <c r="C316" s="3062"/>
      <c r="D316" s="3062" t="s">
        <v>4193</v>
      </c>
      <c r="E316" s="3058">
        <v>12.72</v>
      </c>
      <c r="F316" s="3058">
        <v>100000</v>
      </c>
      <c r="G316" s="3059">
        <v>100000</v>
      </c>
      <c r="H316" s="3059" t="s">
        <v>3090</v>
      </c>
      <c r="I316" s="3058" t="s">
        <v>3054</v>
      </c>
    </row>
    <row r="317" spans="1:9">
      <c r="A317" s="3059">
        <v>527</v>
      </c>
      <c r="B317" s="3062" t="s">
        <v>3710</v>
      </c>
      <c r="C317" s="3062"/>
      <c r="D317" s="3062" t="s">
        <v>4192</v>
      </c>
      <c r="E317" s="3058">
        <v>12.72</v>
      </c>
      <c r="F317" s="3058">
        <v>100000</v>
      </c>
      <c r="G317" s="3059">
        <v>100000</v>
      </c>
      <c r="H317" s="3059" t="s">
        <v>3090</v>
      </c>
      <c r="I317" s="3058" t="s">
        <v>3054</v>
      </c>
    </row>
    <row r="318" spans="1:9">
      <c r="A318" s="3059">
        <v>528</v>
      </c>
      <c r="B318" s="3062" t="s">
        <v>3710</v>
      </c>
      <c r="C318" s="3062"/>
      <c r="D318" s="3062" t="s">
        <v>4191</v>
      </c>
      <c r="E318" s="3058">
        <v>12.72</v>
      </c>
      <c r="F318" s="3058">
        <v>100000</v>
      </c>
      <c r="G318" s="3059">
        <v>100000</v>
      </c>
      <c r="H318" s="3059" t="s">
        <v>3090</v>
      </c>
      <c r="I318" s="3058" t="s">
        <v>3054</v>
      </c>
    </row>
    <row r="319" spans="1:9">
      <c r="A319" s="3059">
        <v>529</v>
      </c>
      <c r="B319" s="3062" t="s">
        <v>3710</v>
      </c>
      <c r="C319" s="3062"/>
      <c r="D319" s="3062" t="s">
        <v>4190</v>
      </c>
      <c r="E319" s="3058">
        <v>12.72</v>
      </c>
      <c r="F319" s="3058">
        <v>100000</v>
      </c>
      <c r="G319" s="3059">
        <v>100000</v>
      </c>
      <c r="H319" s="3059" t="s">
        <v>3090</v>
      </c>
      <c r="I319" s="3058" t="s">
        <v>3054</v>
      </c>
    </row>
    <row r="320" spans="1:9">
      <c r="A320" s="3059">
        <v>530</v>
      </c>
      <c r="B320" s="3062" t="s">
        <v>3710</v>
      </c>
      <c r="C320" s="3062"/>
      <c r="D320" s="3062" t="s">
        <v>4189</v>
      </c>
      <c r="E320" s="3058">
        <v>12.72</v>
      </c>
      <c r="F320" s="3058">
        <v>100000</v>
      </c>
      <c r="G320" s="3059">
        <v>100000</v>
      </c>
      <c r="H320" s="3059" t="s">
        <v>3090</v>
      </c>
      <c r="I320" s="3058" t="s">
        <v>3054</v>
      </c>
    </row>
    <row r="321" spans="1:9">
      <c r="A321" s="3059">
        <v>531</v>
      </c>
      <c r="B321" s="3062" t="s">
        <v>3710</v>
      </c>
      <c r="C321" s="3062"/>
      <c r="D321" s="3062" t="s">
        <v>4188</v>
      </c>
      <c r="E321" s="3058">
        <v>12.72</v>
      </c>
      <c r="F321" s="3058">
        <v>100000</v>
      </c>
      <c r="G321" s="3059">
        <v>100000</v>
      </c>
      <c r="H321" s="3059" t="s">
        <v>3090</v>
      </c>
      <c r="I321" s="3058" t="s">
        <v>3054</v>
      </c>
    </row>
    <row r="322" spans="1:9">
      <c r="A322" s="3059">
        <v>532</v>
      </c>
      <c r="B322" s="3062" t="s">
        <v>3710</v>
      </c>
      <c r="C322" s="3062"/>
      <c r="D322" s="3062" t="s">
        <v>4187</v>
      </c>
      <c r="E322" s="3058">
        <v>12.72</v>
      </c>
      <c r="F322" s="3058">
        <v>100000</v>
      </c>
      <c r="G322" s="3059">
        <v>100000</v>
      </c>
      <c r="H322" s="3059" t="s">
        <v>3090</v>
      </c>
      <c r="I322" s="3058" t="s">
        <v>3054</v>
      </c>
    </row>
    <row r="323" spans="1:9">
      <c r="A323" s="3059">
        <v>533</v>
      </c>
      <c r="B323" s="3062" t="s">
        <v>3710</v>
      </c>
      <c r="C323" s="3062"/>
      <c r="D323" s="3062" t="s">
        <v>4186</v>
      </c>
      <c r="E323" s="3058">
        <v>12.72</v>
      </c>
      <c r="F323" s="3058">
        <v>100000</v>
      </c>
      <c r="G323" s="3059">
        <v>100000</v>
      </c>
      <c r="H323" s="3059" t="s">
        <v>3090</v>
      </c>
      <c r="I323" s="3058" t="s">
        <v>3054</v>
      </c>
    </row>
    <row r="324" spans="1:9">
      <c r="A324" s="3059">
        <v>534</v>
      </c>
      <c r="B324" s="3062" t="s">
        <v>3710</v>
      </c>
      <c r="C324" s="3062"/>
      <c r="D324" s="3062" t="s">
        <v>4185</v>
      </c>
      <c r="E324" s="3058">
        <v>12.72</v>
      </c>
      <c r="F324" s="3058">
        <v>100000</v>
      </c>
      <c r="G324" s="3059">
        <v>100000</v>
      </c>
      <c r="H324" s="3059" t="s">
        <v>3090</v>
      </c>
      <c r="I324" s="3058" t="s">
        <v>3054</v>
      </c>
    </row>
    <row r="325" spans="1:9">
      <c r="A325" s="3059">
        <v>535</v>
      </c>
      <c r="B325" s="3062" t="s">
        <v>3710</v>
      </c>
      <c r="C325" s="3062"/>
      <c r="D325" s="3062" t="s">
        <v>4184</v>
      </c>
      <c r="E325" s="3058">
        <v>12.72</v>
      </c>
      <c r="F325" s="3058">
        <v>100000</v>
      </c>
      <c r="G325" s="3059">
        <v>100000</v>
      </c>
      <c r="H325" s="3059" t="s">
        <v>3090</v>
      </c>
      <c r="I325" s="3058" t="s">
        <v>3054</v>
      </c>
    </row>
    <row r="326" spans="1:9">
      <c r="A326" s="3059">
        <v>536</v>
      </c>
      <c r="B326" s="3062" t="s">
        <v>3710</v>
      </c>
      <c r="C326" s="3062"/>
      <c r="D326" s="3062" t="s">
        <v>4183</v>
      </c>
      <c r="E326" s="3058">
        <v>12.72</v>
      </c>
      <c r="F326" s="3058">
        <v>100000</v>
      </c>
      <c r="G326" s="3059">
        <v>100000</v>
      </c>
      <c r="H326" s="3059" t="s">
        <v>3090</v>
      </c>
      <c r="I326" s="3058" t="s">
        <v>3054</v>
      </c>
    </row>
    <row r="327" spans="1:9">
      <c r="A327" s="3059">
        <v>537</v>
      </c>
      <c r="B327" s="3062" t="s">
        <v>3710</v>
      </c>
      <c r="C327" s="3062"/>
      <c r="D327" s="3062" t="s">
        <v>4182</v>
      </c>
      <c r="E327" s="3058">
        <v>12.72</v>
      </c>
      <c r="F327" s="3058">
        <v>100000</v>
      </c>
      <c r="G327" s="3059">
        <v>100000</v>
      </c>
      <c r="H327" s="3059" t="s">
        <v>3090</v>
      </c>
      <c r="I327" s="3058" t="s">
        <v>3054</v>
      </c>
    </row>
    <row r="328" spans="1:9">
      <c r="A328" s="3059">
        <v>538</v>
      </c>
      <c r="B328" s="3062" t="s">
        <v>3710</v>
      </c>
      <c r="C328" s="3062"/>
      <c r="D328" s="3062" t="s">
        <v>4181</v>
      </c>
      <c r="E328" s="3058">
        <v>12.72</v>
      </c>
      <c r="F328" s="3058">
        <v>100000</v>
      </c>
      <c r="G328" s="3059">
        <v>100000</v>
      </c>
      <c r="H328" s="3059" t="s">
        <v>3090</v>
      </c>
      <c r="I328" s="3058" t="s">
        <v>3054</v>
      </c>
    </row>
    <row r="329" spans="1:9">
      <c r="A329" s="3059">
        <v>539</v>
      </c>
      <c r="B329" s="3062" t="s">
        <v>3710</v>
      </c>
      <c r="C329" s="3062"/>
      <c r="D329" s="3062" t="s">
        <v>4180</v>
      </c>
      <c r="E329" s="3058">
        <v>12.72</v>
      </c>
      <c r="F329" s="3058">
        <v>100000</v>
      </c>
      <c r="G329" s="3059">
        <v>100000</v>
      </c>
      <c r="H329" s="3059" t="s">
        <v>3090</v>
      </c>
      <c r="I329" s="3058" t="s">
        <v>3054</v>
      </c>
    </row>
    <row r="330" spans="1:9">
      <c r="A330" s="3059">
        <v>540</v>
      </c>
      <c r="B330" s="3062" t="s">
        <v>3710</v>
      </c>
      <c r="C330" s="3062"/>
      <c r="D330" s="3062" t="s">
        <v>4179</v>
      </c>
      <c r="E330" s="3058">
        <v>12.72</v>
      </c>
      <c r="F330" s="3058">
        <v>100000</v>
      </c>
      <c r="G330" s="3059">
        <v>100000</v>
      </c>
      <c r="H330" s="3059" t="s">
        <v>3090</v>
      </c>
      <c r="I330" s="3058" t="s">
        <v>3054</v>
      </c>
    </row>
    <row r="331" spans="1:9">
      <c r="A331" s="3059">
        <v>541</v>
      </c>
      <c r="B331" s="3062" t="s">
        <v>3710</v>
      </c>
      <c r="C331" s="3062"/>
      <c r="D331" s="3062" t="s">
        <v>4178</v>
      </c>
      <c r="E331" s="3058">
        <v>12.72</v>
      </c>
      <c r="F331" s="3058">
        <v>100000</v>
      </c>
      <c r="G331" s="3059">
        <v>100000</v>
      </c>
      <c r="H331" s="3059" t="s">
        <v>3090</v>
      </c>
      <c r="I331" s="3058" t="s">
        <v>3054</v>
      </c>
    </row>
    <row r="332" spans="1:9">
      <c r="A332" s="3059">
        <v>542</v>
      </c>
      <c r="B332" s="3062" t="s">
        <v>3710</v>
      </c>
      <c r="C332" s="3062"/>
      <c r="D332" s="3062" t="s">
        <v>4177</v>
      </c>
      <c r="E332" s="3058">
        <v>12.72</v>
      </c>
      <c r="F332" s="3058">
        <v>100000</v>
      </c>
      <c r="G332" s="3059">
        <v>100000</v>
      </c>
      <c r="H332" s="3059" t="s">
        <v>3090</v>
      </c>
      <c r="I332" s="3058" t="s">
        <v>3054</v>
      </c>
    </row>
    <row r="333" spans="1:9">
      <c r="A333" s="3059">
        <v>543</v>
      </c>
      <c r="B333" s="3062" t="s">
        <v>3710</v>
      </c>
      <c r="C333" s="3062"/>
      <c r="D333" s="3062" t="s">
        <v>4176</v>
      </c>
      <c r="E333" s="3058">
        <v>12.72</v>
      </c>
      <c r="F333" s="3058">
        <v>100000</v>
      </c>
      <c r="G333" s="3059">
        <v>100000</v>
      </c>
      <c r="H333" s="3059" t="s">
        <v>3090</v>
      </c>
      <c r="I333" s="3058" t="s">
        <v>3054</v>
      </c>
    </row>
    <row r="334" spans="1:9">
      <c r="A334" s="3059">
        <v>544</v>
      </c>
      <c r="B334" s="3062" t="s">
        <v>3710</v>
      </c>
      <c r="C334" s="3062"/>
      <c r="D334" s="3062" t="s">
        <v>4175</v>
      </c>
      <c r="E334" s="3058">
        <v>12.72</v>
      </c>
      <c r="F334" s="3058">
        <v>100000</v>
      </c>
      <c r="G334" s="3059">
        <v>100000</v>
      </c>
      <c r="H334" s="3059" t="s">
        <v>3090</v>
      </c>
      <c r="I334" s="3058" t="s">
        <v>3054</v>
      </c>
    </row>
    <row r="335" spans="1:9">
      <c r="A335" s="3059">
        <v>545</v>
      </c>
      <c r="B335" s="3062" t="s">
        <v>3710</v>
      </c>
      <c r="C335" s="3062"/>
      <c r="D335" s="3062" t="s">
        <v>4174</v>
      </c>
      <c r="E335" s="3058">
        <v>12.72</v>
      </c>
      <c r="F335" s="3058">
        <v>100000</v>
      </c>
      <c r="G335" s="3059">
        <v>100000</v>
      </c>
      <c r="H335" s="3059" t="s">
        <v>3090</v>
      </c>
      <c r="I335" s="3058" t="s">
        <v>3054</v>
      </c>
    </row>
    <row r="336" spans="1:9">
      <c r="A336" s="3059">
        <v>546</v>
      </c>
      <c r="B336" s="3062" t="s">
        <v>3710</v>
      </c>
      <c r="C336" s="3062"/>
      <c r="D336" s="3062" t="s">
        <v>4173</v>
      </c>
      <c r="E336" s="3058">
        <v>12.72</v>
      </c>
      <c r="F336" s="3058">
        <v>100000</v>
      </c>
      <c r="G336" s="3059">
        <v>100000</v>
      </c>
      <c r="H336" s="3059" t="s">
        <v>3090</v>
      </c>
      <c r="I336" s="3058" t="s">
        <v>3054</v>
      </c>
    </row>
    <row r="337" spans="1:9">
      <c r="A337" s="3059">
        <v>547</v>
      </c>
      <c r="B337" s="3062" t="s">
        <v>3710</v>
      </c>
      <c r="C337" s="3062"/>
      <c r="D337" s="3062" t="s">
        <v>4172</v>
      </c>
      <c r="E337" s="3058">
        <v>12.72</v>
      </c>
      <c r="F337" s="3058">
        <v>100000</v>
      </c>
      <c r="G337" s="3059">
        <v>100000</v>
      </c>
      <c r="H337" s="3059" t="s">
        <v>3090</v>
      </c>
      <c r="I337" s="3058" t="s">
        <v>3054</v>
      </c>
    </row>
    <row r="338" spans="1:9">
      <c r="A338" s="3059">
        <v>548</v>
      </c>
      <c r="B338" s="3062" t="s">
        <v>3710</v>
      </c>
      <c r="C338" s="3062"/>
      <c r="D338" s="3062" t="s">
        <v>4171</v>
      </c>
      <c r="E338" s="3058">
        <v>12.72</v>
      </c>
      <c r="F338" s="3058">
        <v>100000</v>
      </c>
      <c r="G338" s="3059">
        <v>100000</v>
      </c>
      <c r="H338" s="3059" t="s">
        <v>3090</v>
      </c>
      <c r="I338" s="3058" t="s">
        <v>3054</v>
      </c>
    </row>
    <row r="339" spans="1:9">
      <c r="A339" s="3059">
        <v>549</v>
      </c>
      <c r="B339" s="3062" t="s">
        <v>3710</v>
      </c>
      <c r="C339" s="3062"/>
      <c r="D339" s="3062" t="s">
        <v>4170</v>
      </c>
      <c r="E339" s="3058">
        <v>12.72</v>
      </c>
      <c r="F339" s="3058">
        <v>100000</v>
      </c>
      <c r="G339" s="3059">
        <v>100000</v>
      </c>
      <c r="H339" s="3059" t="s">
        <v>3090</v>
      </c>
      <c r="I339" s="3058" t="s">
        <v>3054</v>
      </c>
    </row>
    <row r="340" spans="1:9">
      <c r="A340" s="3059">
        <v>550</v>
      </c>
      <c r="B340" s="3062" t="s">
        <v>3710</v>
      </c>
      <c r="C340" s="3062"/>
      <c r="D340" s="3062" t="s">
        <v>4169</v>
      </c>
      <c r="E340" s="3058">
        <v>12.72</v>
      </c>
      <c r="F340" s="3058">
        <v>100000</v>
      </c>
      <c r="G340" s="3059">
        <v>100000</v>
      </c>
      <c r="H340" s="3059" t="s">
        <v>3090</v>
      </c>
      <c r="I340" s="3058" t="s">
        <v>3054</v>
      </c>
    </row>
    <row r="341" spans="1:9">
      <c r="A341" s="3059">
        <v>551</v>
      </c>
      <c r="B341" s="3062" t="s">
        <v>3710</v>
      </c>
      <c r="C341" s="3062"/>
      <c r="D341" s="3062" t="s">
        <v>4168</v>
      </c>
      <c r="E341" s="3058">
        <v>12.72</v>
      </c>
      <c r="F341" s="3058">
        <v>100000</v>
      </c>
      <c r="G341" s="3059">
        <v>100000</v>
      </c>
      <c r="H341" s="3059" t="s">
        <v>3090</v>
      </c>
      <c r="I341" s="3058" t="s">
        <v>3054</v>
      </c>
    </row>
    <row r="342" spans="1:9">
      <c r="A342" s="3059">
        <v>552</v>
      </c>
      <c r="B342" s="3062" t="s">
        <v>3710</v>
      </c>
      <c r="C342" s="3062"/>
      <c r="D342" s="3062" t="s">
        <v>4167</v>
      </c>
      <c r="E342" s="3058">
        <v>12.72</v>
      </c>
      <c r="F342" s="3058">
        <v>100000</v>
      </c>
      <c r="G342" s="3059">
        <v>100000</v>
      </c>
      <c r="H342" s="3059" t="s">
        <v>3090</v>
      </c>
      <c r="I342" s="3058" t="s">
        <v>3054</v>
      </c>
    </row>
    <row r="343" spans="1:9">
      <c r="A343" s="3059">
        <v>553</v>
      </c>
      <c r="B343" s="3062" t="s">
        <v>3710</v>
      </c>
      <c r="C343" s="3062"/>
      <c r="D343" s="3062" t="s">
        <v>4166</v>
      </c>
      <c r="E343" s="3058">
        <v>9.4600000000000009</v>
      </c>
      <c r="F343" s="3058">
        <v>100000</v>
      </c>
      <c r="G343" s="3059">
        <v>100000</v>
      </c>
      <c r="H343" s="3059" t="s">
        <v>3090</v>
      </c>
      <c r="I343" s="3058" t="s">
        <v>3054</v>
      </c>
    </row>
    <row r="344" spans="1:9">
      <c r="A344" s="3059">
        <v>554</v>
      </c>
      <c r="B344" s="3062" t="s">
        <v>3710</v>
      </c>
      <c r="C344" s="3062"/>
      <c r="D344" s="3062" t="s">
        <v>4165</v>
      </c>
      <c r="E344" s="3058">
        <v>12.72</v>
      </c>
      <c r="F344" s="3058">
        <v>100000</v>
      </c>
      <c r="G344" s="3059">
        <v>100000</v>
      </c>
      <c r="H344" s="3059" t="s">
        <v>3090</v>
      </c>
      <c r="I344" s="3058" t="s">
        <v>3054</v>
      </c>
    </row>
    <row r="345" spans="1:9">
      <c r="A345" s="3059">
        <v>555</v>
      </c>
      <c r="B345" s="3062" t="s">
        <v>3710</v>
      </c>
      <c r="C345" s="3062"/>
      <c r="D345" s="3062" t="s">
        <v>4164</v>
      </c>
      <c r="E345" s="3058">
        <v>9.4600000000000009</v>
      </c>
      <c r="F345" s="3058">
        <v>100000</v>
      </c>
      <c r="G345" s="3059">
        <v>100000</v>
      </c>
      <c r="H345" s="3059" t="s">
        <v>3090</v>
      </c>
      <c r="I345" s="3058" t="s">
        <v>3054</v>
      </c>
    </row>
    <row r="346" spans="1:9">
      <c r="A346" s="3059">
        <v>556</v>
      </c>
      <c r="B346" s="3062" t="s">
        <v>3710</v>
      </c>
      <c r="C346" s="3062"/>
      <c r="D346" s="3062" t="s">
        <v>4163</v>
      </c>
      <c r="E346" s="3058">
        <v>13.78</v>
      </c>
      <c r="F346" s="3058">
        <v>100000</v>
      </c>
      <c r="G346" s="3059">
        <v>100000</v>
      </c>
      <c r="H346" s="3059" t="s">
        <v>3090</v>
      </c>
      <c r="I346" s="3058" t="s">
        <v>3054</v>
      </c>
    </row>
    <row r="347" spans="1:9">
      <c r="A347" s="3059">
        <v>557</v>
      </c>
      <c r="B347" s="3062" t="s">
        <v>3710</v>
      </c>
      <c r="C347" s="3062"/>
      <c r="D347" s="3062" t="s">
        <v>4162</v>
      </c>
      <c r="E347" s="3058">
        <v>12.72</v>
      </c>
      <c r="F347" s="3058">
        <v>100000</v>
      </c>
      <c r="G347" s="3059">
        <v>100000</v>
      </c>
      <c r="H347" s="3059" t="s">
        <v>3090</v>
      </c>
      <c r="I347" s="3058" t="s">
        <v>3054</v>
      </c>
    </row>
    <row r="348" spans="1:9">
      <c r="A348" s="3059">
        <v>558</v>
      </c>
      <c r="B348" s="3062" t="s">
        <v>3710</v>
      </c>
      <c r="C348" s="3062"/>
      <c r="D348" s="3062" t="s">
        <v>4161</v>
      </c>
      <c r="E348" s="3058">
        <v>13.78</v>
      </c>
      <c r="F348" s="3058">
        <v>100000</v>
      </c>
      <c r="G348" s="3059">
        <v>100000</v>
      </c>
      <c r="H348" s="3059" t="s">
        <v>3090</v>
      </c>
      <c r="I348" s="3058" t="s">
        <v>3054</v>
      </c>
    </row>
    <row r="349" spans="1:9">
      <c r="A349" s="3059">
        <v>559</v>
      </c>
      <c r="B349" s="3062" t="s">
        <v>3710</v>
      </c>
      <c r="C349" s="3062"/>
      <c r="D349" s="3062" t="s">
        <v>4160</v>
      </c>
      <c r="E349" s="3058">
        <v>13.78</v>
      </c>
      <c r="F349" s="3058">
        <v>100000</v>
      </c>
      <c r="G349" s="3059">
        <v>100000</v>
      </c>
      <c r="H349" s="3059" t="s">
        <v>3090</v>
      </c>
      <c r="I349" s="3058" t="s">
        <v>3054</v>
      </c>
    </row>
    <row r="350" spans="1:9">
      <c r="A350" s="3059">
        <v>560</v>
      </c>
      <c r="B350" s="3062" t="s">
        <v>3710</v>
      </c>
      <c r="C350" s="3062"/>
      <c r="D350" s="3062" t="s">
        <v>4159</v>
      </c>
      <c r="E350" s="3058">
        <v>13.78</v>
      </c>
      <c r="F350" s="3058">
        <v>100000</v>
      </c>
      <c r="G350" s="3059">
        <v>100000</v>
      </c>
      <c r="H350" s="3059" t="s">
        <v>3090</v>
      </c>
      <c r="I350" s="3058" t="s">
        <v>3054</v>
      </c>
    </row>
    <row r="351" spans="1:9">
      <c r="A351" s="3059">
        <v>561</v>
      </c>
      <c r="B351" s="3062" t="s">
        <v>3710</v>
      </c>
      <c r="C351" s="3062"/>
      <c r="D351" s="3062" t="s">
        <v>4158</v>
      </c>
      <c r="E351" s="3058">
        <v>12.72</v>
      </c>
      <c r="F351" s="3058">
        <v>100000</v>
      </c>
      <c r="G351" s="3059">
        <v>100000</v>
      </c>
      <c r="H351" s="3059" t="s">
        <v>3090</v>
      </c>
      <c r="I351" s="3058" t="s">
        <v>3054</v>
      </c>
    </row>
    <row r="352" spans="1:9">
      <c r="A352" s="3059">
        <v>562</v>
      </c>
      <c r="B352" s="3062" t="s">
        <v>3710</v>
      </c>
      <c r="C352" s="3062"/>
      <c r="D352" s="3062" t="s">
        <v>4157</v>
      </c>
      <c r="E352" s="3058">
        <v>9.4600000000000009</v>
      </c>
      <c r="F352" s="3058">
        <v>100000</v>
      </c>
      <c r="G352" s="3059">
        <v>100000</v>
      </c>
      <c r="H352" s="3059" t="s">
        <v>3090</v>
      </c>
      <c r="I352" s="3058" t="s">
        <v>3054</v>
      </c>
    </row>
    <row r="353" spans="1:9">
      <c r="A353" s="3059">
        <v>563</v>
      </c>
      <c r="B353" s="3062" t="s">
        <v>3710</v>
      </c>
      <c r="C353" s="3062"/>
      <c r="D353" s="3062" t="s">
        <v>4156</v>
      </c>
      <c r="E353" s="3058">
        <v>12.72</v>
      </c>
      <c r="F353" s="3058">
        <v>100000</v>
      </c>
      <c r="G353" s="3059">
        <v>100000</v>
      </c>
      <c r="H353" s="3059" t="s">
        <v>3090</v>
      </c>
      <c r="I353" s="3058" t="s">
        <v>3054</v>
      </c>
    </row>
    <row r="354" spans="1:9">
      <c r="A354" s="3059">
        <v>564</v>
      </c>
      <c r="B354" s="3062" t="s">
        <v>3710</v>
      </c>
      <c r="C354" s="3062"/>
      <c r="D354" s="3062" t="s">
        <v>4155</v>
      </c>
      <c r="E354" s="3058">
        <v>12.72</v>
      </c>
      <c r="F354" s="3058">
        <v>100000</v>
      </c>
      <c r="G354" s="3059">
        <v>100000</v>
      </c>
      <c r="H354" s="3059" t="s">
        <v>3090</v>
      </c>
      <c r="I354" s="3058" t="s">
        <v>3054</v>
      </c>
    </row>
    <row r="355" spans="1:9">
      <c r="A355" s="3059">
        <v>565</v>
      </c>
      <c r="B355" s="3062" t="s">
        <v>3710</v>
      </c>
      <c r="C355" s="3062"/>
      <c r="D355" s="3062" t="s">
        <v>4154</v>
      </c>
      <c r="E355" s="3058">
        <v>12.72</v>
      </c>
      <c r="F355" s="3058">
        <v>100000</v>
      </c>
      <c r="G355" s="3059">
        <v>100000</v>
      </c>
      <c r="H355" s="3059" t="s">
        <v>3090</v>
      </c>
      <c r="I355" s="3058" t="s">
        <v>3054</v>
      </c>
    </row>
    <row r="356" spans="1:9">
      <c r="A356" s="3059">
        <v>566</v>
      </c>
      <c r="B356" s="3062" t="s">
        <v>3710</v>
      </c>
      <c r="C356" s="3062"/>
      <c r="D356" s="3062" t="s">
        <v>4153</v>
      </c>
      <c r="E356" s="3058">
        <v>12.72</v>
      </c>
      <c r="F356" s="3058">
        <v>100000</v>
      </c>
      <c r="G356" s="3059">
        <v>100000</v>
      </c>
      <c r="H356" s="3059" t="s">
        <v>3090</v>
      </c>
      <c r="I356" s="3058" t="s">
        <v>3054</v>
      </c>
    </row>
    <row r="357" spans="1:9">
      <c r="A357" s="3059">
        <v>567</v>
      </c>
      <c r="B357" s="3062" t="s">
        <v>3710</v>
      </c>
      <c r="C357" s="3062"/>
      <c r="D357" s="3062" t="s">
        <v>4152</v>
      </c>
      <c r="E357" s="3058">
        <v>12.72</v>
      </c>
      <c r="F357" s="3058">
        <v>100000</v>
      </c>
      <c r="G357" s="3059">
        <v>100000</v>
      </c>
      <c r="H357" s="3059" t="s">
        <v>3090</v>
      </c>
      <c r="I357" s="3058" t="s">
        <v>3054</v>
      </c>
    </row>
    <row r="358" spans="1:9">
      <c r="A358" s="3059">
        <v>568</v>
      </c>
      <c r="B358" s="3062" t="s">
        <v>3710</v>
      </c>
      <c r="C358" s="3062"/>
      <c r="D358" s="3062" t="s">
        <v>4151</v>
      </c>
      <c r="E358" s="3058">
        <v>12.72</v>
      </c>
      <c r="F358" s="3058">
        <v>100000</v>
      </c>
      <c r="G358" s="3059">
        <v>100000</v>
      </c>
      <c r="H358" s="3059" t="s">
        <v>3090</v>
      </c>
      <c r="I358" s="3058" t="s">
        <v>3054</v>
      </c>
    </row>
    <row r="359" spans="1:9">
      <c r="A359" s="3059">
        <v>569</v>
      </c>
      <c r="B359" s="3062" t="s">
        <v>3710</v>
      </c>
      <c r="C359" s="3062"/>
      <c r="D359" s="3062" t="s">
        <v>4150</v>
      </c>
      <c r="E359" s="3058">
        <v>12.72</v>
      </c>
      <c r="F359" s="3058">
        <v>100000</v>
      </c>
      <c r="G359" s="3059">
        <v>100000</v>
      </c>
      <c r="H359" s="3059" t="s">
        <v>3090</v>
      </c>
      <c r="I359" s="3058" t="s">
        <v>3054</v>
      </c>
    </row>
    <row r="360" spans="1:9">
      <c r="A360" s="3059">
        <v>570</v>
      </c>
      <c r="B360" s="3062" t="s">
        <v>3710</v>
      </c>
      <c r="C360" s="3062"/>
      <c r="D360" s="3062" t="s">
        <v>4149</v>
      </c>
      <c r="E360" s="3058">
        <v>12.72</v>
      </c>
      <c r="F360" s="3058">
        <v>100000</v>
      </c>
      <c r="G360" s="3059">
        <v>100000</v>
      </c>
      <c r="H360" s="3059" t="s">
        <v>3090</v>
      </c>
      <c r="I360" s="3058" t="s">
        <v>3054</v>
      </c>
    </row>
    <row r="361" spans="1:9">
      <c r="A361" s="3059">
        <v>571</v>
      </c>
      <c r="B361" s="3062" t="s">
        <v>3710</v>
      </c>
      <c r="C361" s="3062"/>
      <c r="D361" s="3062" t="s">
        <v>4148</v>
      </c>
      <c r="E361" s="3058">
        <v>12.72</v>
      </c>
      <c r="F361" s="3058">
        <v>100000</v>
      </c>
      <c r="G361" s="3059">
        <v>100000</v>
      </c>
      <c r="H361" s="3059" t="s">
        <v>3090</v>
      </c>
      <c r="I361" s="3058" t="s">
        <v>3054</v>
      </c>
    </row>
    <row r="362" spans="1:9">
      <c r="A362" s="3059">
        <v>572</v>
      </c>
      <c r="B362" s="3062" t="s">
        <v>3710</v>
      </c>
      <c r="C362" s="3062"/>
      <c r="D362" s="3062" t="s">
        <v>4147</v>
      </c>
      <c r="E362" s="3058">
        <v>12.72</v>
      </c>
      <c r="F362" s="3058">
        <v>100000</v>
      </c>
      <c r="G362" s="3059">
        <v>100000</v>
      </c>
      <c r="H362" s="3059" t="s">
        <v>3090</v>
      </c>
      <c r="I362" s="3058" t="s">
        <v>3054</v>
      </c>
    </row>
    <row r="363" spans="1:9">
      <c r="A363" s="3059">
        <v>573</v>
      </c>
      <c r="B363" s="3062" t="s">
        <v>3710</v>
      </c>
      <c r="C363" s="3062"/>
      <c r="D363" s="3062" t="s">
        <v>4146</v>
      </c>
      <c r="E363" s="3058">
        <v>13.78</v>
      </c>
      <c r="F363" s="3058">
        <v>100000</v>
      </c>
      <c r="G363" s="3059">
        <v>100000</v>
      </c>
      <c r="H363" s="3059" t="s">
        <v>3090</v>
      </c>
      <c r="I363" s="3058" t="s">
        <v>3054</v>
      </c>
    </row>
    <row r="364" spans="1:9">
      <c r="A364" s="3059">
        <v>574</v>
      </c>
      <c r="B364" s="3062" t="s">
        <v>3710</v>
      </c>
      <c r="C364" s="3062"/>
      <c r="D364" s="3062" t="s">
        <v>4145</v>
      </c>
      <c r="E364" s="3058">
        <v>12.72</v>
      </c>
      <c r="F364" s="3058">
        <v>100000</v>
      </c>
      <c r="G364" s="3059">
        <v>100000</v>
      </c>
      <c r="H364" s="3059" t="s">
        <v>3090</v>
      </c>
      <c r="I364" s="3058" t="s">
        <v>3054</v>
      </c>
    </row>
    <row r="365" spans="1:9">
      <c r="A365" s="3059">
        <v>575</v>
      </c>
      <c r="B365" s="3062" t="s">
        <v>3710</v>
      </c>
      <c r="C365" s="3062"/>
      <c r="D365" s="3062" t="s">
        <v>4144</v>
      </c>
      <c r="E365" s="3058">
        <v>12.72</v>
      </c>
      <c r="F365" s="3058">
        <v>100000</v>
      </c>
      <c r="G365" s="3059">
        <v>100000</v>
      </c>
      <c r="H365" s="3059" t="s">
        <v>3090</v>
      </c>
      <c r="I365" s="3058" t="s">
        <v>3054</v>
      </c>
    </row>
    <row r="366" spans="1:9">
      <c r="A366" s="3059">
        <v>576</v>
      </c>
      <c r="B366" s="3062" t="s">
        <v>3710</v>
      </c>
      <c r="C366" s="3062"/>
      <c r="D366" s="3062" t="s">
        <v>4143</v>
      </c>
      <c r="E366" s="3058">
        <v>12.72</v>
      </c>
      <c r="F366" s="3058">
        <v>100000</v>
      </c>
      <c r="G366" s="3059">
        <v>100000</v>
      </c>
      <c r="H366" s="3059" t="s">
        <v>3090</v>
      </c>
      <c r="I366" s="3058" t="s">
        <v>3054</v>
      </c>
    </row>
    <row r="367" spans="1:9">
      <c r="A367" s="3059">
        <v>577</v>
      </c>
      <c r="B367" s="3062" t="s">
        <v>3710</v>
      </c>
      <c r="C367" s="3062"/>
      <c r="D367" s="3062" t="s">
        <v>4142</v>
      </c>
      <c r="E367" s="3058">
        <v>12.72</v>
      </c>
      <c r="F367" s="3058">
        <v>100000</v>
      </c>
      <c r="G367" s="3059">
        <v>100000</v>
      </c>
      <c r="H367" s="3059" t="s">
        <v>3090</v>
      </c>
      <c r="I367" s="3058" t="s">
        <v>3054</v>
      </c>
    </row>
    <row r="368" spans="1:9">
      <c r="A368" s="3059">
        <v>578</v>
      </c>
      <c r="B368" s="3062" t="s">
        <v>3710</v>
      </c>
      <c r="C368" s="3062"/>
      <c r="D368" s="3062" t="s">
        <v>4141</v>
      </c>
      <c r="E368" s="3058">
        <v>12.72</v>
      </c>
      <c r="F368" s="3058">
        <v>100000</v>
      </c>
      <c r="G368" s="3059">
        <v>100000</v>
      </c>
      <c r="H368" s="3059" t="s">
        <v>3090</v>
      </c>
      <c r="I368" s="3058" t="s">
        <v>3054</v>
      </c>
    </row>
    <row r="369" spans="1:9">
      <c r="A369" s="3059">
        <v>579</v>
      </c>
      <c r="B369" s="3062" t="s">
        <v>3710</v>
      </c>
      <c r="C369" s="3062"/>
      <c r="D369" s="3062" t="s">
        <v>4140</v>
      </c>
      <c r="E369" s="3058">
        <v>13.78</v>
      </c>
      <c r="F369" s="3058">
        <v>100000</v>
      </c>
      <c r="G369" s="3059">
        <v>100000</v>
      </c>
      <c r="H369" s="3059" t="s">
        <v>3090</v>
      </c>
      <c r="I369" s="3058" t="s">
        <v>3054</v>
      </c>
    </row>
    <row r="370" spans="1:9">
      <c r="A370" s="3059">
        <v>580</v>
      </c>
      <c r="B370" s="3062" t="s">
        <v>3710</v>
      </c>
      <c r="C370" s="3062"/>
      <c r="D370" s="3062" t="s">
        <v>4139</v>
      </c>
      <c r="E370" s="3058">
        <v>12.72</v>
      </c>
      <c r="F370" s="3058">
        <v>100000</v>
      </c>
      <c r="G370" s="3059">
        <v>100000</v>
      </c>
      <c r="H370" s="3059" t="s">
        <v>3090</v>
      </c>
      <c r="I370" s="3058" t="s">
        <v>3054</v>
      </c>
    </row>
    <row r="371" spans="1:9">
      <c r="A371" s="3059">
        <v>581</v>
      </c>
      <c r="B371" s="3062" t="s">
        <v>3710</v>
      </c>
      <c r="C371" s="3062"/>
      <c r="D371" s="3062" t="s">
        <v>4138</v>
      </c>
      <c r="E371" s="3058">
        <v>9.4600000000000009</v>
      </c>
      <c r="F371" s="3058">
        <v>100000</v>
      </c>
      <c r="G371" s="3059">
        <v>100000</v>
      </c>
      <c r="H371" s="3059" t="s">
        <v>3090</v>
      </c>
      <c r="I371" s="3058" t="s">
        <v>3054</v>
      </c>
    </row>
    <row r="372" spans="1:9">
      <c r="A372" s="3059">
        <v>582</v>
      </c>
      <c r="B372" s="3062" t="s">
        <v>3710</v>
      </c>
      <c r="C372" s="3062"/>
      <c r="D372" s="3062" t="s">
        <v>4137</v>
      </c>
      <c r="E372" s="3058">
        <v>12.72</v>
      </c>
      <c r="F372" s="3058">
        <v>100000</v>
      </c>
      <c r="G372" s="3059">
        <v>100000</v>
      </c>
      <c r="H372" s="3059" t="s">
        <v>3090</v>
      </c>
      <c r="I372" s="3058" t="s">
        <v>3054</v>
      </c>
    </row>
    <row r="373" spans="1:9">
      <c r="A373" s="3059">
        <v>583</v>
      </c>
      <c r="B373" s="3062" t="s">
        <v>3710</v>
      </c>
      <c r="C373" s="3062"/>
      <c r="D373" s="3062" t="s">
        <v>4136</v>
      </c>
      <c r="E373" s="3058">
        <v>12.72</v>
      </c>
      <c r="F373" s="3058">
        <v>100000</v>
      </c>
      <c r="G373" s="3059">
        <v>100000</v>
      </c>
      <c r="H373" s="3059" t="s">
        <v>3090</v>
      </c>
      <c r="I373" s="3058" t="s">
        <v>3054</v>
      </c>
    </row>
    <row r="374" spans="1:9">
      <c r="A374" s="3059">
        <v>584</v>
      </c>
      <c r="B374" s="3062" t="s">
        <v>3710</v>
      </c>
      <c r="C374" s="3062"/>
      <c r="D374" s="3062" t="s">
        <v>4135</v>
      </c>
      <c r="E374" s="3058">
        <v>12.72</v>
      </c>
      <c r="F374" s="3058">
        <v>100000</v>
      </c>
      <c r="G374" s="3059">
        <v>100000</v>
      </c>
      <c r="H374" s="3059" t="s">
        <v>3090</v>
      </c>
      <c r="I374" s="3058" t="s">
        <v>3054</v>
      </c>
    </row>
    <row r="375" spans="1:9">
      <c r="A375" s="3059">
        <v>585</v>
      </c>
      <c r="B375" s="3062" t="s">
        <v>3710</v>
      </c>
      <c r="C375" s="3062"/>
      <c r="D375" s="3062" t="s">
        <v>4134</v>
      </c>
      <c r="E375" s="3058">
        <v>13.78</v>
      </c>
      <c r="F375" s="3058">
        <v>100000</v>
      </c>
      <c r="G375" s="3059">
        <v>100000</v>
      </c>
      <c r="H375" s="3059" t="s">
        <v>3090</v>
      </c>
      <c r="I375" s="3058" t="s">
        <v>3054</v>
      </c>
    </row>
    <row r="376" spans="1:9">
      <c r="A376" s="3059">
        <v>586</v>
      </c>
      <c r="B376" s="3062" t="s">
        <v>3710</v>
      </c>
      <c r="C376" s="3062"/>
      <c r="D376" s="3062" t="s">
        <v>4133</v>
      </c>
      <c r="E376" s="3058">
        <v>13.78</v>
      </c>
      <c r="F376" s="3058">
        <v>100000</v>
      </c>
      <c r="G376" s="3059">
        <v>100000</v>
      </c>
      <c r="H376" s="3059" t="s">
        <v>3090</v>
      </c>
      <c r="I376" s="3058" t="s">
        <v>3054</v>
      </c>
    </row>
    <row r="377" spans="1:9">
      <c r="A377" s="3059">
        <v>587</v>
      </c>
      <c r="B377" s="3062" t="s">
        <v>3710</v>
      </c>
      <c r="C377" s="3062"/>
      <c r="D377" s="3062" t="s">
        <v>4132</v>
      </c>
      <c r="E377" s="3058">
        <v>13.78</v>
      </c>
      <c r="F377" s="3058">
        <v>100000</v>
      </c>
      <c r="G377" s="3059">
        <v>100000</v>
      </c>
      <c r="H377" s="3059" t="s">
        <v>3090</v>
      </c>
      <c r="I377" s="3058" t="s">
        <v>3054</v>
      </c>
    </row>
    <row r="378" spans="1:9">
      <c r="A378" s="3059">
        <v>588</v>
      </c>
      <c r="B378" s="3062" t="s">
        <v>3710</v>
      </c>
      <c r="C378" s="3062"/>
      <c r="D378" s="3062" t="s">
        <v>4131</v>
      </c>
      <c r="E378" s="3058">
        <v>13.78</v>
      </c>
      <c r="F378" s="3058">
        <v>100000</v>
      </c>
      <c r="G378" s="3059">
        <v>100000</v>
      </c>
      <c r="H378" s="3059" t="s">
        <v>3090</v>
      </c>
      <c r="I378" s="3058" t="s">
        <v>3054</v>
      </c>
    </row>
    <row r="379" spans="1:9">
      <c r="A379" s="3059">
        <v>589</v>
      </c>
      <c r="B379" s="3062" t="s">
        <v>3710</v>
      </c>
      <c r="C379" s="3062"/>
      <c r="D379" s="3062" t="s">
        <v>4130</v>
      </c>
      <c r="E379" s="3058">
        <v>13.78</v>
      </c>
      <c r="F379" s="3058">
        <v>100000</v>
      </c>
      <c r="G379" s="3059">
        <v>100000</v>
      </c>
      <c r="H379" s="3059" t="s">
        <v>3090</v>
      </c>
      <c r="I379" s="3058" t="s">
        <v>3054</v>
      </c>
    </row>
    <row r="380" spans="1:9">
      <c r="A380" s="3059">
        <v>590</v>
      </c>
      <c r="B380" s="3062" t="s">
        <v>3710</v>
      </c>
      <c r="C380" s="3062"/>
      <c r="D380" s="3062" t="s">
        <v>4129</v>
      </c>
      <c r="E380" s="3058">
        <v>12.72</v>
      </c>
      <c r="F380" s="3058">
        <v>100000</v>
      </c>
      <c r="G380" s="3059">
        <v>100000</v>
      </c>
      <c r="H380" s="3059" t="s">
        <v>3090</v>
      </c>
      <c r="I380" s="3058" t="s">
        <v>3054</v>
      </c>
    </row>
    <row r="381" spans="1:9">
      <c r="A381" s="3059">
        <v>591</v>
      </c>
      <c r="B381" s="3062" t="s">
        <v>3710</v>
      </c>
      <c r="C381" s="3062"/>
      <c r="D381" s="3062" t="s">
        <v>4128</v>
      </c>
      <c r="E381" s="3058">
        <v>12.72</v>
      </c>
      <c r="F381" s="3058">
        <v>100000</v>
      </c>
      <c r="G381" s="3059">
        <v>100000</v>
      </c>
      <c r="H381" s="3059" t="s">
        <v>3090</v>
      </c>
      <c r="I381" s="3058" t="s">
        <v>3054</v>
      </c>
    </row>
    <row r="382" spans="1:9">
      <c r="A382" s="3059">
        <v>592</v>
      </c>
      <c r="B382" s="3062" t="s">
        <v>3710</v>
      </c>
      <c r="C382" s="3062"/>
      <c r="D382" s="3062" t="s">
        <v>4127</v>
      </c>
      <c r="E382" s="3058">
        <v>13.78</v>
      </c>
      <c r="F382" s="3058">
        <v>100000</v>
      </c>
      <c r="G382" s="3059">
        <v>100000</v>
      </c>
      <c r="H382" s="3059" t="s">
        <v>3090</v>
      </c>
      <c r="I382" s="3058" t="s">
        <v>3054</v>
      </c>
    </row>
    <row r="383" spans="1:9">
      <c r="A383" s="3059">
        <v>593</v>
      </c>
      <c r="B383" s="3062" t="s">
        <v>3710</v>
      </c>
      <c r="C383" s="3062"/>
      <c r="D383" s="3062" t="s">
        <v>4126</v>
      </c>
      <c r="E383" s="3058">
        <v>13.78</v>
      </c>
      <c r="F383" s="3058">
        <v>100000</v>
      </c>
      <c r="G383" s="3059">
        <v>100000</v>
      </c>
      <c r="H383" s="3059" t="s">
        <v>3090</v>
      </c>
      <c r="I383" s="3058" t="s">
        <v>3054</v>
      </c>
    </row>
    <row r="384" spans="1:9">
      <c r="A384" s="3059">
        <v>594</v>
      </c>
      <c r="B384" s="3062" t="s">
        <v>3710</v>
      </c>
      <c r="C384" s="3062"/>
      <c r="D384" s="3062" t="s">
        <v>4125</v>
      </c>
      <c r="E384" s="3058">
        <v>12.72</v>
      </c>
      <c r="F384" s="3058">
        <v>100000</v>
      </c>
      <c r="G384" s="3059">
        <v>100000</v>
      </c>
      <c r="H384" s="3059" t="s">
        <v>3090</v>
      </c>
      <c r="I384" s="3058" t="s">
        <v>3054</v>
      </c>
    </row>
    <row r="385" spans="1:9">
      <c r="A385" s="3059">
        <v>595</v>
      </c>
      <c r="B385" s="3062" t="s">
        <v>3710</v>
      </c>
      <c r="C385" s="3062"/>
      <c r="D385" s="3062" t="s">
        <v>4124</v>
      </c>
      <c r="E385" s="3058">
        <v>13.78</v>
      </c>
      <c r="F385" s="3058">
        <v>100000</v>
      </c>
      <c r="G385" s="3059">
        <v>100000</v>
      </c>
      <c r="H385" s="3059" t="s">
        <v>3090</v>
      </c>
      <c r="I385" s="3058" t="s">
        <v>3054</v>
      </c>
    </row>
    <row r="386" spans="1:9">
      <c r="A386" s="3059">
        <v>596</v>
      </c>
      <c r="B386" s="3062" t="s">
        <v>3710</v>
      </c>
      <c r="C386" s="3062"/>
      <c r="D386" s="3062" t="s">
        <v>4123</v>
      </c>
      <c r="E386" s="3058">
        <v>13.78</v>
      </c>
      <c r="F386" s="3058">
        <v>100000</v>
      </c>
      <c r="G386" s="3059">
        <v>100000</v>
      </c>
      <c r="H386" s="3059" t="s">
        <v>3090</v>
      </c>
      <c r="I386" s="3058" t="s">
        <v>3054</v>
      </c>
    </row>
    <row r="387" spans="1:9">
      <c r="A387" s="3059">
        <v>597</v>
      </c>
      <c r="B387" s="3062" t="s">
        <v>3710</v>
      </c>
      <c r="C387" s="3062"/>
      <c r="D387" s="3062" t="s">
        <v>4122</v>
      </c>
      <c r="E387" s="3058">
        <v>12.72</v>
      </c>
      <c r="F387" s="3058">
        <v>100000</v>
      </c>
      <c r="G387" s="3059">
        <v>100000</v>
      </c>
      <c r="H387" s="3059" t="s">
        <v>3090</v>
      </c>
      <c r="I387" s="3058" t="s">
        <v>3054</v>
      </c>
    </row>
    <row r="388" spans="1:9">
      <c r="A388" s="3059">
        <v>598</v>
      </c>
      <c r="B388" s="3062" t="s">
        <v>3710</v>
      </c>
      <c r="C388" s="3062"/>
      <c r="D388" s="3062" t="s">
        <v>4121</v>
      </c>
      <c r="E388" s="3058">
        <v>12.72</v>
      </c>
      <c r="F388" s="3058">
        <v>100000</v>
      </c>
      <c r="G388" s="3059">
        <v>100000</v>
      </c>
      <c r="H388" s="3059" t="s">
        <v>3090</v>
      </c>
      <c r="I388" s="3058" t="s">
        <v>3054</v>
      </c>
    </row>
    <row r="389" spans="1:9">
      <c r="A389" s="3059">
        <v>599</v>
      </c>
      <c r="B389" s="3062" t="s">
        <v>3710</v>
      </c>
      <c r="C389" s="3062"/>
      <c r="D389" s="3062" t="s">
        <v>4120</v>
      </c>
      <c r="E389" s="3058">
        <v>12.72</v>
      </c>
      <c r="F389" s="3058">
        <v>100000</v>
      </c>
      <c r="G389" s="3059">
        <v>100000</v>
      </c>
      <c r="H389" s="3059" t="s">
        <v>3090</v>
      </c>
      <c r="I389" s="3058" t="s">
        <v>3054</v>
      </c>
    </row>
    <row r="390" spans="1:9">
      <c r="A390" s="3059">
        <v>600</v>
      </c>
      <c r="B390" s="3062" t="s">
        <v>3710</v>
      </c>
      <c r="C390" s="3062"/>
      <c r="D390" s="3062" t="s">
        <v>4119</v>
      </c>
      <c r="E390" s="3058">
        <v>12.72</v>
      </c>
      <c r="F390" s="3058">
        <v>100000</v>
      </c>
      <c r="G390" s="3059">
        <v>100000</v>
      </c>
      <c r="H390" s="3059" t="s">
        <v>3090</v>
      </c>
      <c r="I390" s="3058" t="s">
        <v>3054</v>
      </c>
    </row>
    <row r="391" spans="1:9">
      <c r="A391" s="3059">
        <v>601</v>
      </c>
      <c r="B391" s="3062" t="s">
        <v>3710</v>
      </c>
      <c r="C391" s="3062"/>
      <c r="D391" s="3062" t="s">
        <v>4118</v>
      </c>
      <c r="E391" s="3058">
        <v>12.72</v>
      </c>
      <c r="F391" s="3058">
        <v>100000</v>
      </c>
      <c r="G391" s="3059">
        <v>100000</v>
      </c>
      <c r="H391" s="3059" t="s">
        <v>3090</v>
      </c>
      <c r="I391" s="3058" t="s">
        <v>3054</v>
      </c>
    </row>
    <row r="392" spans="1:9">
      <c r="A392" s="3059">
        <v>602</v>
      </c>
      <c r="B392" s="3062" t="s">
        <v>3710</v>
      </c>
      <c r="C392" s="3062"/>
      <c r="D392" s="3062" t="s">
        <v>4117</v>
      </c>
      <c r="E392" s="3058">
        <v>12.72</v>
      </c>
      <c r="F392" s="3058">
        <v>100000</v>
      </c>
      <c r="G392" s="3059">
        <v>100000</v>
      </c>
      <c r="H392" s="3059" t="s">
        <v>3090</v>
      </c>
      <c r="I392" s="3058" t="s">
        <v>3054</v>
      </c>
    </row>
    <row r="393" spans="1:9">
      <c r="A393" s="3059">
        <v>603</v>
      </c>
      <c r="B393" s="3062" t="s">
        <v>3710</v>
      </c>
      <c r="C393" s="3062"/>
      <c r="D393" s="3062" t="s">
        <v>4116</v>
      </c>
      <c r="E393" s="3058">
        <v>12.72</v>
      </c>
      <c r="F393" s="3058">
        <v>100000</v>
      </c>
      <c r="G393" s="3059">
        <v>100000</v>
      </c>
      <c r="H393" s="3059" t="s">
        <v>3090</v>
      </c>
      <c r="I393" s="3058" t="s">
        <v>3054</v>
      </c>
    </row>
    <row r="394" spans="1:9">
      <c r="A394" s="3059">
        <v>604</v>
      </c>
      <c r="B394" s="3062" t="s">
        <v>3710</v>
      </c>
      <c r="C394" s="3062"/>
      <c r="D394" s="3062" t="s">
        <v>4115</v>
      </c>
      <c r="E394" s="3058">
        <v>12.72</v>
      </c>
      <c r="F394" s="3058">
        <v>100000</v>
      </c>
      <c r="G394" s="3059">
        <v>100000</v>
      </c>
      <c r="H394" s="3059" t="s">
        <v>3090</v>
      </c>
      <c r="I394" s="3058" t="s">
        <v>3054</v>
      </c>
    </row>
    <row r="395" spans="1:9">
      <c r="A395" s="3059">
        <v>605</v>
      </c>
      <c r="B395" s="3062" t="s">
        <v>3710</v>
      </c>
      <c r="C395" s="3062"/>
      <c r="D395" s="3062" t="s">
        <v>4114</v>
      </c>
      <c r="E395" s="3058">
        <v>12.72</v>
      </c>
      <c r="F395" s="3058">
        <v>100000</v>
      </c>
      <c r="G395" s="3059">
        <v>100000</v>
      </c>
      <c r="H395" s="3059" t="s">
        <v>3090</v>
      </c>
      <c r="I395" s="3058" t="s">
        <v>3054</v>
      </c>
    </row>
    <row r="396" spans="1:9">
      <c r="A396" s="3059">
        <v>606</v>
      </c>
      <c r="B396" s="3062" t="s">
        <v>3710</v>
      </c>
      <c r="C396" s="3062"/>
      <c r="D396" s="3062" t="s">
        <v>4113</v>
      </c>
      <c r="E396" s="3058">
        <v>12.72</v>
      </c>
      <c r="F396" s="3058">
        <v>100000</v>
      </c>
      <c r="G396" s="3059">
        <v>100000</v>
      </c>
      <c r="H396" s="3059" t="s">
        <v>3090</v>
      </c>
      <c r="I396" s="3058" t="s">
        <v>3054</v>
      </c>
    </row>
    <row r="397" spans="1:9">
      <c r="A397" s="3059">
        <v>607</v>
      </c>
      <c r="B397" s="3062" t="s">
        <v>3710</v>
      </c>
      <c r="C397" s="3062"/>
      <c r="D397" s="3062" t="s">
        <v>4112</v>
      </c>
      <c r="E397" s="3058">
        <v>13.78</v>
      </c>
      <c r="F397" s="3058">
        <v>100000</v>
      </c>
      <c r="G397" s="3059">
        <v>100000</v>
      </c>
      <c r="H397" s="3059" t="s">
        <v>3090</v>
      </c>
      <c r="I397" s="3058" t="s">
        <v>3054</v>
      </c>
    </row>
    <row r="398" spans="1:9">
      <c r="A398" s="3059">
        <v>608</v>
      </c>
      <c r="B398" s="3062" t="s">
        <v>3710</v>
      </c>
      <c r="C398" s="3062"/>
      <c r="D398" s="3062" t="s">
        <v>4111</v>
      </c>
      <c r="E398" s="3058">
        <v>12.72</v>
      </c>
      <c r="F398" s="3058">
        <v>100000</v>
      </c>
      <c r="G398" s="3059">
        <v>100000</v>
      </c>
      <c r="H398" s="3059" t="s">
        <v>3090</v>
      </c>
      <c r="I398" s="3058" t="s">
        <v>3054</v>
      </c>
    </row>
    <row r="399" spans="1:9">
      <c r="A399" s="3059">
        <v>609</v>
      </c>
      <c r="B399" s="3062" t="s">
        <v>3710</v>
      </c>
      <c r="C399" s="3062"/>
      <c r="D399" s="3062" t="s">
        <v>4110</v>
      </c>
      <c r="E399" s="3058">
        <v>12.72</v>
      </c>
      <c r="F399" s="3058">
        <v>100000</v>
      </c>
      <c r="G399" s="3059">
        <v>100000</v>
      </c>
      <c r="H399" s="3059" t="s">
        <v>3090</v>
      </c>
      <c r="I399" s="3058" t="s">
        <v>3054</v>
      </c>
    </row>
    <row r="400" spans="1:9">
      <c r="A400" s="3059">
        <v>610</v>
      </c>
      <c r="B400" s="3062" t="s">
        <v>3710</v>
      </c>
      <c r="C400" s="3062"/>
      <c r="D400" s="3062" t="s">
        <v>4109</v>
      </c>
      <c r="E400" s="3058">
        <v>13.78</v>
      </c>
      <c r="F400" s="3058">
        <v>100000</v>
      </c>
      <c r="G400" s="3059">
        <v>100000</v>
      </c>
      <c r="H400" s="3059" t="s">
        <v>3090</v>
      </c>
      <c r="I400" s="3058" t="s">
        <v>3054</v>
      </c>
    </row>
    <row r="401" spans="1:9">
      <c r="A401" s="3059">
        <v>611</v>
      </c>
      <c r="B401" s="3062" t="s">
        <v>3710</v>
      </c>
      <c r="C401" s="3062"/>
      <c r="D401" s="3062" t="s">
        <v>4108</v>
      </c>
      <c r="E401" s="3058">
        <v>12.72</v>
      </c>
      <c r="F401" s="3058">
        <v>100000</v>
      </c>
      <c r="G401" s="3059">
        <v>100000</v>
      </c>
      <c r="H401" s="3059" t="s">
        <v>3090</v>
      </c>
      <c r="I401" s="3058" t="s">
        <v>3054</v>
      </c>
    </row>
    <row r="402" spans="1:9">
      <c r="A402" s="3059">
        <v>612</v>
      </c>
      <c r="B402" s="3062" t="s">
        <v>3710</v>
      </c>
      <c r="C402" s="3062"/>
      <c r="D402" s="3062" t="s">
        <v>4107</v>
      </c>
      <c r="E402" s="3058">
        <v>12.72</v>
      </c>
      <c r="F402" s="3058">
        <v>100000</v>
      </c>
      <c r="G402" s="3059">
        <v>100000</v>
      </c>
      <c r="H402" s="3059" t="s">
        <v>3090</v>
      </c>
      <c r="I402" s="3058" t="s">
        <v>3054</v>
      </c>
    </row>
    <row r="403" spans="1:9">
      <c r="A403" s="3059">
        <v>613</v>
      </c>
      <c r="B403" s="3062" t="s">
        <v>3710</v>
      </c>
      <c r="C403" s="3062"/>
      <c r="D403" s="3062" t="s">
        <v>4106</v>
      </c>
      <c r="E403" s="3058">
        <v>13.78</v>
      </c>
      <c r="F403" s="3058">
        <v>100000</v>
      </c>
      <c r="G403" s="3059">
        <v>100000</v>
      </c>
      <c r="H403" s="3059" t="s">
        <v>3090</v>
      </c>
      <c r="I403" s="3058" t="s">
        <v>3054</v>
      </c>
    </row>
    <row r="404" spans="1:9">
      <c r="A404" s="3059">
        <v>614</v>
      </c>
      <c r="B404" s="3062" t="s">
        <v>3710</v>
      </c>
      <c r="C404" s="3062"/>
      <c r="D404" s="3062" t="s">
        <v>4105</v>
      </c>
      <c r="E404" s="3058">
        <v>13.78</v>
      </c>
      <c r="F404" s="3058">
        <v>100000</v>
      </c>
      <c r="G404" s="3059">
        <v>100000</v>
      </c>
      <c r="H404" s="3059" t="s">
        <v>3090</v>
      </c>
      <c r="I404" s="3058" t="s">
        <v>3054</v>
      </c>
    </row>
    <row r="405" spans="1:9">
      <c r="A405" s="3059">
        <v>615</v>
      </c>
      <c r="B405" s="3062" t="s">
        <v>3710</v>
      </c>
      <c r="C405" s="3062"/>
      <c r="D405" s="3062" t="s">
        <v>4104</v>
      </c>
      <c r="E405" s="3058">
        <v>9.4600000000000009</v>
      </c>
      <c r="F405" s="3058">
        <v>100000</v>
      </c>
      <c r="G405" s="3059">
        <v>100000</v>
      </c>
      <c r="H405" s="3059" t="s">
        <v>3090</v>
      </c>
      <c r="I405" s="3058" t="s">
        <v>3054</v>
      </c>
    </row>
    <row r="406" spans="1:9">
      <c r="A406" s="3059">
        <v>616</v>
      </c>
      <c r="B406" s="3062" t="s">
        <v>3710</v>
      </c>
      <c r="C406" s="3062"/>
      <c r="D406" s="3062" t="s">
        <v>4103</v>
      </c>
      <c r="E406" s="3058">
        <v>13.78</v>
      </c>
      <c r="F406" s="3058">
        <v>100000</v>
      </c>
      <c r="G406" s="3059">
        <v>100000</v>
      </c>
      <c r="H406" s="3059" t="s">
        <v>3090</v>
      </c>
      <c r="I406" s="3058" t="s">
        <v>3054</v>
      </c>
    </row>
    <row r="407" spans="1:9">
      <c r="A407" s="3059">
        <v>617</v>
      </c>
      <c r="B407" s="3062" t="s">
        <v>3710</v>
      </c>
      <c r="C407" s="3062"/>
      <c r="D407" s="3062" t="s">
        <v>4102</v>
      </c>
      <c r="E407" s="3058">
        <v>13.78</v>
      </c>
      <c r="F407" s="3058">
        <v>100000</v>
      </c>
      <c r="G407" s="3059">
        <v>100000</v>
      </c>
      <c r="H407" s="3059" t="s">
        <v>3090</v>
      </c>
      <c r="I407" s="3058" t="s">
        <v>3054</v>
      </c>
    </row>
    <row r="408" spans="1:9">
      <c r="A408" s="3059">
        <v>618</v>
      </c>
      <c r="B408" s="3062" t="s">
        <v>3710</v>
      </c>
      <c r="C408" s="3062"/>
      <c r="D408" s="3062" t="s">
        <v>4101</v>
      </c>
      <c r="E408" s="3058">
        <v>13.78</v>
      </c>
      <c r="F408" s="3058">
        <v>100000</v>
      </c>
      <c r="G408" s="3059">
        <v>100000</v>
      </c>
      <c r="H408" s="3059" t="s">
        <v>3090</v>
      </c>
      <c r="I408" s="3058" t="s">
        <v>3054</v>
      </c>
    </row>
    <row r="409" spans="1:9">
      <c r="A409" s="3059">
        <v>619</v>
      </c>
      <c r="B409" s="3062" t="s">
        <v>3710</v>
      </c>
      <c r="C409" s="3062"/>
      <c r="D409" s="3062" t="s">
        <v>4100</v>
      </c>
      <c r="E409" s="3058">
        <v>12.72</v>
      </c>
      <c r="F409" s="3058">
        <v>100000</v>
      </c>
      <c r="G409" s="3059">
        <v>100000</v>
      </c>
      <c r="H409" s="3059" t="s">
        <v>3090</v>
      </c>
      <c r="I409" s="3058" t="s">
        <v>3054</v>
      </c>
    </row>
    <row r="410" spans="1:9">
      <c r="A410" s="3059">
        <v>620</v>
      </c>
      <c r="B410" s="3062" t="s">
        <v>3710</v>
      </c>
      <c r="C410" s="3062"/>
      <c r="D410" s="3062" t="s">
        <v>4099</v>
      </c>
      <c r="E410" s="3058">
        <v>12.72</v>
      </c>
      <c r="F410" s="3058">
        <v>100000</v>
      </c>
      <c r="G410" s="3059">
        <v>100000</v>
      </c>
      <c r="H410" s="3059" t="s">
        <v>3090</v>
      </c>
      <c r="I410" s="3058" t="s">
        <v>3054</v>
      </c>
    </row>
    <row r="411" spans="1:9">
      <c r="A411" s="3059">
        <v>621</v>
      </c>
      <c r="B411" s="3062" t="s">
        <v>3710</v>
      </c>
      <c r="C411" s="3062"/>
      <c r="D411" s="3062" t="s">
        <v>4098</v>
      </c>
      <c r="E411" s="3058">
        <v>12.72</v>
      </c>
      <c r="F411" s="3058">
        <v>100000</v>
      </c>
      <c r="G411" s="3059">
        <v>100000</v>
      </c>
      <c r="H411" s="3059" t="s">
        <v>3090</v>
      </c>
      <c r="I411" s="3058" t="s">
        <v>3054</v>
      </c>
    </row>
    <row r="412" spans="1:9">
      <c r="A412" s="3059">
        <v>622</v>
      </c>
      <c r="B412" s="3062" t="s">
        <v>3710</v>
      </c>
      <c r="C412" s="3062"/>
      <c r="D412" s="3062" t="s">
        <v>4097</v>
      </c>
      <c r="E412" s="3058">
        <v>13.78</v>
      </c>
      <c r="F412" s="3058">
        <v>100000</v>
      </c>
      <c r="G412" s="3059">
        <v>100000</v>
      </c>
      <c r="H412" s="3059" t="s">
        <v>3090</v>
      </c>
      <c r="I412" s="3058" t="s">
        <v>3054</v>
      </c>
    </row>
    <row r="413" spans="1:9">
      <c r="A413" s="3059">
        <v>623</v>
      </c>
      <c r="B413" s="3062" t="s">
        <v>3710</v>
      </c>
      <c r="C413" s="3062"/>
      <c r="D413" s="3062" t="s">
        <v>4096</v>
      </c>
      <c r="E413" s="3058">
        <v>13.78</v>
      </c>
      <c r="F413" s="3058">
        <v>100000</v>
      </c>
      <c r="G413" s="3059">
        <v>100000</v>
      </c>
      <c r="H413" s="3059" t="s">
        <v>3090</v>
      </c>
      <c r="I413" s="3058" t="s">
        <v>3054</v>
      </c>
    </row>
    <row r="414" spans="1:9">
      <c r="A414" s="3059">
        <v>624</v>
      </c>
      <c r="B414" s="3062" t="s">
        <v>3710</v>
      </c>
      <c r="C414" s="3062"/>
      <c r="D414" s="3062" t="s">
        <v>4095</v>
      </c>
      <c r="E414" s="3058">
        <v>12.72</v>
      </c>
      <c r="F414" s="3058">
        <v>100000</v>
      </c>
      <c r="G414" s="3059">
        <v>100000</v>
      </c>
      <c r="H414" s="3059" t="s">
        <v>3090</v>
      </c>
      <c r="I414" s="3058" t="s">
        <v>3054</v>
      </c>
    </row>
    <row r="415" spans="1:9">
      <c r="A415" s="3059">
        <v>625</v>
      </c>
      <c r="B415" s="3062" t="s">
        <v>3710</v>
      </c>
      <c r="C415" s="3062"/>
      <c r="D415" s="3062" t="s">
        <v>4094</v>
      </c>
      <c r="E415" s="3058">
        <v>13.78</v>
      </c>
      <c r="F415" s="3058">
        <v>100000</v>
      </c>
      <c r="G415" s="3059">
        <v>100000</v>
      </c>
      <c r="H415" s="3059" t="s">
        <v>3090</v>
      </c>
      <c r="I415" s="3058" t="s">
        <v>3054</v>
      </c>
    </row>
    <row r="416" spans="1:9">
      <c r="A416" s="3059">
        <v>626</v>
      </c>
      <c r="B416" s="3062" t="s">
        <v>3710</v>
      </c>
      <c r="C416" s="3062"/>
      <c r="D416" s="3062" t="s">
        <v>4093</v>
      </c>
      <c r="E416" s="3058">
        <v>13.78</v>
      </c>
      <c r="F416" s="3058">
        <v>100000</v>
      </c>
      <c r="G416" s="3059">
        <v>100000</v>
      </c>
      <c r="H416" s="3059" t="s">
        <v>3090</v>
      </c>
      <c r="I416" s="3058" t="s">
        <v>3054</v>
      </c>
    </row>
    <row r="417" spans="1:9">
      <c r="A417" s="3059">
        <v>627</v>
      </c>
      <c r="B417" s="3062" t="s">
        <v>3710</v>
      </c>
      <c r="C417" s="3062"/>
      <c r="D417" s="3062" t="s">
        <v>4092</v>
      </c>
      <c r="E417" s="3058">
        <v>13.78</v>
      </c>
      <c r="F417" s="3058">
        <v>100000</v>
      </c>
      <c r="G417" s="3059">
        <v>100000</v>
      </c>
      <c r="H417" s="3059" t="s">
        <v>3090</v>
      </c>
      <c r="I417" s="3058" t="s">
        <v>3054</v>
      </c>
    </row>
    <row r="418" spans="1:9">
      <c r="A418" s="3059">
        <v>628</v>
      </c>
      <c r="B418" s="3062" t="s">
        <v>3710</v>
      </c>
      <c r="C418" s="3062"/>
      <c r="D418" s="3062" t="s">
        <v>4091</v>
      </c>
      <c r="E418" s="3058">
        <v>12.72</v>
      </c>
      <c r="F418" s="3058">
        <v>100000</v>
      </c>
      <c r="G418" s="3059">
        <v>100000</v>
      </c>
      <c r="H418" s="3059" t="s">
        <v>3090</v>
      </c>
      <c r="I418" s="3058" t="s">
        <v>3054</v>
      </c>
    </row>
    <row r="419" spans="1:9">
      <c r="A419" s="3059">
        <v>629</v>
      </c>
      <c r="B419" s="3062" t="s">
        <v>3710</v>
      </c>
      <c r="C419" s="3062"/>
      <c r="D419" s="3062" t="s">
        <v>4090</v>
      </c>
      <c r="E419" s="3058">
        <v>12.72</v>
      </c>
      <c r="F419" s="3058">
        <v>100000</v>
      </c>
      <c r="G419" s="3059">
        <v>100000</v>
      </c>
      <c r="H419" s="3059" t="s">
        <v>3090</v>
      </c>
      <c r="I419" s="3058" t="s">
        <v>3054</v>
      </c>
    </row>
    <row r="420" spans="1:9">
      <c r="A420" s="3059">
        <v>630</v>
      </c>
      <c r="B420" s="3062" t="s">
        <v>3710</v>
      </c>
      <c r="C420" s="3062"/>
      <c r="D420" s="3062" t="s">
        <v>4089</v>
      </c>
      <c r="E420" s="3058">
        <v>12.72</v>
      </c>
      <c r="F420" s="3058">
        <v>100000</v>
      </c>
      <c r="G420" s="3059">
        <v>100000</v>
      </c>
      <c r="H420" s="3059" t="s">
        <v>3090</v>
      </c>
      <c r="I420" s="3058" t="s">
        <v>3054</v>
      </c>
    </row>
    <row r="421" spans="1:9">
      <c r="A421" s="3059">
        <v>631</v>
      </c>
      <c r="B421" s="3062" t="s">
        <v>3710</v>
      </c>
      <c r="C421" s="3062"/>
      <c r="D421" s="3062" t="s">
        <v>4088</v>
      </c>
      <c r="E421" s="3058">
        <v>13.78</v>
      </c>
      <c r="F421" s="3058">
        <v>100000</v>
      </c>
      <c r="G421" s="3059">
        <v>100000</v>
      </c>
      <c r="H421" s="3059" t="s">
        <v>3090</v>
      </c>
      <c r="I421" s="3058" t="s">
        <v>3054</v>
      </c>
    </row>
    <row r="422" spans="1:9">
      <c r="A422" s="3059">
        <v>632</v>
      </c>
      <c r="B422" s="3062" t="s">
        <v>3710</v>
      </c>
      <c r="C422" s="3062"/>
      <c r="D422" s="3062" t="s">
        <v>4087</v>
      </c>
      <c r="E422" s="3058">
        <v>13.78</v>
      </c>
      <c r="F422" s="3058">
        <v>100000</v>
      </c>
      <c r="G422" s="3059">
        <v>100000</v>
      </c>
      <c r="H422" s="3059" t="s">
        <v>3090</v>
      </c>
      <c r="I422" s="3058" t="s">
        <v>3054</v>
      </c>
    </row>
    <row r="423" spans="1:9">
      <c r="A423" s="3059">
        <v>633</v>
      </c>
      <c r="B423" s="3062" t="s">
        <v>3710</v>
      </c>
      <c r="C423" s="3062"/>
      <c r="D423" s="3062" t="s">
        <v>4086</v>
      </c>
      <c r="E423" s="3058">
        <v>12.72</v>
      </c>
      <c r="F423" s="3058">
        <v>100000</v>
      </c>
      <c r="G423" s="3059">
        <v>100000</v>
      </c>
      <c r="H423" s="3059" t="s">
        <v>3090</v>
      </c>
      <c r="I423" s="3058" t="s">
        <v>3054</v>
      </c>
    </row>
    <row r="424" spans="1:9">
      <c r="A424" s="3059">
        <v>634</v>
      </c>
      <c r="B424" s="3062" t="s">
        <v>3710</v>
      </c>
      <c r="C424" s="3062"/>
      <c r="D424" s="3062" t="s">
        <v>4085</v>
      </c>
      <c r="E424" s="3058">
        <v>13.78</v>
      </c>
      <c r="F424" s="3058">
        <v>100000</v>
      </c>
      <c r="G424" s="3059">
        <v>100000</v>
      </c>
      <c r="H424" s="3059" t="s">
        <v>3090</v>
      </c>
      <c r="I424" s="3058" t="s">
        <v>3054</v>
      </c>
    </row>
    <row r="425" spans="1:9">
      <c r="A425" s="3059">
        <v>635</v>
      </c>
      <c r="B425" s="3062" t="s">
        <v>3710</v>
      </c>
      <c r="C425" s="3062"/>
      <c r="D425" s="3062" t="s">
        <v>4084</v>
      </c>
      <c r="E425" s="3058">
        <v>12.72</v>
      </c>
      <c r="F425" s="3058">
        <v>100000</v>
      </c>
      <c r="G425" s="3059">
        <v>100000</v>
      </c>
      <c r="H425" s="3059" t="s">
        <v>3090</v>
      </c>
      <c r="I425" s="3058" t="s">
        <v>3054</v>
      </c>
    </row>
    <row r="426" spans="1:9">
      <c r="A426" s="3059">
        <v>636</v>
      </c>
      <c r="B426" s="3062" t="s">
        <v>3710</v>
      </c>
      <c r="C426" s="3062"/>
      <c r="D426" s="3062" t="s">
        <v>4083</v>
      </c>
      <c r="E426" s="3058">
        <v>12.72</v>
      </c>
      <c r="F426" s="3058">
        <v>100000</v>
      </c>
      <c r="G426" s="3059">
        <v>100000</v>
      </c>
      <c r="H426" s="3059" t="s">
        <v>3090</v>
      </c>
      <c r="I426" s="3058" t="s">
        <v>3054</v>
      </c>
    </row>
    <row r="427" spans="1:9">
      <c r="A427" s="3059">
        <v>637</v>
      </c>
      <c r="B427" s="3062" t="s">
        <v>3710</v>
      </c>
      <c r="C427" s="3062"/>
      <c r="D427" s="3062" t="s">
        <v>4082</v>
      </c>
      <c r="E427" s="3058">
        <v>12.72</v>
      </c>
      <c r="F427" s="3058">
        <v>100000</v>
      </c>
      <c r="G427" s="3059">
        <v>100000</v>
      </c>
      <c r="H427" s="3059" t="s">
        <v>3090</v>
      </c>
      <c r="I427" s="3058" t="s">
        <v>3054</v>
      </c>
    </row>
    <row r="428" spans="1:9">
      <c r="A428" s="3059">
        <v>638</v>
      </c>
      <c r="B428" s="3062" t="s">
        <v>3710</v>
      </c>
      <c r="C428" s="3062"/>
      <c r="D428" s="3062" t="s">
        <v>4081</v>
      </c>
      <c r="E428" s="3058">
        <v>12.72</v>
      </c>
      <c r="F428" s="3058">
        <v>100000</v>
      </c>
      <c r="G428" s="3059">
        <v>100000</v>
      </c>
      <c r="H428" s="3059" t="s">
        <v>3090</v>
      </c>
      <c r="I428" s="3058" t="s">
        <v>3054</v>
      </c>
    </row>
    <row r="429" spans="1:9">
      <c r="A429" s="3059">
        <v>639</v>
      </c>
      <c r="B429" s="3062" t="s">
        <v>3710</v>
      </c>
      <c r="C429" s="3062"/>
      <c r="D429" s="3062" t="s">
        <v>4080</v>
      </c>
      <c r="E429" s="3058">
        <v>12.72</v>
      </c>
      <c r="F429" s="3058">
        <v>100000</v>
      </c>
      <c r="G429" s="3059">
        <v>100000</v>
      </c>
      <c r="H429" s="3059" t="s">
        <v>3090</v>
      </c>
      <c r="I429" s="3058" t="s">
        <v>3054</v>
      </c>
    </row>
    <row r="430" spans="1:9">
      <c r="A430" s="3059">
        <v>640</v>
      </c>
      <c r="B430" s="3062" t="s">
        <v>3710</v>
      </c>
      <c r="C430" s="3062"/>
      <c r="D430" s="3062" t="s">
        <v>4079</v>
      </c>
      <c r="E430" s="3058">
        <v>12.72</v>
      </c>
      <c r="F430" s="3058">
        <v>100000</v>
      </c>
      <c r="G430" s="3059">
        <v>100000</v>
      </c>
      <c r="H430" s="3059" t="s">
        <v>3090</v>
      </c>
      <c r="I430" s="3058" t="s">
        <v>3054</v>
      </c>
    </row>
    <row r="431" spans="1:9">
      <c r="A431" s="3059">
        <v>641</v>
      </c>
      <c r="B431" s="3062" t="s">
        <v>3710</v>
      </c>
      <c r="C431" s="3062"/>
      <c r="D431" s="3062" t="s">
        <v>4078</v>
      </c>
      <c r="E431" s="3058">
        <v>12.72</v>
      </c>
      <c r="F431" s="3058">
        <v>100000</v>
      </c>
      <c r="G431" s="3059">
        <v>100000</v>
      </c>
      <c r="H431" s="3059" t="s">
        <v>3090</v>
      </c>
      <c r="I431" s="3058" t="s">
        <v>3054</v>
      </c>
    </row>
    <row r="432" spans="1:9">
      <c r="A432" s="3059">
        <v>642</v>
      </c>
      <c r="B432" s="3062" t="s">
        <v>3710</v>
      </c>
      <c r="C432" s="3062"/>
      <c r="D432" s="3062" t="s">
        <v>4077</v>
      </c>
      <c r="E432" s="3058">
        <v>12.72</v>
      </c>
      <c r="F432" s="3058">
        <v>100000</v>
      </c>
      <c r="G432" s="3059">
        <v>100000</v>
      </c>
      <c r="H432" s="3059" t="s">
        <v>3090</v>
      </c>
      <c r="I432" s="3058" t="s">
        <v>3054</v>
      </c>
    </row>
    <row r="433" spans="1:9">
      <c r="A433" s="3059">
        <v>643</v>
      </c>
      <c r="B433" s="3062" t="s">
        <v>3710</v>
      </c>
      <c r="C433" s="3062"/>
      <c r="D433" s="3062" t="s">
        <v>4076</v>
      </c>
      <c r="E433" s="3058">
        <v>13.78</v>
      </c>
      <c r="F433" s="3058">
        <v>100000</v>
      </c>
      <c r="G433" s="3059">
        <v>100000</v>
      </c>
      <c r="H433" s="3059" t="s">
        <v>3090</v>
      </c>
      <c r="I433" s="3058" t="s">
        <v>3054</v>
      </c>
    </row>
    <row r="434" spans="1:9">
      <c r="A434" s="3059">
        <v>644</v>
      </c>
      <c r="B434" s="3062" t="s">
        <v>3710</v>
      </c>
      <c r="C434" s="3062"/>
      <c r="D434" s="3062" t="s">
        <v>4075</v>
      </c>
      <c r="E434" s="3058">
        <v>13.78</v>
      </c>
      <c r="F434" s="3058">
        <v>100000</v>
      </c>
      <c r="G434" s="3059">
        <v>100000</v>
      </c>
      <c r="H434" s="3059" t="s">
        <v>3090</v>
      </c>
      <c r="I434" s="3058" t="s">
        <v>3054</v>
      </c>
    </row>
    <row r="435" spans="1:9">
      <c r="A435" s="3059">
        <v>645</v>
      </c>
      <c r="B435" s="3062" t="s">
        <v>3710</v>
      </c>
      <c r="C435" s="3062"/>
      <c r="D435" s="3062" t="s">
        <v>4074</v>
      </c>
      <c r="E435" s="3058">
        <v>13.78</v>
      </c>
      <c r="F435" s="3058">
        <v>100000</v>
      </c>
      <c r="G435" s="3059">
        <v>100000</v>
      </c>
      <c r="H435" s="3059" t="s">
        <v>3090</v>
      </c>
      <c r="I435" s="3058" t="s">
        <v>3054</v>
      </c>
    </row>
    <row r="436" spans="1:9">
      <c r="A436" s="3059">
        <v>646</v>
      </c>
      <c r="B436" s="3062" t="s">
        <v>3710</v>
      </c>
      <c r="C436" s="3062"/>
      <c r="D436" s="3062" t="s">
        <v>4073</v>
      </c>
      <c r="E436" s="3058">
        <v>12.72</v>
      </c>
      <c r="F436" s="3058">
        <v>100000</v>
      </c>
      <c r="G436" s="3059">
        <v>100000</v>
      </c>
      <c r="H436" s="3059" t="s">
        <v>3090</v>
      </c>
      <c r="I436" s="3058" t="s">
        <v>3054</v>
      </c>
    </row>
    <row r="437" spans="1:9">
      <c r="A437" s="3059">
        <v>647</v>
      </c>
      <c r="B437" s="3062" t="s">
        <v>3710</v>
      </c>
      <c r="C437" s="3062"/>
      <c r="D437" s="3062" t="s">
        <v>4072</v>
      </c>
      <c r="E437" s="3058">
        <v>12.72</v>
      </c>
      <c r="F437" s="3058">
        <v>100000</v>
      </c>
      <c r="G437" s="3059">
        <v>100000</v>
      </c>
      <c r="H437" s="3059" t="s">
        <v>3090</v>
      </c>
      <c r="I437" s="3058" t="s">
        <v>3054</v>
      </c>
    </row>
    <row r="438" spans="1:9">
      <c r="A438" s="3059">
        <v>648</v>
      </c>
      <c r="B438" s="3062" t="s">
        <v>3710</v>
      </c>
      <c r="C438" s="3062"/>
      <c r="D438" s="3062" t="s">
        <v>4071</v>
      </c>
      <c r="E438" s="3058">
        <v>12.72</v>
      </c>
      <c r="F438" s="3058">
        <v>100000</v>
      </c>
      <c r="G438" s="3059">
        <v>100000</v>
      </c>
      <c r="H438" s="3059" t="s">
        <v>3090</v>
      </c>
      <c r="I438" s="3058" t="s">
        <v>3054</v>
      </c>
    </row>
    <row r="439" spans="1:9">
      <c r="A439" s="3059">
        <v>649</v>
      </c>
      <c r="B439" s="3062" t="s">
        <v>3710</v>
      </c>
      <c r="C439" s="3062"/>
      <c r="D439" s="3062" t="s">
        <v>4070</v>
      </c>
      <c r="E439" s="3058">
        <v>12.72</v>
      </c>
      <c r="F439" s="3058">
        <v>100000</v>
      </c>
      <c r="G439" s="3059">
        <v>100000</v>
      </c>
      <c r="H439" s="3059" t="s">
        <v>3090</v>
      </c>
      <c r="I439" s="3058" t="s">
        <v>3054</v>
      </c>
    </row>
    <row r="440" spans="1:9">
      <c r="A440" s="3059">
        <v>650</v>
      </c>
      <c r="B440" s="3062" t="s">
        <v>3710</v>
      </c>
      <c r="C440" s="3062"/>
      <c r="D440" s="3062" t="s">
        <v>4069</v>
      </c>
      <c r="E440" s="3058">
        <v>12.72</v>
      </c>
      <c r="F440" s="3058">
        <v>100000</v>
      </c>
      <c r="G440" s="3059">
        <v>100000</v>
      </c>
      <c r="H440" s="3059" t="s">
        <v>3090</v>
      </c>
      <c r="I440" s="3058" t="s">
        <v>3054</v>
      </c>
    </row>
    <row r="441" spans="1:9">
      <c r="A441" s="3059">
        <v>651</v>
      </c>
      <c r="B441" s="3062" t="s">
        <v>3710</v>
      </c>
      <c r="C441" s="3062"/>
      <c r="D441" s="3062" t="s">
        <v>4068</v>
      </c>
      <c r="E441" s="3058">
        <v>12.72</v>
      </c>
      <c r="F441" s="3058">
        <v>100000</v>
      </c>
      <c r="G441" s="3059">
        <v>100000</v>
      </c>
      <c r="H441" s="3059" t="s">
        <v>3090</v>
      </c>
      <c r="I441" s="3058" t="s">
        <v>3054</v>
      </c>
    </row>
    <row r="442" spans="1:9">
      <c r="A442" s="3059">
        <v>652</v>
      </c>
      <c r="B442" s="3062" t="s">
        <v>3710</v>
      </c>
      <c r="C442" s="3062"/>
      <c r="D442" s="3062" t="s">
        <v>4067</v>
      </c>
      <c r="E442" s="3058">
        <v>12.72</v>
      </c>
      <c r="F442" s="3058">
        <v>100000</v>
      </c>
      <c r="G442" s="3059">
        <v>100000</v>
      </c>
      <c r="H442" s="3059" t="s">
        <v>3090</v>
      </c>
      <c r="I442" s="3058" t="s">
        <v>3054</v>
      </c>
    </row>
    <row r="443" spans="1:9">
      <c r="A443" s="3059">
        <v>653</v>
      </c>
      <c r="B443" s="3062" t="s">
        <v>3710</v>
      </c>
      <c r="C443" s="3062"/>
      <c r="D443" s="3062" t="s">
        <v>4066</v>
      </c>
      <c r="E443" s="3058">
        <v>12.72</v>
      </c>
      <c r="F443" s="3058">
        <v>100000</v>
      </c>
      <c r="G443" s="3059">
        <v>100000</v>
      </c>
      <c r="H443" s="3059" t="s">
        <v>3090</v>
      </c>
      <c r="I443" s="3058" t="s">
        <v>3054</v>
      </c>
    </row>
    <row r="444" spans="1:9">
      <c r="A444" s="3059">
        <v>654</v>
      </c>
      <c r="B444" s="3062" t="s">
        <v>3710</v>
      </c>
      <c r="C444" s="3062"/>
      <c r="D444" s="3062" t="s">
        <v>4065</v>
      </c>
      <c r="E444" s="3058">
        <v>12.72</v>
      </c>
      <c r="F444" s="3058">
        <v>100000</v>
      </c>
      <c r="G444" s="3059">
        <v>100000</v>
      </c>
      <c r="H444" s="3059" t="s">
        <v>3090</v>
      </c>
      <c r="I444" s="3058" t="s">
        <v>3054</v>
      </c>
    </row>
    <row r="445" spans="1:9">
      <c r="A445" s="3059">
        <v>655</v>
      </c>
      <c r="B445" s="3062" t="s">
        <v>3710</v>
      </c>
      <c r="C445" s="3062"/>
      <c r="D445" s="3062" t="s">
        <v>4064</v>
      </c>
      <c r="E445" s="3058">
        <v>12.72</v>
      </c>
      <c r="F445" s="3058">
        <v>100000</v>
      </c>
      <c r="G445" s="3059">
        <v>100000</v>
      </c>
      <c r="H445" s="3059" t="s">
        <v>3090</v>
      </c>
      <c r="I445" s="3058" t="s">
        <v>3054</v>
      </c>
    </row>
    <row r="446" spans="1:9">
      <c r="A446" s="3059">
        <v>656</v>
      </c>
      <c r="B446" s="3062" t="s">
        <v>3710</v>
      </c>
      <c r="C446" s="3062"/>
      <c r="D446" s="3062" t="s">
        <v>4063</v>
      </c>
      <c r="E446" s="3058">
        <v>12.72</v>
      </c>
      <c r="F446" s="3058">
        <v>100000</v>
      </c>
      <c r="G446" s="3059">
        <v>100000</v>
      </c>
      <c r="H446" s="3059" t="s">
        <v>3090</v>
      </c>
      <c r="I446" s="3058" t="s">
        <v>3054</v>
      </c>
    </row>
    <row r="447" spans="1:9">
      <c r="A447" s="3059">
        <v>657</v>
      </c>
      <c r="B447" s="3062" t="s">
        <v>3710</v>
      </c>
      <c r="C447" s="3062"/>
      <c r="D447" s="3062" t="s">
        <v>4062</v>
      </c>
      <c r="E447" s="3058">
        <v>13.78</v>
      </c>
      <c r="F447" s="3058">
        <v>100000</v>
      </c>
      <c r="G447" s="3059">
        <v>100000</v>
      </c>
      <c r="H447" s="3059" t="s">
        <v>3090</v>
      </c>
      <c r="I447" s="3058" t="s">
        <v>3054</v>
      </c>
    </row>
    <row r="448" spans="1:9">
      <c r="A448" s="3059">
        <v>658</v>
      </c>
      <c r="B448" s="3062" t="s">
        <v>3710</v>
      </c>
      <c r="C448" s="3062"/>
      <c r="D448" s="3062" t="s">
        <v>4061</v>
      </c>
      <c r="E448" s="3058">
        <v>13.78</v>
      </c>
      <c r="F448" s="3058">
        <v>100000</v>
      </c>
      <c r="G448" s="3059">
        <v>100000</v>
      </c>
      <c r="H448" s="3059" t="s">
        <v>3090</v>
      </c>
      <c r="I448" s="3058" t="s">
        <v>3054</v>
      </c>
    </row>
    <row r="449" spans="1:9">
      <c r="A449" s="3059">
        <v>659</v>
      </c>
      <c r="B449" s="3062" t="s">
        <v>3710</v>
      </c>
      <c r="C449" s="3062"/>
      <c r="D449" s="3062" t="s">
        <v>4060</v>
      </c>
      <c r="E449" s="3058">
        <v>13.78</v>
      </c>
      <c r="F449" s="3058">
        <v>100000</v>
      </c>
      <c r="G449" s="3059">
        <v>100000</v>
      </c>
      <c r="H449" s="3059" t="s">
        <v>3090</v>
      </c>
      <c r="I449" s="3058" t="s">
        <v>3054</v>
      </c>
    </row>
    <row r="450" spans="1:9">
      <c r="A450" s="3059">
        <v>660</v>
      </c>
      <c r="B450" s="3062" t="s">
        <v>3710</v>
      </c>
      <c r="C450" s="3062"/>
      <c r="D450" s="3062" t="s">
        <v>4059</v>
      </c>
      <c r="E450" s="3058">
        <v>13.78</v>
      </c>
      <c r="F450" s="3058">
        <v>100000</v>
      </c>
      <c r="G450" s="3059">
        <v>100000</v>
      </c>
      <c r="H450" s="3059" t="s">
        <v>3090</v>
      </c>
      <c r="I450" s="3058" t="s">
        <v>3054</v>
      </c>
    </row>
    <row r="451" spans="1:9">
      <c r="A451" s="3059">
        <v>661</v>
      </c>
      <c r="B451" s="3062" t="s">
        <v>3710</v>
      </c>
      <c r="C451" s="3062"/>
      <c r="D451" s="3062" t="s">
        <v>4058</v>
      </c>
      <c r="E451" s="3058">
        <v>12.72</v>
      </c>
      <c r="F451" s="3058">
        <v>100000</v>
      </c>
      <c r="G451" s="3059">
        <v>100000</v>
      </c>
      <c r="H451" s="3059" t="s">
        <v>3090</v>
      </c>
      <c r="I451" s="3058" t="s">
        <v>3054</v>
      </c>
    </row>
    <row r="452" spans="1:9">
      <c r="A452" s="3059">
        <v>662</v>
      </c>
      <c r="B452" s="3062" t="s">
        <v>3710</v>
      </c>
      <c r="C452" s="3062"/>
      <c r="D452" s="3062" t="s">
        <v>4057</v>
      </c>
      <c r="E452" s="3058">
        <v>9.4600000000000009</v>
      </c>
      <c r="F452" s="3058">
        <v>100000</v>
      </c>
      <c r="G452" s="3059">
        <v>100000</v>
      </c>
      <c r="H452" s="3059" t="s">
        <v>3090</v>
      </c>
      <c r="I452" s="3058" t="s">
        <v>3054</v>
      </c>
    </row>
    <row r="453" spans="1:9">
      <c r="A453" s="3059">
        <v>663</v>
      </c>
      <c r="B453" s="3062" t="s">
        <v>3710</v>
      </c>
      <c r="C453" s="3062"/>
      <c r="D453" s="3062" t="s">
        <v>4056</v>
      </c>
      <c r="E453" s="3058">
        <v>9.4600000000000009</v>
      </c>
      <c r="F453" s="3058">
        <v>100000</v>
      </c>
      <c r="G453" s="3059">
        <v>100000</v>
      </c>
      <c r="H453" s="3059" t="s">
        <v>3090</v>
      </c>
      <c r="I453" s="3058" t="s">
        <v>3054</v>
      </c>
    </row>
    <row r="454" spans="1:9">
      <c r="A454" s="3059">
        <v>664</v>
      </c>
      <c r="B454" s="3062" t="s">
        <v>3710</v>
      </c>
      <c r="C454" s="3062"/>
      <c r="D454" s="3062" t="s">
        <v>4055</v>
      </c>
      <c r="E454" s="3058">
        <v>13.78</v>
      </c>
      <c r="F454" s="3058">
        <v>100000</v>
      </c>
      <c r="G454" s="3059">
        <v>100000</v>
      </c>
      <c r="H454" s="3059" t="s">
        <v>3090</v>
      </c>
      <c r="I454" s="3058" t="s">
        <v>3054</v>
      </c>
    </row>
    <row r="455" spans="1:9">
      <c r="A455" s="3059">
        <v>665</v>
      </c>
      <c r="B455" s="3062" t="s">
        <v>3710</v>
      </c>
      <c r="C455" s="3062"/>
      <c r="D455" s="3062" t="s">
        <v>4054</v>
      </c>
      <c r="E455" s="3058">
        <v>13.78</v>
      </c>
      <c r="F455" s="3058">
        <v>100000</v>
      </c>
      <c r="G455" s="3059">
        <v>100000</v>
      </c>
      <c r="H455" s="3059" t="s">
        <v>3090</v>
      </c>
      <c r="I455" s="3058" t="s">
        <v>3054</v>
      </c>
    </row>
    <row r="456" spans="1:9">
      <c r="A456" s="3059">
        <v>666</v>
      </c>
      <c r="B456" s="3062" t="s">
        <v>3710</v>
      </c>
      <c r="C456" s="3062"/>
      <c r="D456" s="3062" t="s">
        <v>4053</v>
      </c>
      <c r="E456" s="3058">
        <v>13.78</v>
      </c>
      <c r="F456" s="3058">
        <v>100000</v>
      </c>
      <c r="G456" s="3059">
        <v>100000</v>
      </c>
      <c r="H456" s="3059" t="s">
        <v>3090</v>
      </c>
      <c r="I456" s="3058" t="s">
        <v>3054</v>
      </c>
    </row>
    <row r="457" spans="1:9">
      <c r="A457" s="3059">
        <v>667</v>
      </c>
      <c r="B457" s="3062" t="s">
        <v>3710</v>
      </c>
      <c r="C457" s="3062"/>
      <c r="D457" s="3062" t="s">
        <v>4052</v>
      </c>
      <c r="E457" s="3058">
        <v>9.4600000000000009</v>
      </c>
      <c r="F457" s="3058">
        <v>100000</v>
      </c>
      <c r="G457" s="3059">
        <v>100000</v>
      </c>
      <c r="H457" s="3059" t="s">
        <v>3090</v>
      </c>
      <c r="I457" s="3058" t="s">
        <v>3054</v>
      </c>
    </row>
    <row r="458" spans="1:9">
      <c r="A458" s="3059">
        <v>668</v>
      </c>
      <c r="B458" s="3062" t="s">
        <v>3710</v>
      </c>
      <c r="C458" s="3062"/>
      <c r="D458" s="3062" t="s">
        <v>4051</v>
      </c>
      <c r="E458" s="3058">
        <v>13.78</v>
      </c>
      <c r="F458" s="3058">
        <v>100000</v>
      </c>
      <c r="G458" s="3059">
        <v>100000</v>
      </c>
      <c r="H458" s="3059" t="s">
        <v>3090</v>
      </c>
      <c r="I458" s="3058" t="s">
        <v>3054</v>
      </c>
    </row>
    <row r="459" spans="1:9">
      <c r="A459" s="3059">
        <v>669</v>
      </c>
      <c r="B459" s="3062" t="s">
        <v>3710</v>
      </c>
      <c r="C459" s="3062"/>
      <c r="D459" s="3062" t="s">
        <v>4050</v>
      </c>
      <c r="E459" s="3058">
        <v>12.72</v>
      </c>
      <c r="F459" s="3058">
        <v>100000</v>
      </c>
      <c r="G459" s="3059">
        <v>100000</v>
      </c>
      <c r="H459" s="3059" t="s">
        <v>3090</v>
      </c>
      <c r="I459" s="3058" t="s">
        <v>3054</v>
      </c>
    </row>
    <row r="460" spans="1:9">
      <c r="A460" s="3059">
        <v>670</v>
      </c>
      <c r="B460" s="3062" t="s">
        <v>3710</v>
      </c>
      <c r="C460" s="3062"/>
      <c r="D460" s="3062" t="s">
        <v>4049</v>
      </c>
      <c r="E460" s="3058">
        <v>12.72</v>
      </c>
      <c r="F460" s="3058">
        <v>100000</v>
      </c>
      <c r="G460" s="3059">
        <v>100000</v>
      </c>
      <c r="H460" s="3059" t="s">
        <v>3090</v>
      </c>
      <c r="I460" s="3058" t="s">
        <v>3054</v>
      </c>
    </row>
    <row r="461" spans="1:9">
      <c r="A461" s="3059">
        <v>671</v>
      </c>
      <c r="B461" s="3062" t="s">
        <v>3710</v>
      </c>
      <c r="C461" s="3062"/>
      <c r="D461" s="3062" t="s">
        <v>4048</v>
      </c>
      <c r="E461" s="3058">
        <v>12.72</v>
      </c>
      <c r="F461" s="3058">
        <v>100000</v>
      </c>
      <c r="G461" s="3059">
        <v>100000</v>
      </c>
      <c r="H461" s="3059" t="s">
        <v>3090</v>
      </c>
      <c r="I461" s="3058" t="s">
        <v>3054</v>
      </c>
    </row>
    <row r="462" spans="1:9">
      <c r="A462" s="3059">
        <v>672</v>
      </c>
      <c r="B462" s="3062" t="s">
        <v>3710</v>
      </c>
      <c r="C462" s="3062"/>
      <c r="D462" s="3062" t="s">
        <v>4047</v>
      </c>
      <c r="E462" s="3058">
        <v>12.72</v>
      </c>
      <c r="F462" s="3058">
        <v>100000</v>
      </c>
      <c r="G462" s="3059">
        <v>100000</v>
      </c>
      <c r="H462" s="3059" t="s">
        <v>3090</v>
      </c>
      <c r="I462" s="3058" t="s">
        <v>3054</v>
      </c>
    </row>
    <row r="463" spans="1:9">
      <c r="A463" s="3059">
        <v>673</v>
      </c>
      <c r="B463" s="3062" t="s">
        <v>3710</v>
      </c>
      <c r="C463" s="3062"/>
      <c r="D463" s="3062" t="s">
        <v>4046</v>
      </c>
      <c r="E463" s="3058">
        <v>12.72</v>
      </c>
      <c r="F463" s="3058">
        <v>100000</v>
      </c>
      <c r="G463" s="3059">
        <v>100000</v>
      </c>
      <c r="H463" s="3059" t="s">
        <v>3090</v>
      </c>
      <c r="I463" s="3058" t="s">
        <v>3054</v>
      </c>
    </row>
    <row r="464" spans="1:9">
      <c r="A464" s="3059">
        <v>674</v>
      </c>
      <c r="B464" s="3062" t="s">
        <v>3710</v>
      </c>
      <c r="C464" s="3062"/>
      <c r="D464" s="3062" t="s">
        <v>4045</v>
      </c>
      <c r="E464" s="3058">
        <v>12.72</v>
      </c>
      <c r="F464" s="3058">
        <v>100000</v>
      </c>
      <c r="G464" s="3059">
        <v>100000</v>
      </c>
      <c r="H464" s="3059" t="s">
        <v>3090</v>
      </c>
      <c r="I464" s="3058" t="s">
        <v>3054</v>
      </c>
    </row>
    <row r="465" spans="1:9">
      <c r="A465" s="3059">
        <v>675</v>
      </c>
      <c r="B465" s="3062" t="s">
        <v>3710</v>
      </c>
      <c r="C465" s="3062"/>
      <c r="D465" s="3062" t="s">
        <v>4044</v>
      </c>
      <c r="E465" s="3058">
        <v>12.72</v>
      </c>
      <c r="F465" s="3058">
        <v>100000</v>
      </c>
      <c r="G465" s="3059">
        <v>100000</v>
      </c>
      <c r="H465" s="3059" t="s">
        <v>3090</v>
      </c>
      <c r="I465" s="3058" t="s">
        <v>3054</v>
      </c>
    </row>
    <row r="466" spans="1:9">
      <c r="A466" s="3059">
        <v>676</v>
      </c>
      <c r="B466" s="3062" t="s">
        <v>3710</v>
      </c>
      <c r="C466" s="3062"/>
      <c r="D466" s="3062" t="s">
        <v>4043</v>
      </c>
      <c r="E466" s="3058">
        <v>12.72</v>
      </c>
      <c r="F466" s="3058">
        <v>100000</v>
      </c>
      <c r="G466" s="3059">
        <v>100000</v>
      </c>
      <c r="H466" s="3059" t="s">
        <v>3090</v>
      </c>
      <c r="I466" s="3058" t="s">
        <v>3054</v>
      </c>
    </row>
    <row r="467" spans="1:9">
      <c r="A467" s="3059">
        <v>677</v>
      </c>
      <c r="B467" s="3062" t="s">
        <v>3710</v>
      </c>
      <c r="C467" s="3062"/>
      <c r="D467" s="3062" t="s">
        <v>4042</v>
      </c>
      <c r="E467" s="3058">
        <v>12.72</v>
      </c>
      <c r="F467" s="3058">
        <v>100000</v>
      </c>
      <c r="G467" s="3059">
        <v>100000</v>
      </c>
      <c r="H467" s="3059" t="s">
        <v>3090</v>
      </c>
      <c r="I467" s="3058" t="s">
        <v>3054</v>
      </c>
    </row>
    <row r="468" spans="1:9">
      <c r="A468" s="3059">
        <v>678</v>
      </c>
      <c r="B468" s="3062" t="s">
        <v>3710</v>
      </c>
      <c r="C468" s="3062"/>
      <c r="D468" s="3062" t="s">
        <v>4041</v>
      </c>
      <c r="E468" s="3058">
        <v>12.72</v>
      </c>
      <c r="F468" s="3058">
        <v>100000</v>
      </c>
      <c r="G468" s="3059">
        <v>100000</v>
      </c>
      <c r="H468" s="3059" t="s">
        <v>3090</v>
      </c>
      <c r="I468" s="3058" t="s">
        <v>3054</v>
      </c>
    </row>
    <row r="469" spans="1:9">
      <c r="A469" s="3059">
        <v>679</v>
      </c>
      <c r="B469" s="3062" t="s">
        <v>3710</v>
      </c>
      <c r="C469" s="3062"/>
      <c r="D469" s="3062" t="s">
        <v>4040</v>
      </c>
      <c r="E469" s="3058">
        <v>12.72</v>
      </c>
      <c r="F469" s="3058">
        <v>100000</v>
      </c>
      <c r="G469" s="3059">
        <v>100000</v>
      </c>
      <c r="H469" s="3059" t="s">
        <v>3090</v>
      </c>
      <c r="I469" s="3058" t="s">
        <v>3054</v>
      </c>
    </row>
    <row r="470" spans="1:9">
      <c r="A470" s="3059">
        <v>680</v>
      </c>
      <c r="B470" s="3062" t="s">
        <v>3710</v>
      </c>
      <c r="C470" s="3062"/>
      <c r="D470" s="3062" t="s">
        <v>4039</v>
      </c>
      <c r="E470" s="3058">
        <v>13.78</v>
      </c>
      <c r="F470" s="3058">
        <v>100000</v>
      </c>
      <c r="G470" s="3059">
        <v>100000</v>
      </c>
      <c r="H470" s="3059" t="s">
        <v>3090</v>
      </c>
      <c r="I470" s="3058" t="s">
        <v>3054</v>
      </c>
    </row>
    <row r="471" spans="1:9">
      <c r="A471" s="3059">
        <v>681</v>
      </c>
      <c r="B471" s="3062" t="s">
        <v>3710</v>
      </c>
      <c r="C471" s="3062"/>
      <c r="D471" s="3062" t="s">
        <v>4038</v>
      </c>
      <c r="E471" s="3058">
        <v>13.78</v>
      </c>
      <c r="F471" s="3058">
        <v>100000</v>
      </c>
      <c r="G471" s="3059">
        <v>100000</v>
      </c>
      <c r="H471" s="3059" t="s">
        <v>3090</v>
      </c>
      <c r="I471" s="3058" t="s">
        <v>3054</v>
      </c>
    </row>
    <row r="472" spans="1:9">
      <c r="A472" s="3059">
        <v>682</v>
      </c>
      <c r="B472" s="3062" t="s">
        <v>3710</v>
      </c>
      <c r="C472" s="3062"/>
      <c r="D472" s="3062" t="s">
        <v>4037</v>
      </c>
      <c r="E472" s="3058">
        <v>12.72</v>
      </c>
      <c r="F472" s="3058">
        <v>100000</v>
      </c>
      <c r="G472" s="3059">
        <v>100000</v>
      </c>
      <c r="H472" s="3059" t="s">
        <v>3090</v>
      </c>
      <c r="I472" s="3058" t="s">
        <v>3054</v>
      </c>
    </row>
    <row r="473" spans="1:9">
      <c r="A473" s="3059">
        <v>683</v>
      </c>
      <c r="B473" s="3062" t="s">
        <v>3710</v>
      </c>
      <c r="C473" s="3062"/>
      <c r="D473" s="3062" t="s">
        <v>4036</v>
      </c>
      <c r="E473" s="3058">
        <v>12.72</v>
      </c>
      <c r="F473" s="3058">
        <v>100000</v>
      </c>
      <c r="G473" s="3059">
        <v>100000</v>
      </c>
      <c r="H473" s="3059" t="s">
        <v>3090</v>
      </c>
      <c r="I473" s="3058" t="s">
        <v>3054</v>
      </c>
    </row>
    <row r="474" spans="1:9">
      <c r="A474" s="3059">
        <v>684</v>
      </c>
      <c r="B474" s="3062" t="s">
        <v>3710</v>
      </c>
      <c r="C474" s="3062"/>
      <c r="D474" s="3062" t="s">
        <v>4035</v>
      </c>
      <c r="E474" s="3058">
        <v>12.72</v>
      </c>
      <c r="F474" s="3058">
        <v>100000</v>
      </c>
      <c r="G474" s="3059">
        <v>100000</v>
      </c>
      <c r="H474" s="3059" t="s">
        <v>3090</v>
      </c>
      <c r="I474" s="3058" t="s">
        <v>3054</v>
      </c>
    </row>
    <row r="475" spans="1:9">
      <c r="A475" s="3059">
        <v>685</v>
      </c>
      <c r="B475" s="3062" t="s">
        <v>3710</v>
      </c>
      <c r="C475" s="3062"/>
      <c r="D475" s="3062" t="s">
        <v>4034</v>
      </c>
      <c r="E475" s="3058">
        <v>12.72</v>
      </c>
      <c r="F475" s="3058">
        <v>100000</v>
      </c>
      <c r="G475" s="3059">
        <v>100000</v>
      </c>
      <c r="H475" s="3059" t="s">
        <v>3090</v>
      </c>
      <c r="I475" s="3058" t="s">
        <v>3054</v>
      </c>
    </row>
    <row r="476" spans="1:9">
      <c r="A476" s="3059">
        <v>686</v>
      </c>
      <c r="B476" s="3062" t="s">
        <v>3710</v>
      </c>
      <c r="C476" s="3062"/>
      <c r="D476" s="3062" t="s">
        <v>4033</v>
      </c>
      <c r="E476" s="3058">
        <v>12.72</v>
      </c>
      <c r="F476" s="3058">
        <v>100000</v>
      </c>
      <c r="G476" s="3059">
        <v>100000</v>
      </c>
      <c r="H476" s="3059" t="s">
        <v>3090</v>
      </c>
      <c r="I476" s="3058" t="s">
        <v>3054</v>
      </c>
    </row>
    <row r="477" spans="1:9">
      <c r="A477" s="3059">
        <v>687</v>
      </c>
      <c r="B477" s="3062" t="s">
        <v>3710</v>
      </c>
      <c r="C477" s="3062"/>
      <c r="D477" s="3062" t="s">
        <v>4032</v>
      </c>
      <c r="E477" s="3058">
        <v>12.72</v>
      </c>
      <c r="F477" s="3058">
        <v>100000</v>
      </c>
      <c r="G477" s="3059">
        <v>100000</v>
      </c>
      <c r="H477" s="3059" t="s">
        <v>3090</v>
      </c>
      <c r="I477" s="3058" t="s">
        <v>3054</v>
      </c>
    </row>
    <row r="478" spans="1:9">
      <c r="A478" s="3059">
        <v>688</v>
      </c>
      <c r="B478" s="3062" t="s">
        <v>3710</v>
      </c>
      <c r="C478" s="3062"/>
      <c r="D478" s="3062" t="s">
        <v>4031</v>
      </c>
      <c r="E478" s="3058">
        <v>12.72</v>
      </c>
      <c r="F478" s="3058">
        <v>100000</v>
      </c>
      <c r="G478" s="3059">
        <v>100000</v>
      </c>
      <c r="H478" s="3059" t="s">
        <v>3090</v>
      </c>
      <c r="I478" s="3058" t="s">
        <v>3054</v>
      </c>
    </row>
    <row r="479" spans="1:9">
      <c r="A479" s="3059">
        <v>689</v>
      </c>
      <c r="B479" s="3062" t="s">
        <v>3710</v>
      </c>
      <c r="C479" s="3062"/>
      <c r="D479" s="3062" t="s">
        <v>4030</v>
      </c>
      <c r="E479" s="3058">
        <v>12.72</v>
      </c>
      <c r="F479" s="3058">
        <v>100000</v>
      </c>
      <c r="G479" s="3059">
        <v>100000</v>
      </c>
      <c r="H479" s="3059" t="s">
        <v>3090</v>
      </c>
      <c r="I479" s="3058" t="s">
        <v>3054</v>
      </c>
    </row>
    <row r="480" spans="1:9">
      <c r="A480" s="3059">
        <v>690</v>
      </c>
      <c r="B480" s="3062" t="s">
        <v>3710</v>
      </c>
      <c r="C480" s="3062"/>
      <c r="D480" s="3062" t="s">
        <v>4029</v>
      </c>
      <c r="E480" s="3058">
        <v>12.72</v>
      </c>
      <c r="F480" s="3058">
        <v>100000</v>
      </c>
      <c r="G480" s="3059">
        <v>100000</v>
      </c>
      <c r="H480" s="3059" t="s">
        <v>3090</v>
      </c>
      <c r="I480" s="3058" t="s">
        <v>3054</v>
      </c>
    </row>
    <row r="481" spans="1:9">
      <c r="A481" s="3059">
        <v>691</v>
      </c>
      <c r="B481" s="3062" t="s">
        <v>3710</v>
      </c>
      <c r="C481" s="3062"/>
      <c r="D481" s="3062" t="s">
        <v>4028</v>
      </c>
      <c r="E481" s="3058">
        <v>12.72</v>
      </c>
      <c r="F481" s="3058">
        <v>100000</v>
      </c>
      <c r="G481" s="3059">
        <v>100000</v>
      </c>
      <c r="H481" s="3059" t="s">
        <v>3090</v>
      </c>
      <c r="I481" s="3058" t="s">
        <v>3054</v>
      </c>
    </row>
    <row r="482" spans="1:9">
      <c r="A482" s="3059">
        <v>692</v>
      </c>
      <c r="B482" s="3062" t="s">
        <v>3710</v>
      </c>
      <c r="C482" s="3062"/>
      <c r="D482" s="3062" t="s">
        <v>4027</v>
      </c>
      <c r="E482" s="3058">
        <v>12.72</v>
      </c>
      <c r="F482" s="3058">
        <v>100000</v>
      </c>
      <c r="G482" s="3059">
        <v>100000</v>
      </c>
      <c r="H482" s="3059" t="s">
        <v>3090</v>
      </c>
      <c r="I482" s="3058" t="s">
        <v>3054</v>
      </c>
    </row>
    <row r="483" spans="1:9">
      <c r="A483" s="3059">
        <v>693</v>
      </c>
      <c r="B483" s="3062" t="s">
        <v>3710</v>
      </c>
      <c r="C483" s="3062"/>
      <c r="D483" s="3062" t="s">
        <v>4026</v>
      </c>
      <c r="E483" s="3058">
        <v>12.72</v>
      </c>
      <c r="F483" s="3058">
        <v>100000</v>
      </c>
      <c r="G483" s="3059">
        <v>100000</v>
      </c>
      <c r="H483" s="3059" t="s">
        <v>3090</v>
      </c>
      <c r="I483" s="3058" t="s">
        <v>3054</v>
      </c>
    </row>
    <row r="484" spans="1:9">
      <c r="A484" s="3059">
        <v>694</v>
      </c>
      <c r="B484" s="3062" t="s">
        <v>3710</v>
      </c>
      <c r="C484" s="3062"/>
      <c r="D484" s="3062" t="s">
        <v>4025</v>
      </c>
      <c r="E484" s="3058">
        <v>12.72</v>
      </c>
      <c r="F484" s="3058">
        <v>100000</v>
      </c>
      <c r="G484" s="3059">
        <v>100000</v>
      </c>
      <c r="H484" s="3059" t="s">
        <v>3090</v>
      </c>
      <c r="I484" s="3058" t="s">
        <v>3054</v>
      </c>
    </row>
    <row r="485" spans="1:9">
      <c r="A485" s="3059">
        <v>695</v>
      </c>
      <c r="B485" s="3062" t="s">
        <v>3710</v>
      </c>
      <c r="C485" s="3062"/>
      <c r="D485" s="3062" t="s">
        <v>4024</v>
      </c>
      <c r="E485" s="3058">
        <v>12.72</v>
      </c>
      <c r="F485" s="3058">
        <v>100000</v>
      </c>
      <c r="G485" s="3059">
        <v>100000</v>
      </c>
      <c r="H485" s="3059" t="s">
        <v>3090</v>
      </c>
      <c r="I485" s="3058" t="s">
        <v>3054</v>
      </c>
    </row>
    <row r="486" spans="1:9">
      <c r="A486" s="3059">
        <v>696</v>
      </c>
      <c r="B486" s="3062" t="s">
        <v>3710</v>
      </c>
      <c r="C486" s="3062"/>
      <c r="D486" s="3062" t="s">
        <v>4023</v>
      </c>
      <c r="E486" s="3058">
        <v>12.72</v>
      </c>
      <c r="F486" s="3058">
        <v>100000</v>
      </c>
      <c r="G486" s="3059">
        <v>100000</v>
      </c>
      <c r="H486" s="3059" t="s">
        <v>3090</v>
      </c>
      <c r="I486" s="3058" t="s">
        <v>3054</v>
      </c>
    </row>
    <row r="487" spans="1:9">
      <c r="A487" s="3059">
        <v>697</v>
      </c>
      <c r="B487" s="3062" t="s">
        <v>3710</v>
      </c>
      <c r="C487" s="3062"/>
      <c r="D487" s="3062" t="s">
        <v>4022</v>
      </c>
      <c r="E487" s="3058">
        <v>12.72</v>
      </c>
      <c r="F487" s="3058">
        <v>100000</v>
      </c>
      <c r="G487" s="3059">
        <v>100000</v>
      </c>
      <c r="H487" s="3059" t="s">
        <v>3090</v>
      </c>
      <c r="I487" s="3058" t="s">
        <v>3054</v>
      </c>
    </row>
    <row r="488" spans="1:9">
      <c r="A488" s="3059">
        <v>698</v>
      </c>
      <c r="B488" s="3062" t="s">
        <v>3710</v>
      </c>
      <c r="C488" s="3062"/>
      <c r="D488" s="3062" t="s">
        <v>4021</v>
      </c>
      <c r="E488" s="3058">
        <v>12.72</v>
      </c>
      <c r="F488" s="3058">
        <v>100000</v>
      </c>
      <c r="G488" s="3059">
        <v>100000</v>
      </c>
      <c r="H488" s="3059" t="s">
        <v>3090</v>
      </c>
      <c r="I488" s="3058" t="s">
        <v>3054</v>
      </c>
    </row>
    <row r="489" spans="1:9">
      <c r="A489" s="3059">
        <v>699</v>
      </c>
      <c r="B489" s="3062" t="s">
        <v>3710</v>
      </c>
      <c r="C489" s="3062"/>
      <c r="D489" s="3062" t="s">
        <v>4020</v>
      </c>
      <c r="E489" s="3058">
        <v>12.72</v>
      </c>
      <c r="F489" s="3058">
        <v>100000</v>
      </c>
      <c r="G489" s="3059">
        <v>100000</v>
      </c>
      <c r="H489" s="3059" t="s">
        <v>3090</v>
      </c>
      <c r="I489" s="3058" t="s">
        <v>3054</v>
      </c>
    </row>
    <row r="490" spans="1:9">
      <c r="A490" s="3059">
        <v>700</v>
      </c>
      <c r="B490" s="3062" t="s">
        <v>3710</v>
      </c>
      <c r="C490" s="3062"/>
      <c r="D490" s="3062" t="s">
        <v>4019</v>
      </c>
      <c r="E490" s="3058">
        <v>12.72</v>
      </c>
      <c r="F490" s="3058">
        <v>100000</v>
      </c>
      <c r="G490" s="3059">
        <v>100000</v>
      </c>
      <c r="H490" s="3059" t="s">
        <v>3090</v>
      </c>
      <c r="I490" s="3058" t="s">
        <v>3054</v>
      </c>
    </row>
    <row r="491" spans="1:9">
      <c r="A491" s="3059">
        <v>701</v>
      </c>
      <c r="B491" s="3062" t="s">
        <v>3710</v>
      </c>
      <c r="C491" s="3062"/>
      <c r="D491" s="3062" t="s">
        <v>4018</v>
      </c>
      <c r="E491" s="3058">
        <v>12.72</v>
      </c>
      <c r="F491" s="3058">
        <v>100000</v>
      </c>
      <c r="G491" s="3059">
        <v>100000</v>
      </c>
      <c r="H491" s="3059" t="s">
        <v>3090</v>
      </c>
      <c r="I491" s="3058" t="s">
        <v>3054</v>
      </c>
    </row>
    <row r="492" spans="1:9">
      <c r="A492" s="3059">
        <v>702</v>
      </c>
      <c r="B492" s="3062" t="s">
        <v>3710</v>
      </c>
      <c r="C492" s="3062"/>
      <c r="D492" s="3062" t="s">
        <v>4017</v>
      </c>
      <c r="E492" s="3058">
        <v>12.72</v>
      </c>
      <c r="F492" s="3058">
        <v>100000</v>
      </c>
      <c r="G492" s="3059">
        <v>100000</v>
      </c>
      <c r="H492" s="3059" t="s">
        <v>3090</v>
      </c>
      <c r="I492" s="3058" t="s">
        <v>3054</v>
      </c>
    </row>
    <row r="493" spans="1:9">
      <c r="A493" s="3059">
        <v>703</v>
      </c>
      <c r="B493" s="3062" t="s">
        <v>3710</v>
      </c>
      <c r="C493" s="3062"/>
      <c r="D493" s="3062" t="s">
        <v>4016</v>
      </c>
      <c r="E493" s="3058">
        <v>12.72</v>
      </c>
      <c r="F493" s="3058">
        <v>100000</v>
      </c>
      <c r="G493" s="3059">
        <v>100000</v>
      </c>
      <c r="H493" s="3059" t="s">
        <v>3090</v>
      </c>
      <c r="I493" s="3058" t="s">
        <v>3054</v>
      </c>
    </row>
    <row r="494" spans="1:9">
      <c r="A494" s="3059">
        <v>704</v>
      </c>
      <c r="B494" s="3062" t="s">
        <v>3710</v>
      </c>
      <c r="C494" s="3062"/>
      <c r="D494" s="3062" t="s">
        <v>4015</v>
      </c>
      <c r="E494" s="3058">
        <v>12.72</v>
      </c>
      <c r="F494" s="3058">
        <v>100000</v>
      </c>
      <c r="G494" s="3059">
        <v>100000</v>
      </c>
      <c r="H494" s="3059" t="s">
        <v>3090</v>
      </c>
      <c r="I494" s="3058" t="s">
        <v>3054</v>
      </c>
    </row>
    <row r="495" spans="1:9">
      <c r="A495" s="3059">
        <v>705</v>
      </c>
      <c r="B495" s="3062" t="s">
        <v>3710</v>
      </c>
      <c r="C495" s="3062"/>
      <c r="D495" s="3062" t="s">
        <v>4014</v>
      </c>
      <c r="E495" s="3058">
        <v>12.72</v>
      </c>
      <c r="F495" s="3058">
        <v>100000</v>
      </c>
      <c r="G495" s="3059">
        <v>100000</v>
      </c>
      <c r="H495" s="3059" t="s">
        <v>3090</v>
      </c>
      <c r="I495" s="3058" t="s">
        <v>3054</v>
      </c>
    </row>
    <row r="496" spans="1:9">
      <c r="A496" s="3059">
        <v>706</v>
      </c>
      <c r="B496" s="3062" t="s">
        <v>3710</v>
      </c>
      <c r="C496" s="3062"/>
      <c r="D496" s="3062" t="s">
        <v>4013</v>
      </c>
      <c r="E496" s="3058">
        <v>12.72</v>
      </c>
      <c r="F496" s="3058">
        <v>100000</v>
      </c>
      <c r="G496" s="3059">
        <v>100000</v>
      </c>
      <c r="H496" s="3059" t="s">
        <v>3090</v>
      </c>
      <c r="I496" s="3058" t="s">
        <v>3054</v>
      </c>
    </row>
    <row r="497" spans="1:9">
      <c r="A497" s="3059">
        <v>707</v>
      </c>
      <c r="B497" s="3062" t="s">
        <v>3710</v>
      </c>
      <c r="C497" s="3062"/>
      <c r="D497" s="3062" t="s">
        <v>4012</v>
      </c>
      <c r="E497" s="3058">
        <v>12.72</v>
      </c>
      <c r="F497" s="3058">
        <v>100000</v>
      </c>
      <c r="G497" s="3059">
        <v>100000</v>
      </c>
      <c r="H497" s="3059" t="s">
        <v>3090</v>
      </c>
      <c r="I497" s="3058" t="s">
        <v>3054</v>
      </c>
    </row>
    <row r="498" spans="1:9">
      <c r="A498" s="3059">
        <v>708</v>
      </c>
      <c r="B498" s="3062" t="s">
        <v>3710</v>
      </c>
      <c r="C498" s="3062"/>
      <c r="D498" s="3062" t="s">
        <v>4011</v>
      </c>
      <c r="E498" s="3058">
        <v>12.72</v>
      </c>
      <c r="F498" s="3058">
        <v>100000</v>
      </c>
      <c r="G498" s="3059">
        <v>100000</v>
      </c>
      <c r="H498" s="3059" t="s">
        <v>3090</v>
      </c>
      <c r="I498" s="3058" t="s">
        <v>3054</v>
      </c>
    </row>
    <row r="499" spans="1:9">
      <c r="A499" s="3059">
        <v>709</v>
      </c>
      <c r="B499" s="3062" t="s">
        <v>3710</v>
      </c>
      <c r="C499" s="3062"/>
      <c r="D499" s="3062" t="s">
        <v>4010</v>
      </c>
      <c r="E499" s="3058">
        <v>12.72</v>
      </c>
      <c r="F499" s="3058">
        <v>100000</v>
      </c>
      <c r="G499" s="3059">
        <v>100000</v>
      </c>
      <c r="H499" s="3059" t="s">
        <v>3090</v>
      </c>
      <c r="I499" s="3058" t="s">
        <v>3054</v>
      </c>
    </row>
    <row r="500" spans="1:9">
      <c r="A500" s="3059">
        <v>710</v>
      </c>
      <c r="B500" s="3062" t="s">
        <v>3710</v>
      </c>
      <c r="C500" s="3062"/>
      <c r="D500" s="3062" t="s">
        <v>4009</v>
      </c>
      <c r="E500" s="3058">
        <v>12.72</v>
      </c>
      <c r="F500" s="3058">
        <v>100000</v>
      </c>
      <c r="G500" s="3059">
        <v>100000</v>
      </c>
      <c r="H500" s="3059" t="s">
        <v>3090</v>
      </c>
      <c r="I500" s="3058" t="s">
        <v>3054</v>
      </c>
    </row>
    <row r="501" spans="1:9">
      <c r="A501" s="3059">
        <v>711</v>
      </c>
      <c r="B501" s="3062" t="s">
        <v>3710</v>
      </c>
      <c r="C501" s="3062"/>
      <c r="D501" s="3062" t="s">
        <v>4008</v>
      </c>
      <c r="E501" s="3058">
        <v>12.72</v>
      </c>
      <c r="F501" s="3058">
        <v>100000</v>
      </c>
      <c r="G501" s="3059">
        <v>100000</v>
      </c>
      <c r="H501" s="3059" t="s">
        <v>3090</v>
      </c>
      <c r="I501" s="3058" t="s">
        <v>3054</v>
      </c>
    </row>
    <row r="502" spans="1:9">
      <c r="A502" s="3059">
        <v>712</v>
      </c>
      <c r="B502" s="3062" t="s">
        <v>3710</v>
      </c>
      <c r="C502" s="3062"/>
      <c r="D502" s="3062" t="s">
        <v>4007</v>
      </c>
      <c r="E502" s="3058">
        <v>12.72</v>
      </c>
      <c r="F502" s="3058">
        <v>100000</v>
      </c>
      <c r="G502" s="3059">
        <v>100000</v>
      </c>
      <c r="H502" s="3059" t="s">
        <v>3090</v>
      </c>
      <c r="I502" s="3058" t="s">
        <v>3054</v>
      </c>
    </row>
    <row r="503" spans="1:9">
      <c r="A503" s="3059">
        <v>713</v>
      </c>
      <c r="B503" s="3062" t="s">
        <v>3710</v>
      </c>
      <c r="C503" s="3062"/>
      <c r="D503" s="3062" t="s">
        <v>4006</v>
      </c>
      <c r="E503" s="3058">
        <v>12.72</v>
      </c>
      <c r="F503" s="3058">
        <v>100000</v>
      </c>
      <c r="G503" s="3059">
        <v>100000</v>
      </c>
      <c r="H503" s="3059" t="s">
        <v>3090</v>
      </c>
      <c r="I503" s="3058" t="s">
        <v>3054</v>
      </c>
    </row>
    <row r="504" spans="1:9">
      <c r="A504" s="3059">
        <v>714</v>
      </c>
      <c r="B504" s="3062" t="s">
        <v>3710</v>
      </c>
      <c r="C504" s="3062"/>
      <c r="D504" s="3062" t="s">
        <v>4005</v>
      </c>
      <c r="E504" s="3058">
        <v>12.72</v>
      </c>
      <c r="F504" s="3058">
        <v>100000</v>
      </c>
      <c r="G504" s="3059">
        <v>100000</v>
      </c>
      <c r="H504" s="3059" t="s">
        <v>3090</v>
      </c>
      <c r="I504" s="3058" t="s">
        <v>3054</v>
      </c>
    </row>
    <row r="505" spans="1:9">
      <c r="A505" s="3059">
        <v>715</v>
      </c>
      <c r="B505" s="3062" t="s">
        <v>3710</v>
      </c>
      <c r="C505" s="3062"/>
      <c r="D505" s="3062" t="s">
        <v>4004</v>
      </c>
      <c r="E505" s="3058">
        <v>12.72</v>
      </c>
      <c r="F505" s="3058">
        <v>100000</v>
      </c>
      <c r="G505" s="3059">
        <v>100000</v>
      </c>
      <c r="H505" s="3059" t="s">
        <v>3090</v>
      </c>
      <c r="I505" s="3058" t="s">
        <v>3054</v>
      </c>
    </row>
    <row r="506" spans="1:9">
      <c r="A506" s="3059">
        <v>716</v>
      </c>
      <c r="B506" s="3062" t="s">
        <v>3710</v>
      </c>
      <c r="C506" s="3062"/>
      <c r="D506" s="3062" t="s">
        <v>4003</v>
      </c>
      <c r="E506" s="3058">
        <v>12.72</v>
      </c>
      <c r="F506" s="3058">
        <v>100000</v>
      </c>
      <c r="G506" s="3059">
        <v>100000</v>
      </c>
      <c r="H506" s="3059" t="s">
        <v>3090</v>
      </c>
      <c r="I506" s="3058" t="s">
        <v>3054</v>
      </c>
    </row>
    <row r="507" spans="1:9">
      <c r="A507" s="3059">
        <v>717</v>
      </c>
      <c r="B507" s="3062" t="s">
        <v>3710</v>
      </c>
      <c r="C507" s="3062"/>
      <c r="D507" s="3062" t="s">
        <v>4002</v>
      </c>
      <c r="E507" s="3058">
        <v>12.72</v>
      </c>
      <c r="F507" s="3058">
        <v>100000</v>
      </c>
      <c r="G507" s="3059">
        <v>100000</v>
      </c>
      <c r="H507" s="3059" t="s">
        <v>3090</v>
      </c>
      <c r="I507" s="3058" t="s">
        <v>3054</v>
      </c>
    </row>
    <row r="508" spans="1:9">
      <c r="A508" s="3059">
        <v>718</v>
      </c>
      <c r="B508" s="3062" t="s">
        <v>3710</v>
      </c>
      <c r="C508" s="3062"/>
      <c r="D508" s="3062" t="s">
        <v>4001</v>
      </c>
      <c r="E508" s="3058">
        <v>12.72</v>
      </c>
      <c r="F508" s="3058">
        <v>100000</v>
      </c>
      <c r="G508" s="3059">
        <v>100000</v>
      </c>
      <c r="H508" s="3059" t="s">
        <v>3090</v>
      </c>
      <c r="I508" s="3058" t="s">
        <v>3054</v>
      </c>
    </row>
    <row r="509" spans="1:9">
      <c r="A509" s="3059">
        <v>719</v>
      </c>
      <c r="B509" s="3062" t="s">
        <v>3710</v>
      </c>
      <c r="C509" s="3062"/>
      <c r="D509" s="3062" t="s">
        <v>4000</v>
      </c>
      <c r="E509" s="3058">
        <v>12.72</v>
      </c>
      <c r="F509" s="3058">
        <v>100000</v>
      </c>
      <c r="G509" s="3059">
        <v>100000</v>
      </c>
      <c r="H509" s="3059" t="s">
        <v>3090</v>
      </c>
      <c r="I509" s="3058" t="s">
        <v>3054</v>
      </c>
    </row>
    <row r="510" spans="1:9">
      <c r="A510" s="3059">
        <v>720</v>
      </c>
      <c r="B510" s="3062" t="s">
        <v>3710</v>
      </c>
      <c r="C510" s="3062"/>
      <c r="D510" s="3062" t="s">
        <v>3999</v>
      </c>
      <c r="E510" s="3058">
        <v>12.72</v>
      </c>
      <c r="F510" s="3058">
        <v>100000</v>
      </c>
      <c r="G510" s="3059">
        <v>100000</v>
      </c>
      <c r="H510" s="3059" t="s">
        <v>3090</v>
      </c>
      <c r="I510" s="3058" t="s">
        <v>3054</v>
      </c>
    </row>
    <row r="511" spans="1:9">
      <c r="A511" s="3059">
        <v>721</v>
      </c>
      <c r="B511" s="3062" t="s">
        <v>3710</v>
      </c>
      <c r="C511" s="3062"/>
      <c r="D511" s="3062" t="s">
        <v>3998</v>
      </c>
      <c r="E511" s="3058">
        <v>12.72</v>
      </c>
      <c r="F511" s="3058">
        <v>100000</v>
      </c>
      <c r="G511" s="3059">
        <v>100000</v>
      </c>
      <c r="H511" s="3059" t="s">
        <v>3090</v>
      </c>
      <c r="I511" s="3058" t="s">
        <v>3054</v>
      </c>
    </row>
    <row r="512" spans="1:9">
      <c r="A512" s="3059">
        <v>722</v>
      </c>
      <c r="B512" s="3062" t="s">
        <v>3710</v>
      </c>
      <c r="C512" s="3062"/>
      <c r="D512" s="3062" t="s">
        <v>3997</v>
      </c>
      <c r="E512" s="3058">
        <v>12.72</v>
      </c>
      <c r="F512" s="3058">
        <v>100000</v>
      </c>
      <c r="G512" s="3059">
        <v>100000</v>
      </c>
      <c r="H512" s="3059" t="s">
        <v>3090</v>
      </c>
      <c r="I512" s="3058" t="s">
        <v>3054</v>
      </c>
    </row>
    <row r="513" spans="1:9">
      <c r="A513" s="3059">
        <v>723</v>
      </c>
      <c r="B513" s="3062" t="s">
        <v>3710</v>
      </c>
      <c r="C513" s="3062"/>
      <c r="D513" s="3062" t="s">
        <v>3996</v>
      </c>
      <c r="E513" s="3058">
        <v>12.72</v>
      </c>
      <c r="F513" s="3058">
        <v>100000</v>
      </c>
      <c r="G513" s="3059">
        <v>100000</v>
      </c>
      <c r="H513" s="3059" t="s">
        <v>3090</v>
      </c>
      <c r="I513" s="3058" t="s">
        <v>3054</v>
      </c>
    </row>
    <row r="514" spans="1:9">
      <c r="A514" s="3059">
        <v>724</v>
      </c>
      <c r="B514" s="3062" t="s">
        <v>3710</v>
      </c>
      <c r="C514" s="3062"/>
      <c r="D514" s="3062" t="s">
        <v>3995</v>
      </c>
      <c r="E514" s="3058">
        <v>13.78</v>
      </c>
      <c r="F514" s="3058">
        <v>100000</v>
      </c>
      <c r="G514" s="3059">
        <v>100000</v>
      </c>
      <c r="H514" s="3059" t="s">
        <v>3090</v>
      </c>
      <c r="I514" s="3058" t="s">
        <v>3054</v>
      </c>
    </row>
    <row r="515" spans="1:9">
      <c r="A515" s="3059">
        <v>725</v>
      </c>
      <c r="B515" s="3062" t="s">
        <v>3710</v>
      </c>
      <c r="C515" s="3062"/>
      <c r="D515" s="3062" t="s">
        <v>3994</v>
      </c>
      <c r="E515" s="3058">
        <v>13.78</v>
      </c>
      <c r="F515" s="3058">
        <v>100000</v>
      </c>
      <c r="G515" s="3059">
        <v>100000</v>
      </c>
      <c r="H515" s="3059" t="s">
        <v>3090</v>
      </c>
      <c r="I515" s="3058" t="s">
        <v>3054</v>
      </c>
    </row>
    <row r="516" spans="1:9">
      <c r="A516" s="3059">
        <v>726</v>
      </c>
      <c r="B516" s="3062" t="s">
        <v>3710</v>
      </c>
      <c r="C516" s="3062"/>
      <c r="D516" s="3062" t="s">
        <v>3993</v>
      </c>
      <c r="E516" s="3058">
        <v>12.72</v>
      </c>
      <c r="F516" s="3058">
        <v>100000</v>
      </c>
      <c r="G516" s="3059">
        <v>100000</v>
      </c>
      <c r="H516" s="3059" t="s">
        <v>3090</v>
      </c>
      <c r="I516" s="3058" t="s">
        <v>3054</v>
      </c>
    </row>
    <row r="517" spans="1:9">
      <c r="A517" s="3059">
        <v>727</v>
      </c>
      <c r="B517" s="3062" t="s">
        <v>3710</v>
      </c>
      <c r="C517" s="3062"/>
      <c r="D517" s="3062" t="s">
        <v>3992</v>
      </c>
      <c r="E517" s="3058">
        <v>12.72</v>
      </c>
      <c r="F517" s="3058">
        <v>100000</v>
      </c>
      <c r="G517" s="3059">
        <v>100000</v>
      </c>
      <c r="H517" s="3059" t="s">
        <v>3090</v>
      </c>
      <c r="I517" s="3058" t="s">
        <v>3054</v>
      </c>
    </row>
    <row r="518" spans="1:9">
      <c r="A518" s="3059">
        <v>728</v>
      </c>
      <c r="B518" s="3062" t="s">
        <v>3710</v>
      </c>
      <c r="C518" s="3062"/>
      <c r="D518" s="3062" t="s">
        <v>3991</v>
      </c>
      <c r="E518" s="3058">
        <v>12.72</v>
      </c>
      <c r="F518" s="3058">
        <v>100000</v>
      </c>
      <c r="G518" s="3059">
        <v>100000</v>
      </c>
      <c r="H518" s="3059" t="s">
        <v>3090</v>
      </c>
      <c r="I518" s="3058" t="s">
        <v>3054</v>
      </c>
    </row>
    <row r="519" spans="1:9">
      <c r="A519" s="3059">
        <v>729</v>
      </c>
      <c r="B519" s="3062" t="s">
        <v>3710</v>
      </c>
      <c r="C519" s="3062"/>
      <c r="D519" s="3062" t="s">
        <v>3990</v>
      </c>
      <c r="E519" s="3058">
        <v>12.72</v>
      </c>
      <c r="F519" s="3058">
        <v>100000</v>
      </c>
      <c r="G519" s="3059">
        <v>100000</v>
      </c>
      <c r="H519" s="3059" t="s">
        <v>3090</v>
      </c>
      <c r="I519" s="3058" t="s">
        <v>3054</v>
      </c>
    </row>
    <row r="520" spans="1:9">
      <c r="A520" s="3059">
        <v>730</v>
      </c>
      <c r="B520" s="3062" t="s">
        <v>3710</v>
      </c>
      <c r="C520" s="3062"/>
      <c r="D520" s="3062" t="s">
        <v>3989</v>
      </c>
      <c r="E520" s="3058">
        <v>12.72</v>
      </c>
      <c r="F520" s="3058">
        <v>100000</v>
      </c>
      <c r="G520" s="3059">
        <v>100000</v>
      </c>
      <c r="H520" s="3059" t="s">
        <v>3090</v>
      </c>
      <c r="I520" s="3058" t="s">
        <v>3054</v>
      </c>
    </row>
    <row r="521" spans="1:9">
      <c r="A521" s="3059">
        <v>731</v>
      </c>
      <c r="B521" s="3062" t="s">
        <v>3710</v>
      </c>
      <c r="C521" s="3062"/>
      <c r="D521" s="3062" t="s">
        <v>3988</v>
      </c>
      <c r="E521" s="3058">
        <v>12.72</v>
      </c>
      <c r="F521" s="3058">
        <v>100000</v>
      </c>
      <c r="G521" s="3059">
        <v>100000</v>
      </c>
      <c r="H521" s="3059" t="s">
        <v>3090</v>
      </c>
      <c r="I521" s="3058" t="s">
        <v>3054</v>
      </c>
    </row>
    <row r="522" spans="1:9">
      <c r="A522" s="3059">
        <v>732</v>
      </c>
      <c r="B522" s="3062" t="s">
        <v>3710</v>
      </c>
      <c r="C522" s="3062"/>
      <c r="D522" s="3062" t="s">
        <v>3987</v>
      </c>
      <c r="E522" s="3058">
        <v>12.72</v>
      </c>
      <c r="F522" s="3058">
        <v>100000</v>
      </c>
      <c r="G522" s="3059">
        <v>100000</v>
      </c>
      <c r="H522" s="3059" t="s">
        <v>3090</v>
      </c>
      <c r="I522" s="3058" t="s">
        <v>3054</v>
      </c>
    </row>
    <row r="523" spans="1:9">
      <c r="A523" s="3059">
        <v>733</v>
      </c>
      <c r="B523" s="3062" t="s">
        <v>3710</v>
      </c>
      <c r="C523" s="3062"/>
      <c r="D523" s="3062" t="s">
        <v>3986</v>
      </c>
      <c r="E523" s="3058">
        <v>12.72</v>
      </c>
      <c r="F523" s="3058">
        <v>100000</v>
      </c>
      <c r="G523" s="3059">
        <v>100000</v>
      </c>
      <c r="H523" s="3059" t="s">
        <v>3090</v>
      </c>
      <c r="I523" s="3058" t="s">
        <v>3054</v>
      </c>
    </row>
    <row r="524" spans="1:9">
      <c r="A524" s="3059">
        <v>734</v>
      </c>
      <c r="B524" s="3062" t="s">
        <v>3710</v>
      </c>
      <c r="C524" s="3062"/>
      <c r="D524" s="3062" t="s">
        <v>3985</v>
      </c>
      <c r="E524" s="3058">
        <v>12.72</v>
      </c>
      <c r="F524" s="3058">
        <v>100000</v>
      </c>
      <c r="G524" s="3059">
        <v>100000</v>
      </c>
      <c r="H524" s="3059" t="s">
        <v>3090</v>
      </c>
      <c r="I524" s="3058" t="s">
        <v>3054</v>
      </c>
    </row>
    <row r="525" spans="1:9">
      <c r="A525" s="3059">
        <v>735</v>
      </c>
      <c r="B525" s="3062" t="s">
        <v>3710</v>
      </c>
      <c r="C525" s="3062"/>
      <c r="D525" s="3062" t="s">
        <v>3984</v>
      </c>
      <c r="E525" s="3058">
        <v>12.72</v>
      </c>
      <c r="F525" s="3058">
        <v>100000</v>
      </c>
      <c r="G525" s="3059">
        <v>100000</v>
      </c>
      <c r="H525" s="3059" t="s">
        <v>3090</v>
      </c>
      <c r="I525" s="3058" t="s">
        <v>3054</v>
      </c>
    </row>
    <row r="526" spans="1:9">
      <c r="A526" s="3059">
        <v>736</v>
      </c>
      <c r="B526" s="3062" t="s">
        <v>3710</v>
      </c>
      <c r="C526" s="3062"/>
      <c r="D526" s="3062" t="s">
        <v>3983</v>
      </c>
      <c r="E526" s="3058">
        <v>12.72</v>
      </c>
      <c r="F526" s="3058">
        <v>100000</v>
      </c>
      <c r="G526" s="3059">
        <v>100000</v>
      </c>
      <c r="H526" s="3059" t="s">
        <v>3090</v>
      </c>
      <c r="I526" s="3058" t="s">
        <v>3054</v>
      </c>
    </row>
    <row r="527" spans="1:9">
      <c r="A527" s="3059">
        <v>737</v>
      </c>
      <c r="B527" s="3062" t="s">
        <v>3710</v>
      </c>
      <c r="C527" s="3062"/>
      <c r="D527" s="3062" t="s">
        <v>3982</v>
      </c>
      <c r="E527" s="3058">
        <v>12.72</v>
      </c>
      <c r="F527" s="3058">
        <v>100000</v>
      </c>
      <c r="G527" s="3059">
        <v>100000</v>
      </c>
      <c r="H527" s="3059" t="s">
        <v>3090</v>
      </c>
      <c r="I527" s="3058" t="s">
        <v>3054</v>
      </c>
    </row>
    <row r="528" spans="1:9">
      <c r="A528" s="3059">
        <v>738</v>
      </c>
      <c r="B528" s="3062" t="s">
        <v>3710</v>
      </c>
      <c r="C528" s="3062"/>
      <c r="D528" s="3062" t="s">
        <v>3981</v>
      </c>
      <c r="E528" s="3058">
        <v>12.72</v>
      </c>
      <c r="F528" s="3058">
        <v>100000</v>
      </c>
      <c r="G528" s="3059">
        <v>100000</v>
      </c>
      <c r="H528" s="3059" t="s">
        <v>3090</v>
      </c>
      <c r="I528" s="3058" t="s">
        <v>3054</v>
      </c>
    </row>
    <row r="529" spans="1:9">
      <c r="A529" s="3059">
        <v>739</v>
      </c>
      <c r="B529" s="3062" t="s">
        <v>3710</v>
      </c>
      <c r="C529" s="3062"/>
      <c r="D529" s="3062" t="s">
        <v>3980</v>
      </c>
      <c r="E529" s="3058">
        <v>12.72</v>
      </c>
      <c r="F529" s="3058">
        <v>100000</v>
      </c>
      <c r="G529" s="3059">
        <v>100000</v>
      </c>
      <c r="H529" s="3059" t="s">
        <v>3090</v>
      </c>
      <c r="I529" s="3058" t="s">
        <v>3054</v>
      </c>
    </row>
    <row r="530" spans="1:9">
      <c r="A530" s="3059">
        <v>740</v>
      </c>
      <c r="B530" s="3062" t="s">
        <v>3710</v>
      </c>
      <c r="C530" s="3062"/>
      <c r="D530" s="3062" t="s">
        <v>3979</v>
      </c>
      <c r="E530" s="3058">
        <v>12.72</v>
      </c>
      <c r="F530" s="3058">
        <v>100000</v>
      </c>
      <c r="G530" s="3059">
        <v>100000</v>
      </c>
      <c r="H530" s="3059" t="s">
        <v>3090</v>
      </c>
      <c r="I530" s="3058" t="s">
        <v>3054</v>
      </c>
    </row>
    <row r="531" spans="1:9">
      <c r="A531" s="3059">
        <v>741</v>
      </c>
      <c r="B531" s="3062" t="s">
        <v>3710</v>
      </c>
      <c r="C531" s="3062"/>
      <c r="D531" s="3062" t="s">
        <v>3978</v>
      </c>
      <c r="E531" s="3058">
        <v>12.72</v>
      </c>
      <c r="F531" s="3058">
        <v>100000</v>
      </c>
      <c r="G531" s="3059">
        <v>100000</v>
      </c>
      <c r="H531" s="3059" t="s">
        <v>3090</v>
      </c>
      <c r="I531" s="3058" t="s">
        <v>3054</v>
      </c>
    </row>
    <row r="532" spans="1:9">
      <c r="A532" s="3059">
        <v>742</v>
      </c>
      <c r="B532" s="3062" t="s">
        <v>3710</v>
      </c>
      <c r="C532" s="3062"/>
      <c r="D532" s="3062" t="s">
        <v>3977</v>
      </c>
      <c r="E532" s="3058">
        <v>12.72</v>
      </c>
      <c r="F532" s="3058">
        <v>100000</v>
      </c>
      <c r="G532" s="3059">
        <v>100000</v>
      </c>
      <c r="H532" s="3059" t="s">
        <v>3090</v>
      </c>
      <c r="I532" s="3058" t="s">
        <v>3054</v>
      </c>
    </row>
    <row r="533" spans="1:9">
      <c r="A533" s="3059">
        <v>743</v>
      </c>
      <c r="B533" s="3062" t="s">
        <v>3710</v>
      </c>
      <c r="C533" s="3062"/>
      <c r="D533" s="3062" t="s">
        <v>3976</v>
      </c>
      <c r="E533" s="3058">
        <v>12.72</v>
      </c>
      <c r="F533" s="3058">
        <v>100000</v>
      </c>
      <c r="G533" s="3059">
        <v>100000</v>
      </c>
      <c r="H533" s="3059" t="s">
        <v>3090</v>
      </c>
      <c r="I533" s="3058" t="s">
        <v>3054</v>
      </c>
    </row>
    <row r="534" spans="1:9">
      <c r="A534" s="3059">
        <v>744</v>
      </c>
      <c r="B534" s="3062" t="s">
        <v>3710</v>
      </c>
      <c r="C534" s="3062"/>
      <c r="D534" s="3062" t="s">
        <v>3975</v>
      </c>
      <c r="E534" s="3058">
        <v>12.72</v>
      </c>
      <c r="F534" s="3058">
        <v>100000</v>
      </c>
      <c r="G534" s="3059">
        <v>100000</v>
      </c>
      <c r="H534" s="3059" t="s">
        <v>3090</v>
      </c>
      <c r="I534" s="3058" t="s">
        <v>3054</v>
      </c>
    </row>
    <row r="535" spans="1:9">
      <c r="A535" s="3059">
        <v>745</v>
      </c>
      <c r="B535" s="3062" t="s">
        <v>3710</v>
      </c>
      <c r="C535" s="3062"/>
      <c r="D535" s="3062" t="s">
        <v>3974</v>
      </c>
      <c r="E535" s="3058">
        <v>12.72</v>
      </c>
      <c r="F535" s="3058">
        <v>100000</v>
      </c>
      <c r="G535" s="3059">
        <v>100000</v>
      </c>
      <c r="H535" s="3059" t="s">
        <v>3090</v>
      </c>
      <c r="I535" s="3058" t="s">
        <v>3054</v>
      </c>
    </row>
    <row r="536" spans="1:9">
      <c r="A536" s="3059">
        <v>746</v>
      </c>
      <c r="B536" s="3062" t="s">
        <v>3710</v>
      </c>
      <c r="C536" s="3062"/>
      <c r="D536" s="3062" t="s">
        <v>3973</v>
      </c>
      <c r="E536" s="3058">
        <v>12.72</v>
      </c>
      <c r="F536" s="3058">
        <v>100000</v>
      </c>
      <c r="G536" s="3059">
        <v>100000</v>
      </c>
      <c r="H536" s="3059" t="s">
        <v>3090</v>
      </c>
      <c r="I536" s="3058" t="s">
        <v>3054</v>
      </c>
    </row>
    <row r="537" spans="1:9">
      <c r="A537" s="3059">
        <v>747</v>
      </c>
      <c r="B537" s="3062" t="s">
        <v>3710</v>
      </c>
      <c r="C537" s="3062"/>
      <c r="D537" s="3062" t="s">
        <v>3972</v>
      </c>
      <c r="E537" s="3058">
        <v>12.72</v>
      </c>
      <c r="F537" s="3058">
        <v>100000</v>
      </c>
      <c r="G537" s="3059">
        <v>100000</v>
      </c>
      <c r="H537" s="3059" t="s">
        <v>3090</v>
      </c>
      <c r="I537" s="3058" t="s">
        <v>3054</v>
      </c>
    </row>
    <row r="538" spans="1:9">
      <c r="A538" s="3059">
        <v>748</v>
      </c>
      <c r="B538" s="3062" t="s">
        <v>3710</v>
      </c>
      <c r="C538" s="3062"/>
      <c r="D538" s="3062" t="s">
        <v>3971</v>
      </c>
      <c r="E538" s="3058">
        <v>12.72</v>
      </c>
      <c r="F538" s="3058">
        <v>100000</v>
      </c>
      <c r="G538" s="3059">
        <v>100000</v>
      </c>
      <c r="H538" s="3059" t="s">
        <v>3090</v>
      </c>
      <c r="I538" s="3058" t="s">
        <v>3054</v>
      </c>
    </row>
    <row r="539" spans="1:9">
      <c r="A539" s="3059">
        <v>749</v>
      </c>
      <c r="B539" s="3062" t="s">
        <v>3710</v>
      </c>
      <c r="C539" s="3062"/>
      <c r="D539" s="3062" t="s">
        <v>3970</v>
      </c>
      <c r="E539" s="3058">
        <v>12.72</v>
      </c>
      <c r="F539" s="3058">
        <v>100000</v>
      </c>
      <c r="G539" s="3059">
        <v>100000</v>
      </c>
      <c r="H539" s="3059" t="s">
        <v>3090</v>
      </c>
      <c r="I539" s="3058" t="s">
        <v>3054</v>
      </c>
    </row>
    <row r="540" spans="1:9">
      <c r="A540" s="3059">
        <v>750</v>
      </c>
      <c r="B540" s="3062" t="s">
        <v>3710</v>
      </c>
      <c r="C540" s="3062"/>
      <c r="D540" s="3062" t="s">
        <v>3969</v>
      </c>
      <c r="E540" s="3058">
        <v>12.72</v>
      </c>
      <c r="F540" s="3058">
        <v>100000</v>
      </c>
      <c r="G540" s="3059">
        <v>100000</v>
      </c>
      <c r="H540" s="3059" t="s">
        <v>3090</v>
      </c>
      <c r="I540" s="3058" t="s">
        <v>3054</v>
      </c>
    </row>
    <row r="541" spans="1:9">
      <c r="A541" s="3059">
        <v>751</v>
      </c>
      <c r="B541" s="3062" t="s">
        <v>3710</v>
      </c>
      <c r="C541" s="3062"/>
      <c r="D541" s="3062" t="s">
        <v>3968</v>
      </c>
      <c r="E541" s="3058">
        <v>12.72</v>
      </c>
      <c r="F541" s="3058">
        <v>100000</v>
      </c>
      <c r="G541" s="3059">
        <v>100000</v>
      </c>
      <c r="H541" s="3059" t="s">
        <v>3090</v>
      </c>
      <c r="I541" s="3058" t="s">
        <v>3054</v>
      </c>
    </row>
    <row r="542" spans="1:9">
      <c r="A542" s="3059">
        <v>752</v>
      </c>
      <c r="B542" s="3062" t="s">
        <v>3710</v>
      </c>
      <c r="C542" s="3062"/>
      <c r="D542" s="3062" t="s">
        <v>3967</v>
      </c>
      <c r="E542" s="3058">
        <v>12.72</v>
      </c>
      <c r="F542" s="3058">
        <v>100000</v>
      </c>
      <c r="G542" s="3059">
        <v>100000</v>
      </c>
      <c r="H542" s="3059" t="s">
        <v>3090</v>
      </c>
      <c r="I542" s="3058" t="s">
        <v>3054</v>
      </c>
    </row>
    <row r="543" spans="1:9">
      <c r="A543" s="3059">
        <v>753</v>
      </c>
      <c r="B543" s="3062" t="s">
        <v>3710</v>
      </c>
      <c r="C543" s="3062"/>
      <c r="D543" s="3062" t="s">
        <v>3966</v>
      </c>
      <c r="E543" s="3058">
        <v>12.72</v>
      </c>
      <c r="F543" s="3058">
        <v>100000</v>
      </c>
      <c r="G543" s="3059">
        <v>100000</v>
      </c>
      <c r="H543" s="3059" t="s">
        <v>3090</v>
      </c>
      <c r="I543" s="3058" t="s">
        <v>3054</v>
      </c>
    </row>
    <row r="544" spans="1:9">
      <c r="A544" s="3059">
        <v>754</v>
      </c>
      <c r="B544" s="3062" t="s">
        <v>3710</v>
      </c>
      <c r="C544" s="3062"/>
      <c r="D544" s="3062" t="s">
        <v>3965</v>
      </c>
      <c r="E544" s="3058">
        <v>12.72</v>
      </c>
      <c r="F544" s="3058">
        <v>100000</v>
      </c>
      <c r="G544" s="3059">
        <v>100000</v>
      </c>
      <c r="H544" s="3059" t="s">
        <v>3090</v>
      </c>
      <c r="I544" s="3058" t="s">
        <v>3054</v>
      </c>
    </row>
    <row r="545" spans="1:9">
      <c r="A545" s="3059">
        <v>755</v>
      </c>
      <c r="B545" s="3062" t="s">
        <v>3710</v>
      </c>
      <c r="C545" s="3062"/>
      <c r="D545" s="3062" t="s">
        <v>3964</v>
      </c>
      <c r="E545" s="3058">
        <v>12.72</v>
      </c>
      <c r="F545" s="3058">
        <v>100000</v>
      </c>
      <c r="G545" s="3059">
        <v>100000</v>
      </c>
      <c r="H545" s="3059" t="s">
        <v>3090</v>
      </c>
      <c r="I545" s="3058" t="s">
        <v>3054</v>
      </c>
    </row>
    <row r="546" spans="1:9">
      <c r="A546" s="3059">
        <v>756</v>
      </c>
      <c r="B546" s="3062" t="s">
        <v>3710</v>
      </c>
      <c r="C546" s="3062"/>
      <c r="D546" s="3062" t="s">
        <v>3963</v>
      </c>
      <c r="E546" s="3058">
        <v>12.72</v>
      </c>
      <c r="F546" s="3058">
        <v>100000</v>
      </c>
      <c r="G546" s="3059">
        <v>100000</v>
      </c>
      <c r="H546" s="3059" t="s">
        <v>3090</v>
      </c>
      <c r="I546" s="3058" t="s">
        <v>3054</v>
      </c>
    </row>
    <row r="547" spans="1:9">
      <c r="A547" s="3059">
        <v>757</v>
      </c>
      <c r="B547" s="3062" t="s">
        <v>3710</v>
      </c>
      <c r="C547" s="3062"/>
      <c r="D547" s="3062" t="s">
        <v>3962</v>
      </c>
      <c r="E547" s="3058">
        <v>12.72</v>
      </c>
      <c r="F547" s="3058">
        <v>100000</v>
      </c>
      <c r="G547" s="3059">
        <v>100000</v>
      </c>
      <c r="H547" s="3059" t="s">
        <v>3090</v>
      </c>
      <c r="I547" s="3058" t="s">
        <v>3054</v>
      </c>
    </row>
    <row r="548" spans="1:9">
      <c r="A548" s="3059">
        <v>758</v>
      </c>
      <c r="B548" s="3062" t="s">
        <v>3710</v>
      </c>
      <c r="C548" s="3062"/>
      <c r="D548" s="3062" t="s">
        <v>3961</v>
      </c>
      <c r="E548" s="3058">
        <v>12.72</v>
      </c>
      <c r="F548" s="3058">
        <v>100000</v>
      </c>
      <c r="G548" s="3059">
        <v>100000</v>
      </c>
      <c r="H548" s="3059" t="s">
        <v>3090</v>
      </c>
      <c r="I548" s="3058" t="s">
        <v>3054</v>
      </c>
    </row>
    <row r="549" spans="1:9">
      <c r="A549" s="3059">
        <v>759</v>
      </c>
      <c r="B549" s="3062" t="s">
        <v>3710</v>
      </c>
      <c r="C549" s="3062"/>
      <c r="D549" s="3062" t="s">
        <v>3960</v>
      </c>
      <c r="E549" s="3058">
        <v>12.72</v>
      </c>
      <c r="F549" s="3058">
        <v>100000</v>
      </c>
      <c r="G549" s="3059">
        <v>100000</v>
      </c>
      <c r="H549" s="3059" t="s">
        <v>3090</v>
      </c>
      <c r="I549" s="3058" t="s">
        <v>3054</v>
      </c>
    </row>
    <row r="550" spans="1:9">
      <c r="A550" s="3059">
        <v>760</v>
      </c>
      <c r="B550" s="3062" t="s">
        <v>3710</v>
      </c>
      <c r="C550" s="3062"/>
      <c r="D550" s="3062" t="s">
        <v>3959</v>
      </c>
      <c r="E550" s="3058">
        <v>12.72</v>
      </c>
      <c r="F550" s="3058">
        <v>100000</v>
      </c>
      <c r="G550" s="3059">
        <v>100000</v>
      </c>
      <c r="H550" s="3059" t="s">
        <v>3090</v>
      </c>
      <c r="I550" s="3058" t="s">
        <v>3054</v>
      </c>
    </row>
    <row r="551" spans="1:9">
      <c r="A551" s="3059">
        <v>761</v>
      </c>
      <c r="B551" s="3062" t="s">
        <v>3710</v>
      </c>
      <c r="C551" s="3062"/>
      <c r="D551" s="3062" t="s">
        <v>3958</v>
      </c>
      <c r="E551" s="3058">
        <v>9.4600000000000009</v>
      </c>
      <c r="F551" s="3058">
        <v>100000</v>
      </c>
      <c r="G551" s="3059">
        <v>100000</v>
      </c>
      <c r="H551" s="3059" t="s">
        <v>3090</v>
      </c>
      <c r="I551" s="3058" t="s">
        <v>3054</v>
      </c>
    </row>
    <row r="552" spans="1:9">
      <c r="A552" s="3059">
        <v>762</v>
      </c>
      <c r="B552" s="3062" t="s">
        <v>3710</v>
      </c>
      <c r="C552" s="3062"/>
      <c r="D552" s="3062" t="s">
        <v>3957</v>
      </c>
      <c r="E552" s="3058">
        <v>12.72</v>
      </c>
      <c r="F552" s="3058">
        <v>100000</v>
      </c>
      <c r="G552" s="3059">
        <v>100000</v>
      </c>
      <c r="H552" s="3059" t="s">
        <v>3090</v>
      </c>
      <c r="I552" s="3058" t="s">
        <v>3054</v>
      </c>
    </row>
    <row r="553" spans="1:9">
      <c r="A553" s="3059">
        <v>763</v>
      </c>
      <c r="B553" s="3062" t="s">
        <v>3710</v>
      </c>
      <c r="C553" s="3062"/>
      <c r="D553" s="3062" t="s">
        <v>3956</v>
      </c>
      <c r="E553" s="3058">
        <v>12.72</v>
      </c>
      <c r="F553" s="3058">
        <v>100000</v>
      </c>
      <c r="G553" s="3059">
        <v>100000</v>
      </c>
      <c r="H553" s="3059" t="s">
        <v>3090</v>
      </c>
      <c r="I553" s="3058" t="s">
        <v>3054</v>
      </c>
    </row>
    <row r="554" spans="1:9">
      <c r="A554" s="3059">
        <v>764</v>
      </c>
      <c r="B554" s="3062" t="s">
        <v>3710</v>
      </c>
      <c r="C554" s="3062"/>
      <c r="D554" s="3062" t="s">
        <v>3955</v>
      </c>
      <c r="E554" s="3058">
        <v>12.72</v>
      </c>
      <c r="F554" s="3058">
        <v>100000</v>
      </c>
      <c r="G554" s="3059">
        <v>100000</v>
      </c>
      <c r="H554" s="3059" t="s">
        <v>3090</v>
      </c>
      <c r="I554" s="3058" t="s">
        <v>3054</v>
      </c>
    </row>
    <row r="555" spans="1:9">
      <c r="A555" s="3059">
        <v>765</v>
      </c>
      <c r="B555" s="3062" t="s">
        <v>3710</v>
      </c>
      <c r="C555" s="3062"/>
      <c r="D555" s="3062" t="s">
        <v>3954</v>
      </c>
      <c r="E555" s="3058">
        <v>12.72</v>
      </c>
      <c r="F555" s="3058">
        <v>100000</v>
      </c>
      <c r="G555" s="3059">
        <v>100000</v>
      </c>
      <c r="H555" s="3059" t="s">
        <v>3090</v>
      </c>
      <c r="I555" s="3058" t="s">
        <v>3054</v>
      </c>
    </row>
    <row r="556" spans="1:9">
      <c r="A556" s="3059">
        <v>766</v>
      </c>
      <c r="B556" s="3062" t="s">
        <v>3710</v>
      </c>
      <c r="C556" s="3062"/>
      <c r="D556" s="3062" t="s">
        <v>3953</v>
      </c>
      <c r="E556" s="3058">
        <v>12.72</v>
      </c>
      <c r="F556" s="3058">
        <v>100000</v>
      </c>
      <c r="G556" s="3059">
        <v>100000</v>
      </c>
      <c r="H556" s="3059" t="s">
        <v>3090</v>
      </c>
      <c r="I556" s="3058" t="s">
        <v>3054</v>
      </c>
    </row>
    <row r="557" spans="1:9">
      <c r="A557" s="3059">
        <v>767</v>
      </c>
      <c r="B557" s="3062" t="s">
        <v>3710</v>
      </c>
      <c r="C557" s="3062"/>
      <c r="D557" s="3062" t="s">
        <v>3952</v>
      </c>
      <c r="E557" s="3058">
        <v>12.72</v>
      </c>
      <c r="F557" s="3058">
        <v>100000</v>
      </c>
      <c r="G557" s="3059">
        <v>100000</v>
      </c>
      <c r="H557" s="3059" t="s">
        <v>3090</v>
      </c>
      <c r="I557" s="3058" t="s">
        <v>3054</v>
      </c>
    </row>
    <row r="558" spans="1:9">
      <c r="A558" s="3059">
        <v>768</v>
      </c>
      <c r="B558" s="3062" t="s">
        <v>3710</v>
      </c>
      <c r="C558" s="3062"/>
      <c r="D558" s="3062" t="s">
        <v>3951</v>
      </c>
      <c r="E558" s="3058">
        <v>12.72</v>
      </c>
      <c r="F558" s="3058">
        <v>100000</v>
      </c>
      <c r="G558" s="3059">
        <v>100000</v>
      </c>
      <c r="H558" s="3059" t="s">
        <v>3090</v>
      </c>
      <c r="I558" s="3058" t="s">
        <v>3054</v>
      </c>
    </row>
    <row r="559" spans="1:9">
      <c r="A559" s="3059">
        <v>769</v>
      </c>
      <c r="B559" s="3062" t="s">
        <v>3710</v>
      </c>
      <c r="C559" s="3062"/>
      <c r="D559" s="3062" t="s">
        <v>3950</v>
      </c>
      <c r="E559" s="3058">
        <v>12.72</v>
      </c>
      <c r="F559" s="3058">
        <v>100000</v>
      </c>
      <c r="G559" s="3059">
        <v>100000</v>
      </c>
      <c r="H559" s="3059" t="s">
        <v>3090</v>
      </c>
      <c r="I559" s="3058" t="s">
        <v>3054</v>
      </c>
    </row>
    <row r="560" spans="1:9">
      <c r="A560" s="3059">
        <v>770</v>
      </c>
      <c r="B560" s="3062" t="s">
        <v>3710</v>
      </c>
      <c r="C560" s="3062"/>
      <c r="D560" s="3062" t="s">
        <v>3949</v>
      </c>
      <c r="E560" s="3058">
        <v>13.78</v>
      </c>
      <c r="F560" s="3058">
        <v>100000</v>
      </c>
      <c r="G560" s="3059">
        <v>100000</v>
      </c>
      <c r="H560" s="3059" t="s">
        <v>3090</v>
      </c>
      <c r="I560" s="3058" t="s">
        <v>3054</v>
      </c>
    </row>
    <row r="561" spans="1:9">
      <c r="A561" s="3059">
        <v>771</v>
      </c>
      <c r="B561" s="3062" t="s">
        <v>3710</v>
      </c>
      <c r="C561" s="3062"/>
      <c r="D561" s="3062" t="s">
        <v>3948</v>
      </c>
      <c r="E561" s="3058">
        <v>13.78</v>
      </c>
      <c r="F561" s="3058">
        <v>100000</v>
      </c>
      <c r="G561" s="3059">
        <v>100000</v>
      </c>
      <c r="H561" s="3059" t="s">
        <v>3090</v>
      </c>
      <c r="I561" s="3058" t="s">
        <v>3054</v>
      </c>
    </row>
    <row r="562" spans="1:9">
      <c r="A562" s="3059">
        <v>772</v>
      </c>
      <c r="B562" s="3062" t="s">
        <v>3710</v>
      </c>
      <c r="C562" s="3062"/>
      <c r="D562" s="3062" t="s">
        <v>3947</v>
      </c>
      <c r="E562" s="3058">
        <v>12.72</v>
      </c>
      <c r="F562" s="3058">
        <v>100000</v>
      </c>
      <c r="G562" s="3059">
        <v>100000</v>
      </c>
      <c r="H562" s="3059" t="s">
        <v>3090</v>
      </c>
      <c r="I562" s="3058" t="s">
        <v>3054</v>
      </c>
    </row>
    <row r="563" spans="1:9">
      <c r="A563" s="3059">
        <v>773</v>
      </c>
      <c r="B563" s="3062" t="s">
        <v>3710</v>
      </c>
      <c r="C563" s="3062"/>
      <c r="D563" s="3062" t="s">
        <v>3946</v>
      </c>
      <c r="E563" s="3058">
        <v>12.72</v>
      </c>
      <c r="F563" s="3058">
        <v>100000</v>
      </c>
      <c r="G563" s="3059">
        <v>100000</v>
      </c>
      <c r="H563" s="3059" t="s">
        <v>3090</v>
      </c>
      <c r="I563" s="3058" t="s">
        <v>3054</v>
      </c>
    </row>
    <row r="564" spans="1:9">
      <c r="A564" s="3059">
        <v>774</v>
      </c>
      <c r="B564" s="3062" t="s">
        <v>3710</v>
      </c>
      <c r="C564" s="3062"/>
      <c r="D564" s="3062" t="s">
        <v>3945</v>
      </c>
      <c r="E564" s="3058">
        <v>12.72</v>
      </c>
      <c r="F564" s="3058">
        <v>100000</v>
      </c>
      <c r="G564" s="3059">
        <v>100000</v>
      </c>
      <c r="H564" s="3059" t="s">
        <v>3090</v>
      </c>
      <c r="I564" s="3058" t="s">
        <v>3054</v>
      </c>
    </row>
    <row r="565" spans="1:9">
      <c r="A565" s="3059">
        <v>775</v>
      </c>
      <c r="B565" s="3062" t="s">
        <v>3710</v>
      </c>
      <c r="C565" s="3062"/>
      <c r="D565" s="3062" t="s">
        <v>3944</v>
      </c>
      <c r="E565" s="3058">
        <v>12.72</v>
      </c>
      <c r="F565" s="3058">
        <v>100000</v>
      </c>
      <c r="G565" s="3059">
        <v>100000</v>
      </c>
      <c r="H565" s="3059" t="s">
        <v>3090</v>
      </c>
      <c r="I565" s="3058" t="s">
        <v>3054</v>
      </c>
    </row>
    <row r="566" spans="1:9">
      <c r="A566" s="3059">
        <v>776</v>
      </c>
      <c r="B566" s="3062" t="s">
        <v>3710</v>
      </c>
      <c r="C566" s="3062"/>
      <c r="D566" s="3062" t="s">
        <v>3943</v>
      </c>
      <c r="E566" s="3058">
        <v>12.72</v>
      </c>
      <c r="F566" s="3058">
        <v>100000</v>
      </c>
      <c r="G566" s="3059">
        <v>100000</v>
      </c>
      <c r="H566" s="3059" t="s">
        <v>3090</v>
      </c>
      <c r="I566" s="3058" t="s">
        <v>3054</v>
      </c>
    </row>
    <row r="567" spans="1:9">
      <c r="A567" s="3059">
        <v>777</v>
      </c>
      <c r="B567" s="3062" t="s">
        <v>3710</v>
      </c>
      <c r="C567" s="3062"/>
      <c r="D567" s="3062" t="s">
        <v>3942</v>
      </c>
      <c r="E567" s="3058">
        <v>12.72</v>
      </c>
      <c r="F567" s="3058">
        <v>100000</v>
      </c>
      <c r="G567" s="3059">
        <v>100000</v>
      </c>
      <c r="H567" s="3059" t="s">
        <v>3090</v>
      </c>
      <c r="I567" s="3058" t="s">
        <v>3054</v>
      </c>
    </row>
    <row r="568" spans="1:9">
      <c r="A568" s="3059">
        <v>778</v>
      </c>
      <c r="B568" s="3062" t="s">
        <v>3710</v>
      </c>
      <c r="C568" s="3062"/>
      <c r="D568" s="3062" t="s">
        <v>3941</v>
      </c>
      <c r="E568" s="3058">
        <v>12.72</v>
      </c>
      <c r="F568" s="3058">
        <v>100000</v>
      </c>
      <c r="G568" s="3059">
        <v>100000</v>
      </c>
      <c r="H568" s="3059" t="s">
        <v>3090</v>
      </c>
      <c r="I568" s="3058" t="s">
        <v>3054</v>
      </c>
    </row>
    <row r="569" spans="1:9">
      <c r="A569" s="3059">
        <v>779</v>
      </c>
      <c r="B569" s="3062" t="s">
        <v>3710</v>
      </c>
      <c r="C569" s="3062"/>
      <c r="D569" s="3062" t="s">
        <v>3940</v>
      </c>
      <c r="E569" s="3058">
        <v>12.72</v>
      </c>
      <c r="F569" s="3058">
        <v>100000</v>
      </c>
      <c r="G569" s="3059">
        <v>100000</v>
      </c>
      <c r="H569" s="3059" t="s">
        <v>3090</v>
      </c>
      <c r="I569" s="3058" t="s">
        <v>3054</v>
      </c>
    </row>
    <row r="570" spans="1:9">
      <c r="A570" s="3059">
        <v>780</v>
      </c>
      <c r="B570" s="3062" t="s">
        <v>3710</v>
      </c>
      <c r="C570" s="3062"/>
      <c r="D570" s="3062" t="s">
        <v>3939</v>
      </c>
      <c r="E570" s="3058">
        <v>12.72</v>
      </c>
      <c r="F570" s="3058">
        <v>100000</v>
      </c>
      <c r="G570" s="3059">
        <v>100000</v>
      </c>
      <c r="H570" s="3059" t="s">
        <v>3090</v>
      </c>
      <c r="I570" s="3058" t="s">
        <v>3054</v>
      </c>
    </row>
    <row r="571" spans="1:9">
      <c r="A571" s="3059">
        <v>781</v>
      </c>
      <c r="B571" s="3062" t="s">
        <v>3710</v>
      </c>
      <c r="C571" s="3062"/>
      <c r="D571" s="3062" t="s">
        <v>3938</v>
      </c>
      <c r="E571" s="3058">
        <v>12.72</v>
      </c>
      <c r="F571" s="3058">
        <v>100000</v>
      </c>
      <c r="G571" s="3059">
        <v>100000</v>
      </c>
      <c r="H571" s="3059" t="s">
        <v>3090</v>
      </c>
      <c r="I571" s="3058" t="s">
        <v>3054</v>
      </c>
    </row>
    <row r="572" spans="1:9">
      <c r="A572" s="3059">
        <v>782</v>
      </c>
      <c r="B572" s="3062" t="s">
        <v>3710</v>
      </c>
      <c r="C572" s="3062"/>
      <c r="D572" s="3062" t="s">
        <v>3937</v>
      </c>
      <c r="E572" s="3058">
        <v>12.72</v>
      </c>
      <c r="F572" s="3058">
        <v>100000</v>
      </c>
      <c r="G572" s="3059">
        <v>100000</v>
      </c>
      <c r="H572" s="3059" t="s">
        <v>3090</v>
      </c>
      <c r="I572" s="3058" t="s">
        <v>3054</v>
      </c>
    </row>
    <row r="573" spans="1:9">
      <c r="A573" s="3059">
        <v>783</v>
      </c>
      <c r="B573" s="3062" t="s">
        <v>3710</v>
      </c>
      <c r="C573" s="3062"/>
      <c r="D573" s="3062" t="s">
        <v>3936</v>
      </c>
      <c r="E573" s="3058">
        <v>12.72</v>
      </c>
      <c r="F573" s="3058">
        <v>100000</v>
      </c>
      <c r="G573" s="3059">
        <v>100000</v>
      </c>
      <c r="H573" s="3059" t="s">
        <v>3090</v>
      </c>
      <c r="I573" s="3058" t="s">
        <v>3054</v>
      </c>
    </row>
    <row r="574" spans="1:9">
      <c r="A574" s="3059">
        <v>784</v>
      </c>
      <c r="B574" s="3062" t="s">
        <v>3710</v>
      </c>
      <c r="C574" s="3062"/>
      <c r="D574" s="3062" t="s">
        <v>3935</v>
      </c>
      <c r="E574" s="3058">
        <v>12.72</v>
      </c>
      <c r="F574" s="3058">
        <v>100000</v>
      </c>
      <c r="G574" s="3059">
        <v>100000</v>
      </c>
      <c r="H574" s="3059" t="s">
        <v>3090</v>
      </c>
      <c r="I574" s="3058" t="s">
        <v>3054</v>
      </c>
    </row>
    <row r="575" spans="1:9">
      <c r="A575" s="3059">
        <v>785</v>
      </c>
      <c r="B575" s="3062" t="s">
        <v>3710</v>
      </c>
      <c r="C575" s="3062"/>
      <c r="D575" s="3062" t="s">
        <v>3934</v>
      </c>
      <c r="E575" s="3058">
        <v>12.72</v>
      </c>
      <c r="F575" s="3058">
        <v>100000</v>
      </c>
      <c r="G575" s="3059">
        <v>100000</v>
      </c>
      <c r="H575" s="3059" t="s">
        <v>3090</v>
      </c>
      <c r="I575" s="3058" t="s">
        <v>3054</v>
      </c>
    </row>
    <row r="576" spans="1:9">
      <c r="A576" s="3059">
        <v>786</v>
      </c>
      <c r="B576" s="3062" t="s">
        <v>3710</v>
      </c>
      <c r="C576" s="3062"/>
      <c r="D576" s="3062" t="s">
        <v>3933</v>
      </c>
      <c r="E576" s="3058">
        <v>12.72</v>
      </c>
      <c r="F576" s="3058">
        <v>100000</v>
      </c>
      <c r="G576" s="3059">
        <v>100000</v>
      </c>
      <c r="H576" s="3059" t="s">
        <v>3090</v>
      </c>
      <c r="I576" s="3058" t="s">
        <v>3054</v>
      </c>
    </row>
    <row r="577" spans="1:9">
      <c r="A577" s="3059">
        <v>787</v>
      </c>
      <c r="B577" s="3062" t="s">
        <v>3710</v>
      </c>
      <c r="C577" s="3062"/>
      <c r="D577" s="3062" t="s">
        <v>3932</v>
      </c>
      <c r="E577" s="3058">
        <v>12.72</v>
      </c>
      <c r="F577" s="3058">
        <v>100000</v>
      </c>
      <c r="G577" s="3059">
        <v>100000</v>
      </c>
      <c r="H577" s="3059" t="s">
        <v>3090</v>
      </c>
      <c r="I577" s="3058" t="s">
        <v>3054</v>
      </c>
    </row>
    <row r="578" spans="1:9">
      <c r="A578" s="3059">
        <v>788</v>
      </c>
      <c r="B578" s="3062" t="s">
        <v>3710</v>
      </c>
      <c r="C578" s="3062"/>
      <c r="D578" s="3062" t="s">
        <v>3931</v>
      </c>
      <c r="E578" s="3058">
        <v>12.72</v>
      </c>
      <c r="F578" s="3058">
        <v>100000</v>
      </c>
      <c r="G578" s="3059">
        <v>100000</v>
      </c>
      <c r="H578" s="3059" t="s">
        <v>3090</v>
      </c>
      <c r="I578" s="3058" t="s">
        <v>3054</v>
      </c>
    </row>
    <row r="579" spans="1:9">
      <c r="A579" s="3059">
        <v>789</v>
      </c>
      <c r="B579" s="3062" t="s">
        <v>3710</v>
      </c>
      <c r="C579" s="3062"/>
      <c r="D579" s="3062" t="s">
        <v>3930</v>
      </c>
      <c r="E579" s="3058">
        <v>12.72</v>
      </c>
      <c r="F579" s="3058">
        <v>100000</v>
      </c>
      <c r="G579" s="3059">
        <v>100000</v>
      </c>
      <c r="H579" s="3059" t="s">
        <v>3090</v>
      </c>
      <c r="I579" s="3058" t="s">
        <v>3054</v>
      </c>
    </row>
    <row r="580" spans="1:9">
      <c r="A580" s="3059">
        <v>790</v>
      </c>
      <c r="B580" s="3062" t="s">
        <v>3710</v>
      </c>
      <c r="C580" s="3062"/>
      <c r="D580" s="3062" t="s">
        <v>3929</v>
      </c>
      <c r="E580" s="3058">
        <v>12.72</v>
      </c>
      <c r="F580" s="3058">
        <v>100000</v>
      </c>
      <c r="G580" s="3059">
        <v>100000</v>
      </c>
      <c r="H580" s="3059" t="s">
        <v>3090</v>
      </c>
      <c r="I580" s="3058" t="s">
        <v>3054</v>
      </c>
    </row>
    <row r="581" spans="1:9">
      <c r="A581" s="3059">
        <v>791</v>
      </c>
      <c r="B581" s="3062" t="s">
        <v>3710</v>
      </c>
      <c r="C581" s="3062"/>
      <c r="D581" s="3062" t="s">
        <v>3928</v>
      </c>
      <c r="E581" s="3058">
        <v>12.72</v>
      </c>
      <c r="F581" s="3058">
        <v>100000</v>
      </c>
      <c r="G581" s="3059">
        <v>100000</v>
      </c>
      <c r="H581" s="3059" t="s">
        <v>3090</v>
      </c>
      <c r="I581" s="3058" t="s">
        <v>3054</v>
      </c>
    </row>
    <row r="582" spans="1:9">
      <c r="A582" s="3059">
        <v>792</v>
      </c>
      <c r="B582" s="3062" t="s">
        <v>3710</v>
      </c>
      <c r="C582" s="3062"/>
      <c r="D582" s="3062" t="s">
        <v>3927</v>
      </c>
      <c r="E582" s="3058">
        <v>12.72</v>
      </c>
      <c r="F582" s="3058">
        <v>100000</v>
      </c>
      <c r="G582" s="3059">
        <v>100000</v>
      </c>
      <c r="H582" s="3059" t="s">
        <v>3090</v>
      </c>
      <c r="I582" s="3058" t="s">
        <v>3054</v>
      </c>
    </row>
    <row r="583" spans="1:9">
      <c r="A583" s="3059">
        <v>793</v>
      </c>
      <c r="B583" s="3062" t="s">
        <v>3710</v>
      </c>
      <c r="C583" s="3062"/>
      <c r="D583" s="3062" t="s">
        <v>3926</v>
      </c>
      <c r="E583" s="3058">
        <v>12.72</v>
      </c>
      <c r="F583" s="3058">
        <v>100000</v>
      </c>
      <c r="G583" s="3059">
        <v>100000</v>
      </c>
      <c r="H583" s="3059" t="s">
        <v>3090</v>
      </c>
      <c r="I583" s="3058" t="s">
        <v>3054</v>
      </c>
    </row>
    <row r="584" spans="1:9">
      <c r="A584" s="3059">
        <v>794</v>
      </c>
      <c r="B584" s="3062" t="s">
        <v>3710</v>
      </c>
      <c r="C584" s="3062"/>
      <c r="D584" s="3062" t="s">
        <v>3925</v>
      </c>
      <c r="E584" s="3058">
        <v>12.72</v>
      </c>
      <c r="F584" s="3058">
        <v>100000</v>
      </c>
      <c r="G584" s="3059">
        <v>100000</v>
      </c>
      <c r="H584" s="3059" t="s">
        <v>3090</v>
      </c>
      <c r="I584" s="3058" t="s">
        <v>3054</v>
      </c>
    </row>
    <row r="585" spans="1:9">
      <c r="A585" s="3059">
        <v>795</v>
      </c>
      <c r="B585" s="3062" t="s">
        <v>3710</v>
      </c>
      <c r="C585" s="3062"/>
      <c r="D585" s="3062" t="s">
        <v>3924</v>
      </c>
      <c r="E585" s="3058">
        <v>12.72</v>
      </c>
      <c r="F585" s="3058">
        <v>100000</v>
      </c>
      <c r="G585" s="3059">
        <v>100000</v>
      </c>
      <c r="H585" s="3059" t="s">
        <v>3090</v>
      </c>
      <c r="I585" s="3058" t="s">
        <v>3054</v>
      </c>
    </row>
    <row r="586" spans="1:9">
      <c r="A586" s="3059">
        <v>796</v>
      </c>
      <c r="B586" s="3062" t="s">
        <v>3710</v>
      </c>
      <c r="C586" s="3062"/>
      <c r="D586" s="3062" t="s">
        <v>3923</v>
      </c>
      <c r="E586" s="3058">
        <v>12.72</v>
      </c>
      <c r="F586" s="3058">
        <v>100000</v>
      </c>
      <c r="G586" s="3059">
        <v>100000</v>
      </c>
      <c r="H586" s="3059" t="s">
        <v>3090</v>
      </c>
      <c r="I586" s="3058" t="s">
        <v>3054</v>
      </c>
    </row>
    <row r="587" spans="1:9">
      <c r="A587" s="3059">
        <v>797</v>
      </c>
      <c r="B587" s="3062" t="s">
        <v>3710</v>
      </c>
      <c r="C587" s="3062"/>
      <c r="D587" s="3062" t="s">
        <v>3922</v>
      </c>
      <c r="E587" s="3058">
        <v>12.72</v>
      </c>
      <c r="F587" s="3058">
        <v>100000</v>
      </c>
      <c r="G587" s="3059">
        <v>100000</v>
      </c>
      <c r="H587" s="3059" t="s">
        <v>3090</v>
      </c>
      <c r="I587" s="3058" t="s">
        <v>3054</v>
      </c>
    </row>
    <row r="588" spans="1:9">
      <c r="A588" s="3059">
        <v>798</v>
      </c>
      <c r="B588" s="3062" t="s">
        <v>3710</v>
      </c>
      <c r="C588" s="3062"/>
      <c r="D588" s="3062" t="s">
        <v>3921</v>
      </c>
      <c r="E588" s="3058">
        <v>12.72</v>
      </c>
      <c r="F588" s="3058">
        <v>100000</v>
      </c>
      <c r="G588" s="3059">
        <v>100000</v>
      </c>
      <c r="H588" s="3059" t="s">
        <v>3090</v>
      </c>
      <c r="I588" s="3058" t="s">
        <v>3054</v>
      </c>
    </row>
    <row r="589" spans="1:9">
      <c r="A589" s="3059">
        <v>799</v>
      </c>
      <c r="B589" s="3062" t="s">
        <v>3710</v>
      </c>
      <c r="C589" s="3062"/>
      <c r="D589" s="3062" t="s">
        <v>3920</v>
      </c>
      <c r="E589" s="3058">
        <v>12.72</v>
      </c>
      <c r="F589" s="3058">
        <v>100000</v>
      </c>
      <c r="G589" s="3059">
        <v>100000</v>
      </c>
      <c r="H589" s="3059" t="s">
        <v>3090</v>
      </c>
      <c r="I589" s="3058" t="s">
        <v>3054</v>
      </c>
    </row>
    <row r="590" spans="1:9">
      <c r="A590" s="3059">
        <v>800</v>
      </c>
      <c r="B590" s="3062" t="s">
        <v>3710</v>
      </c>
      <c r="C590" s="3062"/>
      <c r="D590" s="3062" t="s">
        <v>3919</v>
      </c>
      <c r="E590" s="3058">
        <v>12.72</v>
      </c>
      <c r="F590" s="3058">
        <v>100000</v>
      </c>
      <c r="G590" s="3059">
        <v>100000</v>
      </c>
      <c r="H590" s="3059" t="s">
        <v>3090</v>
      </c>
      <c r="I590" s="3058" t="s">
        <v>3054</v>
      </c>
    </row>
    <row r="591" spans="1:9">
      <c r="A591" s="3059">
        <v>801</v>
      </c>
      <c r="B591" s="3062" t="s">
        <v>3710</v>
      </c>
      <c r="C591" s="3062"/>
      <c r="D591" s="3062" t="s">
        <v>3918</v>
      </c>
      <c r="E591" s="3058">
        <v>13.78</v>
      </c>
      <c r="F591" s="3058">
        <v>100000</v>
      </c>
      <c r="G591" s="3059">
        <v>100000</v>
      </c>
      <c r="H591" s="3059" t="s">
        <v>3090</v>
      </c>
      <c r="I591" s="3058" t="s">
        <v>3054</v>
      </c>
    </row>
    <row r="592" spans="1:9">
      <c r="A592" s="3059">
        <v>802</v>
      </c>
      <c r="B592" s="3062" t="s">
        <v>3710</v>
      </c>
      <c r="C592" s="3062"/>
      <c r="D592" s="3062" t="s">
        <v>3917</v>
      </c>
      <c r="E592" s="3058">
        <v>12.72</v>
      </c>
      <c r="F592" s="3058">
        <v>100000</v>
      </c>
      <c r="G592" s="3059">
        <v>100000</v>
      </c>
      <c r="H592" s="3059" t="s">
        <v>3090</v>
      </c>
      <c r="I592" s="3058" t="s">
        <v>3054</v>
      </c>
    </row>
    <row r="593" spans="1:9">
      <c r="A593" s="3059">
        <v>803</v>
      </c>
      <c r="B593" s="3062" t="s">
        <v>3710</v>
      </c>
      <c r="C593" s="3062"/>
      <c r="D593" s="3062" t="s">
        <v>3916</v>
      </c>
      <c r="E593" s="3058">
        <v>12.72</v>
      </c>
      <c r="F593" s="3058">
        <v>100000</v>
      </c>
      <c r="G593" s="3059">
        <v>100000</v>
      </c>
      <c r="H593" s="3059" t="s">
        <v>3090</v>
      </c>
      <c r="I593" s="3058" t="s">
        <v>3054</v>
      </c>
    </row>
    <row r="594" spans="1:9">
      <c r="A594" s="3059">
        <v>804</v>
      </c>
      <c r="B594" s="3062" t="s">
        <v>3710</v>
      </c>
      <c r="C594" s="3062"/>
      <c r="D594" s="3062" t="s">
        <v>3915</v>
      </c>
      <c r="E594" s="3058">
        <v>12.72</v>
      </c>
      <c r="F594" s="3058">
        <v>100000</v>
      </c>
      <c r="G594" s="3059">
        <v>100000</v>
      </c>
      <c r="H594" s="3059" t="s">
        <v>3090</v>
      </c>
      <c r="I594" s="3058" t="s">
        <v>3054</v>
      </c>
    </row>
    <row r="595" spans="1:9">
      <c r="A595" s="3059">
        <v>805</v>
      </c>
      <c r="B595" s="3062" t="s">
        <v>3710</v>
      </c>
      <c r="C595" s="3062"/>
      <c r="D595" s="3062" t="s">
        <v>3914</v>
      </c>
      <c r="E595" s="3058">
        <v>12.72</v>
      </c>
      <c r="F595" s="3058">
        <v>100000</v>
      </c>
      <c r="G595" s="3059">
        <v>100000</v>
      </c>
      <c r="H595" s="3059" t="s">
        <v>3090</v>
      </c>
      <c r="I595" s="3058" t="s">
        <v>3054</v>
      </c>
    </row>
    <row r="596" spans="1:9">
      <c r="A596" s="3059">
        <v>806</v>
      </c>
      <c r="B596" s="3062" t="s">
        <v>3710</v>
      </c>
      <c r="C596" s="3062"/>
      <c r="D596" s="3062" t="s">
        <v>3913</v>
      </c>
      <c r="E596" s="3058">
        <v>12.72</v>
      </c>
      <c r="F596" s="3058">
        <v>100000</v>
      </c>
      <c r="G596" s="3059">
        <v>100000</v>
      </c>
      <c r="H596" s="3059" t="s">
        <v>3090</v>
      </c>
      <c r="I596" s="3058" t="s">
        <v>3054</v>
      </c>
    </row>
    <row r="597" spans="1:9">
      <c r="A597" s="3059">
        <v>807</v>
      </c>
      <c r="B597" s="3062" t="s">
        <v>3710</v>
      </c>
      <c r="C597" s="3062"/>
      <c r="D597" s="3062" t="s">
        <v>3912</v>
      </c>
      <c r="E597" s="3058">
        <v>12.72</v>
      </c>
      <c r="F597" s="3058">
        <v>100000</v>
      </c>
      <c r="G597" s="3059">
        <v>100000</v>
      </c>
      <c r="H597" s="3059" t="s">
        <v>3090</v>
      </c>
      <c r="I597" s="3058" t="s">
        <v>3054</v>
      </c>
    </row>
    <row r="598" spans="1:9">
      <c r="A598" s="3059">
        <v>808</v>
      </c>
      <c r="B598" s="3062" t="s">
        <v>3710</v>
      </c>
      <c r="C598" s="3062"/>
      <c r="D598" s="3062" t="s">
        <v>3911</v>
      </c>
      <c r="E598" s="3058">
        <v>12.72</v>
      </c>
      <c r="F598" s="3058">
        <v>100000</v>
      </c>
      <c r="G598" s="3059">
        <v>100000</v>
      </c>
      <c r="H598" s="3059" t="s">
        <v>3090</v>
      </c>
      <c r="I598" s="3058" t="s">
        <v>3054</v>
      </c>
    </row>
    <row r="599" spans="1:9">
      <c r="A599" s="3059">
        <v>809</v>
      </c>
      <c r="B599" s="3062" t="s">
        <v>3710</v>
      </c>
      <c r="C599" s="3062"/>
      <c r="D599" s="3062" t="s">
        <v>3910</v>
      </c>
      <c r="E599" s="3058">
        <v>12.72</v>
      </c>
      <c r="F599" s="3058">
        <v>100000</v>
      </c>
      <c r="G599" s="3059">
        <v>100000</v>
      </c>
      <c r="H599" s="3059" t="s">
        <v>3090</v>
      </c>
      <c r="I599" s="3058" t="s">
        <v>3054</v>
      </c>
    </row>
    <row r="600" spans="1:9">
      <c r="A600" s="3059">
        <v>810</v>
      </c>
      <c r="B600" s="3062" t="s">
        <v>3710</v>
      </c>
      <c r="C600" s="3062"/>
      <c r="D600" s="3062" t="s">
        <v>3909</v>
      </c>
      <c r="E600" s="3058">
        <v>12.72</v>
      </c>
      <c r="F600" s="3058">
        <v>100000</v>
      </c>
      <c r="G600" s="3059">
        <v>100000</v>
      </c>
      <c r="H600" s="3059" t="s">
        <v>3090</v>
      </c>
      <c r="I600" s="3058" t="s">
        <v>3054</v>
      </c>
    </row>
    <row r="601" spans="1:9">
      <c r="A601" s="3059">
        <v>811</v>
      </c>
      <c r="B601" s="3062" t="s">
        <v>3710</v>
      </c>
      <c r="C601" s="3062"/>
      <c r="D601" s="3062" t="s">
        <v>3908</v>
      </c>
      <c r="E601" s="3058">
        <v>12.72</v>
      </c>
      <c r="F601" s="3058">
        <v>100000</v>
      </c>
      <c r="G601" s="3059">
        <v>100000</v>
      </c>
      <c r="H601" s="3059" t="s">
        <v>3090</v>
      </c>
      <c r="I601" s="3058" t="s">
        <v>3054</v>
      </c>
    </row>
    <row r="602" spans="1:9">
      <c r="A602" s="3059">
        <v>812</v>
      </c>
      <c r="B602" s="3062" t="s">
        <v>3710</v>
      </c>
      <c r="C602" s="3062"/>
      <c r="D602" s="3062" t="s">
        <v>3907</v>
      </c>
      <c r="E602" s="3058">
        <v>12.72</v>
      </c>
      <c r="F602" s="3058">
        <v>100000</v>
      </c>
      <c r="G602" s="3059">
        <v>100000</v>
      </c>
      <c r="H602" s="3059" t="s">
        <v>3090</v>
      </c>
      <c r="I602" s="3058" t="s">
        <v>3054</v>
      </c>
    </row>
    <row r="603" spans="1:9">
      <c r="A603" s="3059">
        <v>813</v>
      </c>
      <c r="B603" s="3062" t="s">
        <v>3710</v>
      </c>
      <c r="C603" s="3062"/>
      <c r="D603" s="3062" t="s">
        <v>3906</v>
      </c>
      <c r="E603" s="3058">
        <v>12.72</v>
      </c>
      <c r="F603" s="3058">
        <v>100000</v>
      </c>
      <c r="G603" s="3059">
        <v>100000</v>
      </c>
      <c r="H603" s="3059" t="s">
        <v>3090</v>
      </c>
      <c r="I603" s="3058" t="s">
        <v>3054</v>
      </c>
    </row>
    <row r="604" spans="1:9">
      <c r="A604" s="3059">
        <v>814</v>
      </c>
      <c r="B604" s="3062" t="s">
        <v>3710</v>
      </c>
      <c r="C604" s="3062"/>
      <c r="D604" s="3062" t="s">
        <v>3905</v>
      </c>
      <c r="E604" s="3058">
        <v>12.72</v>
      </c>
      <c r="F604" s="3058">
        <v>100000</v>
      </c>
      <c r="G604" s="3059">
        <v>100000</v>
      </c>
      <c r="H604" s="3059" t="s">
        <v>3090</v>
      </c>
      <c r="I604" s="3058" t="s">
        <v>3054</v>
      </c>
    </row>
    <row r="605" spans="1:9">
      <c r="A605" s="3059">
        <v>815</v>
      </c>
      <c r="B605" s="3062" t="s">
        <v>3710</v>
      </c>
      <c r="C605" s="3062"/>
      <c r="D605" s="3062" t="s">
        <v>3904</v>
      </c>
      <c r="E605" s="3058">
        <v>12.72</v>
      </c>
      <c r="F605" s="3058">
        <v>100000</v>
      </c>
      <c r="G605" s="3059">
        <v>100000</v>
      </c>
      <c r="H605" s="3059" t="s">
        <v>3090</v>
      </c>
      <c r="I605" s="3058" t="s">
        <v>3054</v>
      </c>
    </row>
    <row r="606" spans="1:9">
      <c r="A606" s="3059">
        <v>816</v>
      </c>
      <c r="B606" s="3062" t="s">
        <v>3710</v>
      </c>
      <c r="C606" s="3062"/>
      <c r="D606" s="3062" t="s">
        <v>3903</v>
      </c>
      <c r="E606" s="3058">
        <v>12.72</v>
      </c>
      <c r="F606" s="3058">
        <v>100000</v>
      </c>
      <c r="G606" s="3059">
        <v>100000</v>
      </c>
      <c r="H606" s="3059" t="s">
        <v>3090</v>
      </c>
      <c r="I606" s="3058" t="s">
        <v>3054</v>
      </c>
    </row>
    <row r="607" spans="1:9">
      <c r="A607" s="3059">
        <v>817</v>
      </c>
      <c r="B607" s="3062" t="s">
        <v>3710</v>
      </c>
      <c r="C607" s="3062"/>
      <c r="D607" s="3062" t="s">
        <v>3902</v>
      </c>
      <c r="E607" s="3058">
        <v>12.72</v>
      </c>
      <c r="F607" s="3058">
        <v>100000</v>
      </c>
      <c r="G607" s="3059">
        <v>100000</v>
      </c>
      <c r="H607" s="3059" t="s">
        <v>3090</v>
      </c>
      <c r="I607" s="3058" t="s">
        <v>3054</v>
      </c>
    </row>
    <row r="608" spans="1:9">
      <c r="A608" s="3059">
        <v>818</v>
      </c>
      <c r="B608" s="3062" t="s">
        <v>3710</v>
      </c>
      <c r="C608" s="3062"/>
      <c r="D608" s="3062" t="s">
        <v>3901</v>
      </c>
      <c r="E608" s="3058">
        <v>12.72</v>
      </c>
      <c r="F608" s="3058">
        <v>100000</v>
      </c>
      <c r="G608" s="3059">
        <v>100000</v>
      </c>
      <c r="H608" s="3059" t="s">
        <v>3090</v>
      </c>
      <c r="I608" s="3058" t="s">
        <v>3054</v>
      </c>
    </row>
    <row r="609" spans="1:9">
      <c r="A609" s="3059">
        <v>819</v>
      </c>
      <c r="B609" s="3062" t="s">
        <v>3710</v>
      </c>
      <c r="C609" s="3062"/>
      <c r="D609" s="3062" t="s">
        <v>3900</v>
      </c>
      <c r="E609" s="3058">
        <v>12.72</v>
      </c>
      <c r="F609" s="3058">
        <v>100000</v>
      </c>
      <c r="G609" s="3059">
        <v>100000</v>
      </c>
      <c r="H609" s="3059" t="s">
        <v>3090</v>
      </c>
      <c r="I609" s="3058" t="s">
        <v>3054</v>
      </c>
    </row>
    <row r="610" spans="1:9">
      <c r="A610" s="3059">
        <v>820</v>
      </c>
      <c r="B610" s="3062" t="s">
        <v>3710</v>
      </c>
      <c r="C610" s="3062"/>
      <c r="D610" s="3062" t="s">
        <v>3899</v>
      </c>
      <c r="E610" s="3058">
        <v>12.72</v>
      </c>
      <c r="F610" s="3058">
        <v>100000</v>
      </c>
      <c r="G610" s="3059">
        <v>100000</v>
      </c>
      <c r="H610" s="3059" t="s">
        <v>3090</v>
      </c>
      <c r="I610" s="3058" t="s">
        <v>3054</v>
      </c>
    </row>
    <row r="611" spans="1:9">
      <c r="A611" s="3059">
        <v>821</v>
      </c>
      <c r="B611" s="3062" t="s">
        <v>3710</v>
      </c>
      <c r="C611" s="3062"/>
      <c r="D611" s="3062" t="s">
        <v>3898</v>
      </c>
      <c r="E611" s="3058">
        <v>12.72</v>
      </c>
      <c r="F611" s="3058">
        <v>100000</v>
      </c>
      <c r="G611" s="3059">
        <v>100000</v>
      </c>
      <c r="H611" s="3059" t="s">
        <v>3090</v>
      </c>
      <c r="I611" s="3058" t="s">
        <v>3054</v>
      </c>
    </row>
    <row r="612" spans="1:9">
      <c r="A612" s="3059">
        <v>822</v>
      </c>
      <c r="B612" s="3062" t="s">
        <v>3710</v>
      </c>
      <c r="C612" s="3062"/>
      <c r="D612" s="3062" t="s">
        <v>3897</v>
      </c>
      <c r="E612" s="3058">
        <v>12.72</v>
      </c>
      <c r="F612" s="3058">
        <v>100000</v>
      </c>
      <c r="G612" s="3059">
        <v>100000</v>
      </c>
      <c r="H612" s="3059" t="s">
        <v>3090</v>
      </c>
      <c r="I612" s="3058" t="s">
        <v>3054</v>
      </c>
    </row>
    <row r="613" spans="1:9">
      <c r="A613" s="3059">
        <v>823</v>
      </c>
      <c r="B613" s="3062" t="s">
        <v>3710</v>
      </c>
      <c r="C613" s="3062"/>
      <c r="D613" s="3062" t="s">
        <v>3896</v>
      </c>
      <c r="E613" s="3058">
        <v>12.72</v>
      </c>
      <c r="F613" s="3058">
        <v>100000</v>
      </c>
      <c r="G613" s="3059">
        <v>100000</v>
      </c>
      <c r="H613" s="3059" t="s">
        <v>3090</v>
      </c>
      <c r="I613" s="3058" t="s">
        <v>3054</v>
      </c>
    </row>
    <row r="614" spans="1:9">
      <c r="A614" s="3059">
        <v>824</v>
      </c>
      <c r="B614" s="3062" t="s">
        <v>3710</v>
      </c>
      <c r="C614" s="3062"/>
      <c r="D614" s="3062" t="s">
        <v>3895</v>
      </c>
      <c r="E614" s="3058">
        <v>12.72</v>
      </c>
      <c r="F614" s="3058">
        <v>100000</v>
      </c>
      <c r="G614" s="3059">
        <v>100000</v>
      </c>
      <c r="H614" s="3059" t="s">
        <v>3090</v>
      </c>
      <c r="I614" s="3058" t="s">
        <v>3054</v>
      </c>
    </row>
    <row r="615" spans="1:9">
      <c r="A615" s="3059">
        <v>825</v>
      </c>
      <c r="B615" s="3062" t="s">
        <v>3710</v>
      </c>
      <c r="C615" s="3062"/>
      <c r="D615" s="3062" t="s">
        <v>3894</v>
      </c>
      <c r="E615" s="3058">
        <v>12.72</v>
      </c>
      <c r="F615" s="3058">
        <v>100000</v>
      </c>
      <c r="G615" s="3059">
        <v>100000</v>
      </c>
      <c r="H615" s="3059" t="s">
        <v>3090</v>
      </c>
      <c r="I615" s="3058" t="s">
        <v>3054</v>
      </c>
    </row>
    <row r="616" spans="1:9">
      <c r="A616" s="3059">
        <v>826</v>
      </c>
      <c r="B616" s="3062" t="s">
        <v>3710</v>
      </c>
      <c r="C616" s="3062"/>
      <c r="D616" s="3062" t="s">
        <v>3893</v>
      </c>
      <c r="E616" s="3058">
        <v>12.72</v>
      </c>
      <c r="F616" s="3058">
        <v>100000</v>
      </c>
      <c r="G616" s="3059">
        <v>100000</v>
      </c>
      <c r="H616" s="3059" t="s">
        <v>3090</v>
      </c>
      <c r="I616" s="3058" t="s">
        <v>3054</v>
      </c>
    </row>
    <row r="617" spans="1:9">
      <c r="A617" s="3059">
        <v>827</v>
      </c>
      <c r="B617" s="3062" t="s">
        <v>3710</v>
      </c>
      <c r="C617" s="3062"/>
      <c r="D617" s="3062" t="s">
        <v>3892</v>
      </c>
      <c r="E617" s="3058">
        <v>12.72</v>
      </c>
      <c r="F617" s="3058">
        <v>100000</v>
      </c>
      <c r="G617" s="3059">
        <v>100000</v>
      </c>
      <c r="H617" s="3059" t="s">
        <v>3090</v>
      </c>
      <c r="I617" s="3058" t="s">
        <v>3054</v>
      </c>
    </row>
    <row r="618" spans="1:9">
      <c r="A618" s="3059">
        <v>828</v>
      </c>
      <c r="B618" s="3062" t="s">
        <v>3710</v>
      </c>
      <c r="C618" s="3062"/>
      <c r="D618" s="3062" t="s">
        <v>3891</v>
      </c>
      <c r="E618" s="3058">
        <v>12.72</v>
      </c>
      <c r="F618" s="3058">
        <v>100000</v>
      </c>
      <c r="G618" s="3059">
        <v>100000</v>
      </c>
      <c r="H618" s="3059" t="s">
        <v>3090</v>
      </c>
      <c r="I618" s="3058" t="s">
        <v>3054</v>
      </c>
    </row>
    <row r="619" spans="1:9">
      <c r="A619" s="3059">
        <v>829</v>
      </c>
      <c r="B619" s="3062" t="s">
        <v>3710</v>
      </c>
      <c r="C619" s="3062"/>
      <c r="D619" s="3062" t="s">
        <v>3890</v>
      </c>
      <c r="E619" s="3058">
        <v>12.72</v>
      </c>
      <c r="F619" s="3058">
        <v>100000</v>
      </c>
      <c r="G619" s="3059">
        <v>100000</v>
      </c>
      <c r="H619" s="3059" t="s">
        <v>3090</v>
      </c>
      <c r="I619" s="3058" t="s">
        <v>3054</v>
      </c>
    </row>
    <row r="620" spans="1:9">
      <c r="A620" s="3059">
        <v>830</v>
      </c>
      <c r="B620" s="3062" t="s">
        <v>3710</v>
      </c>
      <c r="C620" s="3062"/>
      <c r="D620" s="3062" t="s">
        <v>3889</v>
      </c>
      <c r="E620" s="3058">
        <v>12.72</v>
      </c>
      <c r="F620" s="3058">
        <v>100000</v>
      </c>
      <c r="G620" s="3059">
        <v>100000</v>
      </c>
      <c r="H620" s="3059" t="s">
        <v>3090</v>
      </c>
      <c r="I620" s="3058" t="s">
        <v>3054</v>
      </c>
    </row>
    <row r="621" spans="1:9">
      <c r="A621" s="3059">
        <v>831</v>
      </c>
      <c r="B621" s="3062" t="s">
        <v>3710</v>
      </c>
      <c r="C621" s="3062"/>
      <c r="D621" s="3062" t="s">
        <v>3888</v>
      </c>
      <c r="E621" s="3058">
        <v>12.72</v>
      </c>
      <c r="F621" s="3058">
        <v>100000</v>
      </c>
      <c r="G621" s="3059">
        <v>100000</v>
      </c>
      <c r="H621" s="3059" t="s">
        <v>3090</v>
      </c>
      <c r="I621" s="3058" t="s">
        <v>3054</v>
      </c>
    </row>
    <row r="622" spans="1:9">
      <c r="A622" s="3059">
        <v>832</v>
      </c>
      <c r="B622" s="3062" t="s">
        <v>3710</v>
      </c>
      <c r="C622" s="3062"/>
      <c r="D622" s="3062" t="s">
        <v>3887</v>
      </c>
      <c r="E622" s="3058">
        <v>12.72</v>
      </c>
      <c r="F622" s="3058">
        <v>100000</v>
      </c>
      <c r="G622" s="3059">
        <v>100000</v>
      </c>
      <c r="H622" s="3059" t="s">
        <v>3090</v>
      </c>
      <c r="I622" s="3058" t="s">
        <v>3054</v>
      </c>
    </row>
    <row r="623" spans="1:9">
      <c r="A623" s="3059">
        <v>833</v>
      </c>
      <c r="B623" s="3062" t="s">
        <v>3710</v>
      </c>
      <c r="C623" s="3062"/>
      <c r="D623" s="3062" t="s">
        <v>3886</v>
      </c>
      <c r="E623" s="3058">
        <v>12.72</v>
      </c>
      <c r="F623" s="3058">
        <v>100000</v>
      </c>
      <c r="G623" s="3059">
        <v>100000</v>
      </c>
      <c r="H623" s="3059" t="s">
        <v>3090</v>
      </c>
      <c r="I623" s="3058" t="s">
        <v>3054</v>
      </c>
    </row>
    <row r="624" spans="1:9">
      <c r="A624" s="3059">
        <v>834</v>
      </c>
      <c r="B624" s="3062" t="s">
        <v>3710</v>
      </c>
      <c r="C624" s="3062"/>
      <c r="D624" s="3062" t="s">
        <v>3885</v>
      </c>
      <c r="E624" s="3058">
        <v>12.72</v>
      </c>
      <c r="F624" s="3058">
        <v>100000</v>
      </c>
      <c r="G624" s="3059">
        <v>100000</v>
      </c>
      <c r="H624" s="3059" t="s">
        <v>3090</v>
      </c>
      <c r="I624" s="3058" t="s">
        <v>3054</v>
      </c>
    </row>
    <row r="625" spans="1:9">
      <c r="A625" s="3059">
        <v>835</v>
      </c>
      <c r="B625" s="3062" t="s">
        <v>3710</v>
      </c>
      <c r="C625" s="3062"/>
      <c r="D625" s="3062" t="s">
        <v>3884</v>
      </c>
      <c r="E625" s="3058">
        <v>12.72</v>
      </c>
      <c r="F625" s="3058">
        <v>100000</v>
      </c>
      <c r="G625" s="3059">
        <v>100000</v>
      </c>
      <c r="H625" s="3059" t="s">
        <v>3090</v>
      </c>
      <c r="I625" s="3058" t="s">
        <v>3054</v>
      </c>
    </row>
    <row r="626" spans="1:9">
      <c r="A626" s="3059">
        <v>836</v>
      </c>
      <c r="B626" s="3062" t="s">
        <v>3710</v>
      </c>
      <c r="C626" s="3062"/>
      <c r="D626" s="3062" t="s">
        <v>3883</v>
      </c>
      <c r="E626" s="3058">
        <v>12.72</v>
      </c>
      <c r="F626" s="3058">
        <v>100000</v>
      </c>
      <c r="G626" s="3059">
        <v>100000</v>
      </c>
      <c r="H626" s="3059" t="s">
        <v>3090</v>
      </c>
      <c r="I626" s="3058" t="s">
        <v>3054</v>
      </c>
    </row>
    <row r="627" spans="1:9">
      <c r="A627" s="3059">
        <v>837</v>
      </c>
      <c r="B627" s="3062" t="s">
        <v>3710</v>
      </c>
      <c r="C627" s="3062"/>
      <c r="D627" s="3062" t="s">
        <v>3882</v>
      </c>
      <c r="E627" s="3058">
        <v>12.72</v>
      </c>
      <c r="F627" s="3058">
        <v>100000</v>
      </c>
      <c r="G627" s="3059">
        <v>100000</v>
      </c>
      <c r="H627" s="3059" t="s">
        <v>3090</v>
      </c>
      <c r="I627" s="3058" t="s">
        <v>3054</v>
      </c>
    </row>
    <row r="628" spans="1:9">
      <c r="A628" s="3059">
        <v>838</v>
      </c>
      <c r="B628" s="3062" t="s">
        <v>3710</v>
      </c>
      <c r="C628" s="3062"/>
      <c r="D628" s="3062" t="s">
        <v>3881</v>
      </c>
      <c r="E628" s="3058">
        <v>12.72</v>
      </c>
      <c r="F628" s="3058">
        <v>100000</v>
      </c>
      <c r="G628" s="3059">
        <v>100000</v>
      </c>
      <c r="H628" s="3059" t="s">
        <v>3090</v>
      </c>
      <c r="I628" s="3058" t="s">
        <v>3054</v>
      </c>
    </row>
    <row r="629" spans="1:9">
      <c r="A629" s="3059">
        <v>839</v>
      </c>
      <c r="B629" s="3062" t="s">
        <v>3710</v>
      </c>
      <c r="C629" s="3062"/>
      <c r="D629" s="3062" t="s">
        <v>3880</v>
      </c>
      <c r="E629" s="3058">
        <v>12.72</v>
      </c>
      <c r="F629" s="3058">
        <v>100000</v>
      </c>
      <c r="G629" s="3059">
        <v>100000</v>
      </c>
      <c r="H629" s="3059" t="s">
        <v>3090</v>
      </c>
      <c r="I629" s="3058" t="s">
        <v>3054</v>
      </c>
    </row>
    <row r="630" spans="1:9">
      <c r="A630" s="3059">
        <v>840</v>
      </c>
      <c r="B630" s="3062" t="s">
        <v>3710</v>
      </c>
      <c r="C630" s="3062"/>
      <c r="D630" s="3062" t="s">
        <v>3879</v>
      </c>
      <c r="E630" s="3058">
        <v>12.72</v>
      </c>
      <c r="F630" s="3058">
        <v>100000</v>
      </c>
      <c r="G630" s="3059">
        <v>100000</v>
      </c>
      <c r="H630" s="3059" t="s">
        <v>3090</v>
      </c>
      <c r="I630" s="3058" t="s">
        <v>3054</v>
      </c>
    </row>
    <row r="631" spans="1:9">
      <c r="A631" s="3059">
        <v>841</v>
      </c>
      <c r="B631" s="3062" t="s">
        <v>3710</v>
      </c>
      <c r="C631" s="3062"/>
      <c r="D631" s="3062" t="s">
        <v>3878</v>
      </c>
      <c r="E631" s="3058">
        <v>12.72</v>
      </c>
      <c r="F631" s="3058">
        <v>100000</v>
      </c>
      <c r="G631" s="3059">
        <v>100000</v>
      </c>
      <c r="H631" s="3059" t="s">
        <v>3090</v>
      </c>
      <c r="I631" s="3058" t="s">
        <v>3054</v>
      </c>
    </row>
    <row r="632" spans="1:9">
      <c r="A632" s="3059">
        <v>842</v>
      </c>
      <c r="B632" s="3062" t="s">
        <v>3710</v>
      </c>
      <c r="C632" s="3062"/>
      <c r="D632" s="3062" t="s">
        <v>3877</v>
      </c>
      <c r="E632" s="3058">
        <v>12.72</v>
      </c>
      <c r="F632" s="3058">
        <v>100000</v>
      </c>
      <c r="G632" s="3059">
        <v>100000</v>
      </c>
      <c r="H632" s="3059" t="s">
        <v>3090</v>
      </c>
      <c r="I632" s="3058" t="s">
        <v>3054</v>
      </c>
    </row>
    <row r="633" spans="1:9">
      <c r="A633" s="3059">
        <v>843</v>
      </c>
      <c r="B633" s="3062" t="s">
        <v>3710</v>
      </c>
      <c r="C633" s="3062"/>
      <c r="D633" s="3062" t="s">
        <v>3876</v>
      </c>
      <c r="E633" s="3058">
        <v>13.78</v>
      </c>
      <c r="F633" s="3058">
        <v>100000</v>
      </c>
      <c r="G633" s="3059">
        <v>100000</v>
      </c>
      <c r="H633" s="3059" t="s">
        <v>3090</v>
      </c>
      <c r="I633" s="3058" t="s">
        <v>3054</v>
      </c>
    </row>
    <row r="634" spans="1:9">
      <c r="A634" s="3059">
        <v>844</v>
      </c>
      <c r="B634" s="3062" t="s">
        <v>3710</v>
      </c>
      <c r="C634" s="3062"/>
      <c r="D634" s="3062" t="s">
        <v>3875</v>
      </c>
      <c r="E634" s="3058">
        <v>13.78</v>
      </c>
      <c r="F634" s="3058">
        <v>100000</v>
      </c>
      <c r="G634" s="3059">
        <v>100000</v>
      </c>
      <c r="H634" s="3059" t="s">
        <v>3090</v>
      </c>
      <c r="I634" s="3058" t="s">
        <v>3054</v>
      </c>
    </row>
    <row r="635" spans="1:9">
      <c r="A635" s="3059">
        <v>845</v>
      </c>
      <c r="B635" s="3062" t="s">
        <v>3710</v>
      </c>
      <c r="C635" s="3062"/>
      <c r="D635" s="3062" t="s">
        <v>3874</v>
      </c>
      <c r="E635" s="3058">
        <v>13.78</v>
      </c>
      <c r="F635" s="3058">
        <v>100000</v>
      </c>
      <c r="G635" s="3059">
        <v>100000</v>
      </c>
      <c r="H635" s="3059" t="s">
        <v>3090</v>
      </c>
      <c r="I635" s="3058" t="s">
        <v>3054</v>
      </c>
    </row>
    <row r="636" spans="1:9">
      <c r="A636" s="3059">
        <v>846</v>
      </c>
      <c r="B636" s="3062" t="s">
        <v>3710</v>
      </c>
      <c r="C636" s="3062"/>
      <c r="D636" s="3062" t="s">
        <v>3873</v>
      </c>
      <c r="E636" s="3058">
        <v>12.72</v>
      </c>
      <c r="F636" s="3058">
        <v>100000</v>
      </c>
      <c r="G636" s="3059">
        <v>100000</v>
      </c>
      <c r="H636" s="3059" t="s">
        <v>3090</v>
      </c>
      <c r="I636" s="3058" t="s">
        <v>3054</v>
      </c>
    </row>
    <row r="637" spans="1:9">
      <c r="A637" s="3059">
        <v>847</v>
      </c>
      <c r="B637" s="3062" t="s">
        <v>3710</v>
      </c>
      <c r="C637" s="3062"/>
      <c r="D637" s="3062" t="s">
        <v>3872</v>
      </c>
      <c r="E637" s="3058">
        <v>13.78</v>
      </c>
      <c r="F637" s="3058">
        <v>100000</v>
      </c>
      <c r="G637" s="3059">
        <v>100000</v>
      </c>
      <c r="H637" s="3059" t="s">
        <v>3090</v>
      </c>
      <c r="I637" s="3058" t="s">
        <v>3054</v>
      </c>
    </row>
    <row r="638" spans="1:9">
      <c r="A638" s="3059">
        <v>848</v>
      </c>
      <c r="B638" s="3062" t="s">
        <v>3710</v>
      </c>
      <c r="C638" s="3062"/>
      <c r="D638" s="3062" t="s">
        <v>3871</v>
      </c>
      <c r="E638" s="3058">
        <v>12.72</v>
      </c>
      <c r="F638" s="3058">
        <v>100000</v>
      </c>
      <c r="G638" s="3059">
        <v>100000</v>
      </c>
      <c r="H638" s="3059" t="s">
        <v>3090</v>
      </c>
      <c r="I638" s="3058" t="s">
        <v>3054</v>
      </c>
    </row>
    <row r="639" spans="1:9">
      <c r="A639" s="3059">
        <v>849</v>
      </c>
      <c r="B639" s="3062" t="s">
        <v>3710</v>
      </c>
      <c r="C639" s="3062"/>
      <c r="D639" s="3062" t="s">
        <v>3870</v>
      </c>
      <c r="E639" s="3058">
        <v>12.72</v>
      </c>
      <c r="F639" s="3058">
        <v>100000</v>
      </c>
      <c r="G639" s="3059">
        <v>100000</v>
      </c>
      <c r="H639" s="3059" t="s">
        <v>3090</v>
      </c>
      <c r="I639" s="3058" t="s">
        <v>3054</v>
      </c>
    </row>
    <row r="640" spans="1:9">
      <c r="A640" s="3059">
        <v>850</v>
      </c>
      <c r="B640" s="3062" t="s">
        <v>3710</v>
      </c>
      <c r="C640" s="3062"/>
      <c r="D640" s="3062" t="s">
        <v>3869</v>
      </c>
      <c r="E640" s="3058">
        <v>9.4600000000000009</v>
      </c>
      <c r="F640" s="3058">
        <v>100000</v>
      </c>
      <c r="G640" s="3059">
        <v>100000</v>
      </c>
      <c r="H640" s="3059" t="s">
        <v>3090</v>
      </c>
      <c r="I640" s="3058" t="s">
        <v>3054</v>
      </c>
    </row>
    <row r="641" spans="1:9">
      <c r="A641" s="3059">
        <v>851</v>
      </c>
      <c r="B641" s="3062" t="s">
        <v>3710</v>
      </c>
      <c r="C641" s="3062"/>
      <c r="D641" s="3062" t="s">
        <v>3868</v>
      </c>
      <c r="E641" s="3058">
        <v>12.72</v>
      </c>
      <c r="F641" s="3058">
        <v>100000</v>
      </c>
      <c r="G641" s="3059">
        <v>100000</v>
      </c>
      <c r="H641" s="3059" t="s">
        <v>3090</v>
      </c>
      <c r="I641" s="3058" t="s">
        <v>3054</v>
      </c>
    </row>
    <row r="642" spans="1:9">
      <c r="A642" s="3059">
        <v>852</v>
      </c>
      <c r="B642" s="3062" t="s">
        <v>3710</v>
      </c>
      <c r="C642" s="3062"/>
      <c r="D642" s="3062" t="s">
        <v>3867</v>
      </c>
      <c r="E642" s="3058">
        <v>12.72</v>
      </c>
      <c r="F642" s="3058">
        <v>100000</v>
      </c>
      <c r="G642" s="3059">
        <v>100000</v>
      </c>
      <c r="H642" s="3059" t="s">
        <v>3090</v>
      </c>
      <c r="I642" s="3058" t="s">
        <v>3054</v>
      </c>
    </row>
    <row r="643" spans="1:9">
      <c r="A643" s="3059">
        <v>853</v>
      </c>
      <c r="B643" s="3062" t="s">
        <v>3710</v>
      </c>
      <c r="C643" s="3062"/>
      <c r="D643" s="3062" t="s">
        <v>3866</v>
      </c>
      <c r="E643" s="3058">
        <v>13.78</v>
      </c>
      <c r="F643" s="3058">
        <v>100000</v>
      </c>
      <c r="G643" s="3059">
        <v>100000</v>
      </c>
      <c r="H643" s="3059" t="s">
        <v>3090</v>
      </c>
      <c r="I643" s="3058" t="s">
        <v>3054</v>
      </c>
    </row>
    <row r="644" spans="1:9">
      <c r="A644" s="3059">
        <v>854</v>
      </c>
      <c r="B644" s="3062" t="s">
        <v>3710</v>
      </c>
      <c r="C644" s="3062"/>
      <c r="D644" s="3062" t="s">
        <v>3865</v>
      </c>
      <c r="E644" s="3058">
        <v>13.78</v>
      </c>
      <c r="F644" s="3058">
        <v>100000</v>
      </c>
      <c r="G644" s="3059">
        <v>100000</v>
      </c>
      <c r="H644" s="3059" t="s">
        <v>3090</v>
      </c>
      <c r="I644" s="3058" t="s">
        <v>3054</v>
      </c>
    </row>
    <row r="645" spans="1:9">
      <c r="A645" s="3059">
        <v>855</v>
      </c>
      <c r="B645" s="3062" t="s">
        <v>3710</v>
      </c>
      <c r="C645" s="3062"/>
      <c r="D645" s="3062" t="s">
        <v>3864</v>
      </c>
      <c r="E645" s="3058">
        <v>12.72</v>
      </c>
      <c r="F645" s="3058">
        <v>100000</v>
      </c>
      <c r="G645" s="3059">
        <v>100000</v>
      </c>
      <c r="H645" s="3059" t="s">
        <v>3090</v>
      </c>
      <c r="I645" s="3058" t="s">
        <v>3054</v>
      </c>
    </row>
    <row r="646" spans="1:9">
      <c r="A646" s="3059">
        <v>856</v>
      </c>
      <c r="B646" s="3062" t="s">
        <v>3710</v>
      </c>
      <c r="C646" s="3062"/>
      <c r="D646" s="3062" t="s">
        <v>3863</v>
      </c>
      <c r="E646" s="3058">
        <v>12.72</v>
      </c>
      <c r="F646" s="3058">
        <v>100000</v>
      </c>
      <c r="G646" s="3059">
        <v>100000</v>
      </c>
      <c r="H646" s="3059" t="s">
        <v>3090</v>
      </c>
      <c r="I646" s="3058" t="s">
        <v>3054</v>
      </c>
    </row>
    <row r="647" spans="1:9">
      <c r="A647" s="3059">
        <v>857</v>
      </c>
      <c r="B647" s="3062" t="s">
        <v>3710</v>
      </c>
      <c r="C647" s="3062"/>
      <c r="D647" s="3062" t="s">
        <v>3862</v>
      </c>
      <c r="E647" s="3058">
        <v>12.72</v>
      </c>
      <c r="F647" s="3058">
        <v>100000</v>
      </c>
      <c r="G647" s="3059">
        <v>100000</v>
      </c>
      <c r="H647" s="3059" t="s">
        <v>3090</v>
      </c>
      <c r="I647" s="3058" t="s">
        <v>3054</v>
      </c>
    </row>
    <row r="648" spans="1:9">
      <c r="A648" s="3059">
        <v>858</v>
      </c>
      <c r="B648" s="3062" t="s">
        <v>3710</v>
      </c>
      <c r="C648" s="3062"/>
      <c r="D648" s="3062" t="s">
        <v>3861</v>
      </c>
      <c r="E648" s="3058">
        <v>12.72</v>
      </c>
      <c r="F648" s="3058">
        <v>100000</v>
      </c>
      <c r="G648" s="3059">
        <v>100000</v>
      </c>
      <c r="H648" s="3059" t="s">
        <v>3090</v>
      </c>
      <c r="I648" s="3058" t="s">
        <v>3054</v>
      </c>
    </row>
    <row r="649" spans="1:9">
      <c r="A649" s="3059">
        <v>859</v>
      </c>
      <c r="B649" s="3062" t="s">
        <v>3710</v>
      </c>
      <c r="C649" s="3062"/>
      <c r="D649" s="3062" t="s">
        <v>3860</v>
      </c>
      <c r="E649" s="3058">
        <v>12.72</v>
      </c>
      <c r="F649" s="3058">
        <v>100000</v>
      </c>
      <c r="G649" s="3059">
        <v>100000</v>
      </c>
      <c r="H649" s="3059" t="s">
        <v>3090</v>
      </c>
      <c r="I649" s="3058" t="s">
        <v>3054</v>
      </c>
    </row>
    <row r="650" spans="1:9">
      <c r="A650" s="3059">
        <v>860</v>
      </c>
      <c r="B650" s="3062" t="s">
        <v>3710</v>
      </c>
      <c r="C650" s="3062"/>
      <c r="D650" s="3062" t="s">
        <v>3859</v>
      </c>
      <c r="E650" s="3058">
        <v>12.72</v>
      </c>
      <c r="F650" s="3058">
        <v>100000</v>
      </c>
      <c r="G650" s="3059">
        <v>100000</v>
      </c>
      <c r="H650" s="3059" t="s">
        <v>3090</v>
      </c>
      <c r="I650" s="3058" t="s">
        <v>3054</v>
      </c>
    </row>
    <row r="651" spans="1:9">
      <c r="A651" s="3059">
        <v>861</v>
      </c>
      <c r="B651" s="3062" t="s">
        <v>3710</v>
      </c>
      <c r="C651" s="3062"/>
      <c r="D651" s="3062" t="s">
        <v>3858</v>
      </c>
      <c r="E651" s="3058">
        <v>12.72</v>
      </c>
      <c r="F651" s="3058">
        <v>100000</v>
      </c>
      <c r="G651" s="3059">
        <v>100000</v>
      </c>
      <c r="H651" s="3059" t="s">
        <v>3090</v>
      </c>
      <c r="I651" s="3058" t="s">
        <v>3054</v>
      </c>
    </row>
    <row r="652" spans="1:9">
      <c r="A652" s="3059">
        <v>862</v>
      </c>
      <c r="B652" s="3062" t="s">
        <v>3710</v>
      </c>
      <c r="C652" s="3062"/>
      <c r="D652" s="3062" t="s">
        <v>3857</v>
      </c>
      <c r="E652" s="3058">
        <v>12.72</v>
      </c>
      <c r="F652" s="3058">
        <v>100000</v>
      </c>
      <c r="G652" s="3059">
        <v>100000</v>
      </c>
      <c r="H652" s="3059" t="s">
        <v>3090</v>
      </c>
      <c r="I652" s="3058" t="s">
        <v>3054</v>
      </c>
    </row>
    <row r="653" spans="1:9">
      <c r="A653" s="3059">
        <v>863</v>
      </c>
      <c r="B653" s="3062" t="s">
        <v>3710</v>
      </c>
      <c r="C653" s="3062"/>
      <c r="D653" s="3062" t="s">
        <v>3856</v>
      </c>
      <c r="E653" s="3058">
        <v>13.78</v>
      </c>
      <c r="F653" s="3058">
        <v>100000</v>
      </c>
      <c r="G653" s="3059">
        <v>100000</v>
      </c>
      <c r="H653" s="3059" t="s">
        <v>3090</v>
      </c>
      <c r="I653" s="3058" t="s">
        <v>3054</v>
      </c>
    </row>
    <row r="654" spans="1:9">
      <c r="A654" s="3059">
        <v>864</v>
      </c>
      <c r="B654" s="3062" t="s">
        <v>3710</v>
      </c>
      <c r="C654" s="3062"/>
      <c r="D654" s="3062" t="s">
        <v>3855</v>
      </c>
      <c r="E654" s="3058">
        <v>12.72</v>
      </c>
      <c r="F654" s="3058">
        <v>100000</v>
      </c>
      <c r="G654" s="3059">
        <v>100000</v>
      </c>
      <c r="H654" s="3059" t="s">
        <v>3090</v>
      </c>
      <c r="I654" s="3058" t="s">
        <v>3054</v>
      </c>
    </row>
    <row r="655" spans="1:9">
      <c r="A655" s="3059">
        <v>865</v>
      </c>
      <c r="B655" s="3062" t="s">
        <v>3710</v>
      </c>
      <c r="C655" s="3062"/>
      <c r="D655" s="3062" t="s">
        <v>3854</v>
      </c>
      <c r="E655" s="3058">
        <v>12.72</v>
      </c>
      <c r="F655" s="3058">
        <v>100000</v>
      </c>
      <c r="G655" s="3059">
        <v>100000</v>
      </c>
      <c r="H655" s="3059" t="s">
        <v>3090</v>
      </c>
      <c r="I655" s="3058" t="s">
        <v>3054</v>
      </c>
    </row>
    <row r="656" spans="1:9">
      <c r="A656" s="3059">
        <v>866</v>
      </c>
      <c r="B656" s="3062" t="s">
        <v>3710</v>
      </c>
      <c r="C656" s="3062"/>
      <c r="D656" s="3062" t="s">
        <v>3853</v>
      </c>
      <c r="E656" s="3058">
        <v>12.72</v>
      </c>
      <c r="F656" s="3058">
        <v>100000</v>
      </c>
      <c r="G656" s="3059">
        <v>100000</v>
      </c>
      <c r="H656" s="3059" t="s">
        <v>3090</v>
      </c>
      <c r="I656" s="3058" t="s">
        <v>3054</v>
      </c>
    </row>
    <row r="657" spans="1:9">
      <c r="A657" s="3059">
        <v>867</v>
      </c>
      <c r="B657" s="3062" t="s">
        <v>3710</v>
      </c>
      <c r="C657" s="3062"/>
      <c r="D657" s="3062" t="s">
        <v>3852</v>
      </c>
      <c r="E657" s="3058">
        <v>13.78</v>
      </c>
      <c r="F657" s="3058">
        <v>100000</v>
      </c>
      <c r="G657" s="3059">
        <v>100000</v>
      </c>
      <c r="H657" s="3059" t="s">
        <v>3090</v>
      </c>
      <c r="I657" s="3058" t="s">
        <v>3054</v>
      </c>
    </row>
    <row r="658" spans="1:9">
      <c r="A658" s="3059">
        <v>868</v>
      </c>
      <c r="B658" s="3062" t="s">
        <v>3710</v>
      </c>
      <c r="C658" s="3062"/>
      <c r="D658" s="3062" t="s">
        <v>3851</v>
      </c>
      <c r="E658" s="3058">
        <v>13.78</v>
      </c>
      <c r="F658" s="3058">
        <v>100000</v>
      </c>
      <c r="G658" s="3059">
        <v>100000</v>
      </c>
      <c r="H658" s="3059" t="s">
        <v>3090</v>
      </c>
      <c r="I658" s="3058" t="s">
        <v>3054</v>
      </c>
    </row>
    <row r="659" spans="1:9">
      <c r="A659" s="3059">
        <v>869</v>
      </c>
      <c r="B659" s="3062" t="s">
        <v>3710</v>
      </c>
      <c r="C659" s="3062"/>
      <c r="D659" s="3062" t="s">
        <v>3850</v>
      </c>
      <c r="E659" s="3058">
        <v>12.72</v>
      </c>
      <c r="F659" s="3058">
        <v>100000</v>
      </c>
      <c r="G659" s="3059">
        <v>100000</v>
      </c>
      <c r="H659" s="3059" t="s">
        <v>3090</v>
      </c>
      <c r="I659" s="3058" t="s">
        <v>3054</v>
      </c>
    </row>
    <row r="660" spans="1:9">
      <c r="A660" s="3059">
        <v>870</v>
      </c>
      <c r="B660" s="3062" t="s">
        <v>3710</v>
      </c>
      <c r="C660" s="3062"/>
      <c r="D660" s="3062" t="s">
        <v>3849</v>
      </c>
      <c r="E660" s="3058">
        <v>12.72</v>
      </c>
      <c r="F660" s="3058">
        <v>100000</v>
      </c>
      <c r="G660" s="3059">
        <v>100000</v>
      </c>
      <c r="H660" s="3059" t="s">
        <v>3090</v>
      </c>
      <c r="I660" s="3058" t="s">
        <v>3054</v>
      </c>
    </row>
    <row r="661" spans="1:9">
      <c r="A661" s="3059">
        <v>871</v>
      </c>
      <c r="B661" s="3062" t="s">
        <v>3710</v>
      </c>
      <c r="C661" s="3062"/>
      <c r="D661" s="3062" t="s">
        <v>3848</v>
      </c>
      <c r="E661" s="3058">
        <v>12.72</v>
      </c>
      <c r="F661" s="3058">
        <v>100000</v>
      </c>
      <c r="G661" s="3059">
        <v>100000</v>
      </c>
      <c r="H661" s="3059" t="s">
        <v>3090</v>
      </c>
      <c r="I661" s="3058" t="s">
        <v>3054</v>
      </c>
    </row>
    <row r="662" spans="1:9">
      <c r="A662" s="3059">
        <v>872</v>
      </c>
      <c r="B662" s="3062" t="s">
        <v>3710</v>
      </c>
      <c r="C662" s="3062"/>
      <c r="D662" s="3062" t="s">
        <v>3847</v>
      </c>
      <c r="E662" s="3058">
        <v>12.72</v>
      </c>
      <c r="F662" s="3058">
        <v>100000</v>
      </c>
      <c r="G662" s="3059">
        <v>100000</v>
      </c>
      <c r="H662" s="3059" t="s">
        <v>3090</v>
      </c>
      <c r="I662" s="3058" t="s">
        <v>3054</v>
      </c>
    </row>
    <row r="663" spans="1:9">
      <c r="A663" s="3059">
        <v>873</v>
      </c>
      <c r="B663" s="3062" t="s">
        <v>3710</v>
      </c>
      <c r="C663" s="3062"/>
      <c r="D663" s="3062" t="s">
        <v>3846</v>
      </c>
      <c r="E663" s="3058">
        <v>12.72</v>
      </c>
      <c r="F663" s="3058">
        <v>100000</v>
      </c>
      <c r="G663" s="3059">
        <v>100000</v>
      </c>
      <c r="H663" s="3059" t="s">
        <v>3090</v>
      </c>
      <c r="I663" s="3058" t="s">
        <v>3054</v>
      </c>
    </row>
    <row r="664" spans="1:9">
      <c r="A664" s="3059">
        <v>874</v>
      </c>
      <c r="B664" s="3062" t="s">
        <v>3710</v>
      </c>
      <c r="C664" s="3062"/>
      <c r="D664" s="3062" t="s">
        <v>3845</v>
      </c>
      <c r="E664" s="3058">
        <v>13.78</v>
      </c>
      <c r="F664" s="3058">
        <v>100000</v>
      </c>
      <c r="G664" s="3059">
        <v>100000</v>
      </c>
      <c r="H664" s="3059" t="s">
        <v>3090</v>
      </c>
      <c r="I664" s="3058" t="s">
        <v>3054</v>
      </c>
    </row>
    <row r="665" spans="1:9">
      <c r="A665" s="3059">
        <v>875</v>
      </c>
      <c r="B665" s="3062" t="s">
        <v>3710</v>
      </c>
      <c r="C665" s="3062"/>
      <c r="D665" s="3062" t="s">
        <v>3844</v>
      </c>
      <c r="E665" s="3058">
        <v>12.72</v>
      </c>
      <c r="F665" s="3058">
        <v>100000</v>
      </c>
      <c r="G665" s="3059">
        <v>100000</v>
      </c>
      <c r="H665" s="3059" t="s">
        <v>3090</v>
      </c>
      <c r="I665" s="3058" t="s">
        <v>3054</v>
      </c>
    </row>
    <row r="666" spans="1:9">
      <c r="A666" s="3059">
        <v>876</v>
      </c>
      <c r="B666" s="3062" t="s">
        <v>3710</v>
      </c>
      <c r="C666" s="3062"/>
      <c r="D666" s="3062" t="s">
        <v>3843</v>
      </c>
      <c r="E666" s="3058">
        <v>12.72</v>
      </c>
      <c r="F666" s="3058">
        <v>100000</v>
      </c>
      <c r="G666" s="3059">
        <v>100000</v>
      </c>
      <c r="H666" s="3059" t="s">
        <v>3090</v>
      </c>
      <c r="I666" s="3058" t="s">
        <v>3054</v>
      </c>
    </row>
    <row r="667" spans="1:9">
      <c r="A667" s="3059">
        <v>877</v>
      </c>
      <c r="B667" s="3062" t="s">
        <v>3710</v>
      </c>
      <c r="C667" s="3062"/>
      <c r="D667" s="3062" t="s">
        <v>3842</v>
      </c>
      <c r="E667" s="3058">
        <v>12.72</v>
      </c>
      <c r="F667" s="3058">
        <v>100000</v>
      </c>
      <c r="G667" s="3059">
        <v>100000</v>
      </c>
      <c r="H667" s="3059" t="s">
        <v>3090</v>
      </c>
      <c r="I667" s="3058" t="s">
        <v>3054</v>
      </c>
    </row>
    <row r="668" spans="1:9">
      <c r="A668" s="3059">
        <v>878</v>
      </c>
      <c r="B668" s="3062" t="s">
        <v>3710</v>
      </c>
      <c r="C668" s="3062"/>
      <c r="D668" s="3062" t="s">
        <v>3841</v>
      </c>
      <c r="E668" s="3058">
        <v>12.72</v>
      </c>
      <c r="F668" s="3058">
        <v>100000</v>
      </c>
      <c r="G668" s="3059">
        <v>100000</v>
      </c>
      <c r="H668" s="3059" t="s">
        <v>3090</v>
      </c>
      <c r="I668" s="3058" t="s">
        <v>3054</v>
      </c>
    </row>
    <row r="669" spans="1:9">
      <c r="A669" s="3059">
        <v>879</v>
      </c>
      <c r="B669" s="3062" t="s">
        <v>3710</v>
      </c>
      <c r="C669" s="3062"/>
      <c r="D669" s="3062" t="s">
        <v>3840</v>
      </c>
      <c r="E669" s="3058">
        <v>12.72</v>
      </c>
      <c r="F669" s="3058">
        <v>100000</v>
      </c>
      <c r="G669" s="3059">
        <v>100000</v>
      </c>
      <c r="H669" s="3059" t="s">
        <v>3090</v>
      </c>
      <c r="I669" s="3058" t="s">
        <v>3054</v>
      </c>
    </row>
    <row r="670" spans="1:9">
      <c r="A670" s="3059">
        <v>880</v>
      </c>
      <c r="B670" s="3062" t="s">
        <v>3710</v>
      </c>
      <c r="C670" s="3062"/>
      <c r="D670" s="3062" t="s">
        <v>3839</v>
      </c>
      <c r="E670" s="3058">
        <v>12.72</v>
      </c>
      <c r="F670" s="3058">
        <v>100000</v>
      </c>
      <c r="G670" s="3059">
        <v>100000</v>
      </c>
      <c r="H670" s="3059" t="s">
        <v>3090</v>
      </c>
      <c r="I670" s="3058" t="s">
        <v>3054</v>
      </c>
    </row>
    <row r="671" spans="1:9">
      <c r="A671" s="3059">
        <v>881</v>
      </c>
      <c r="B671" s="3062" t="s">
        <v>3710</v>
      </c>
      <c r="C671" s="3062"/>
      <c r="D671" s="3062" t="s">
        <v>3838</v>
      </c>
      <c r="E671" s="3058">
        <v>13.78</v>
      </c>
      <c r="F671" s="3058">
        <v>100000</v>
      </c>
      <c r="G671" s="3059">
        <v>100000</v>
      </c>
      <c r="H671" s="3059" t="s">
        <v>3090</v>
      </c>
      <c r="I671" s="3058" t="s">
        <v>3054</v>
      </c>
    </row>
    <row r="672" spans="1:9">
      <c r="A672" s="3059">
        <v>882</v>
      </c>
      <c r="B672" s="3062" t="s">
        <v>3710</v>
      </c>
      <c r="C672" s="3062"/>
      <c r="D672" s="3062" t="s">
        <v>3837</v>
      </c>
      <c r="E672" s="3058">
        <v>13.78</v>
      </c>
      <c r="F672" s="3058">
        <v>100000</v>
      </c>
      <c r="G672" s="3059">
        <v>100000</v>
      </c>
      <c r="H672" s="3059" t="s">
        <v>3090</v>
      </c>
      <c r="I672" s="3058" t="s">
        <v>3054</v>
      </c>
    </row>
    <row r="673" spans="1:9">
      <c r="A673" s="3059">
        <v>883</v>
      </c>
      <c r="B673" s="3062" t="s">
        <v>3710</v>
      </c>
      <c r="C673" s="3062"/>
      <c r="D673" s="3062" t="s">
        <v>3836</v>
      </c>
      <c r="E673" s="3058">
        <v>12.72</v>
      </c>
      <c r="F673" s="3058">
        <v>100000</v>
      </c>
      <c r="G673" s="3059">
        <v>100000</v>
      </c>
      <c r="H673" s="3059" t="s">
        <v>3090</v>
      </c>
      <c r="I673" s="3058" t="s">
        <v>3054</v>
      </c>
    </row>
    <row r="674" spans="1:9">
      <c r="A674" s="3059">
        <v>884</v>
      </c>
      <c r="B674" s="3062" t="s">
        <v>3710</v>
      </c>
      <c r="C674" s="3062"/>
      <c r="D674" s="3062" t="s">
        <v>3835</v>
      </c>
      <c r="E674" s="3058">
        <v>12.72</v>
      </c>
      <c r="F674" s="3058">
        <v>100000</v>
      </c>
      <c r="G674" s="3059">
        <v>100000</v>
      </c>
      <c r="H674" s="3059" t="s">
        <v>3090</v>
      </c>
      <c r="I674" s="3058" t="s">
        <v>3054</v>
      </c>
    </row>
    <row r="675" spans="1:9">
      <c r="A675" s="3059">
        <v>885</v>
      </c>
      <c r="B675" s="3062" t="s">
        <v>3710</v>
      </c>
      <c r="C675" s="3062"/>
      <c r="D675" s="3062" t="s">
        <v>3834</v>
      </c>
      <c r="E675" s="3058">
        <v>12.72</v>
      </c>
      <c r="F675" s="3058">
        <v>100000</v>
      </c>
      <c r="G675" s="3059">
        <v>100000</v>
      </c>
      <c r="H675" s="3059" t="s">
        <v>3090</v>
      </c>
      <c r="I675" s="3058" t="s">
        <v>3054</v>
      </c>
    </row>
    <row r="676" spans="1:9">
      <c r="A676" s="3059">
        <v>886</v>
      </c>
      <c r="B676" s="3062" t="s">
        <v>3710</v>
      </c>
      <c r="C676" s="3062"/>
      <c r="D676" s="3062" t="s">
        <v>3833</v>
      </c>
      <c r="E676" s="3058">
        <v>12.72</v>
      </c>
      <c r="F676" s="3058">
        <v>100000</v>
      </c>
      <c r="G676" s="3059">
        <v>100000</v>
      </c>
      <c r="H676" s="3059" t="s">
        <v>3090</v>
      </c>
      <c r="I676" s="3058" t="s">
        <v>3054</v>
      </c>
    </row>
    <row r="677" spans="1:9">
      <c r="A677" s="3059">
        <v>887</v>
      </c>
      <c r="B677" s="3062" t="s">
        <v>3710</v>
      </c>
      <c r="C677" s="3062"/>
      <c r="D677" s="3062" t="s">
        <v>3832</v>
      </c>
      <c r="E677" s="3058">
        <v>12.72</v>
      </c>
      <c r="F677" s="3058">
        <v>100000</v>
      </c>
      <c r="G677" s="3059">
        <v>100000</v>
      </c>
      <c r="H677" s="3059" t="s">
        <v>3090</v>
      </c>
      <c r="I677" s="3058" t="s">
        <v>3054</v>
      </c>
    </row>
    <row r="678" spans="1:9">
      <c r="A678" s="3059">
        <v>888</v>
      </c>
      <c r="B678" s="3062" t="s">
        <v>3710</v>
      </c>
      <c r="C678" s="3062"/>
      <c r="D678" s="3062" t="s">
        <v>3831</v>
      </c>
      <c r="E678" s="3058">
        <v>12.72</v>
      </c>
      <c r="F678" s="3058">
        <v>100000</v>
      </c>
      <c r="G678" s="3059">
        <v>100000</v>
      </c>
      <c r="H678" s="3059" t="s">
        <v>3090</v>
      </c>
      <c r="I678" s="3058" t="s">
        <v>3054</v>
      </c>
    </row>
    <row r="679" spans="1:9">
      <c r="A679" s="3059">
        <v>889</v>
      </c>
      <c r="B679" s="3062" t="s">
        <v>3710</v>
      </c>
      <c r="C679" s="3062"/>
      <c r="D679" s="3062" t="s">
        <v>3830</v>
      </c>
      <c r="E679" s="3058">
        <v>12.72</v>
      </c>
      <c r="F679" s="3058">
        <v>100000</v>
      </c>
      <c r="G679" s="3059">
        <v>100000</v>
      </c>
      <c r="H679" s="3059" t="s">
        <v>3090</v>
      </c>
      <c r="I679" s="3058" t="s">
        <v>3054</v>
      </c>
    </row>
    <row r="680" spans="1:9">
      <c r="A680" s="3059">
        <v>890</v>
      </c>
      <c r="B680" s="3062" t="s">
        <v>3710</v>
      </c>
      <c r="C680" s="3062"/>
      <c r="D680" s="3062" t="s">
        <v>3829</v>
      </c>
      <c r="E680" s="3058">
        <v>12.72</v>
      </c>
      <c r="F680" s="3058">
        <v>100000</v>
      </c>
      <c r="G680" s="3059">
        <v>100000</v>
      </c>
      <c r="H680" s="3059" t="s">
        <v>3090</v>
      </c>
      <c r="I680" s="3058" t="s">
        <v>3054</v>
      </c>
    </row>
    <row r="681" spans="1:9">
      <c r="A681" s="3059">
        <v>891</v>
      </c>
      <c r="B681" s="3062" t="s">
        <v>3710</v>
      </c>
      <c r="C681" s="3062"/>
      <c r="D681" s="3062" t="s">
        <v>3828</v>
      </c>
      <c r="E681" s="3058">
        <v>13.78</v>
      </c>
      <c r="F681" s="3058">
        <v>100000</v>
      </c>
      <c r="G681" s="3059">
        <v>100000</v>
      </c>
      <c r="H681" s="3059" t="s">
        <v>3090</v>
      </c>
      <c r="I681" s="3058" t="s">
        <v>3054</v>
      </c>
    </row>
    <row r="682" spans="1:9">
      <c r="A682" s="3059">
        <v>892</v>
      </c>
      <c r="B682" s="3062" t="s">
        <v>3710</v>
      </c>
      <c r="C682" s="3062"/>
      <c r="D682" s="3062" t="s">
        <v>3827</v>
      </c>
      <c r="E682" s="3058">
        <v>12.72</v>
      </c>
      <c r="F682" s="3058">
        <v>100000</v>
      </c>
      <c r="G682" s="3059">
        <v>100000</v>
      </c>
      <c r="H682" s="3059" t="s">
        <v>3090</v>
      </c>
      <c r="I682" s="3058" t="s">
        <v>3054</v>
      </c>
    </row>
    <row r="683" spans="1:9">
      <c r="A683" s="3059">
        <v>893</v>
      </c>
      <c r="B683" s="3062" t="s">
        <v>3710</v>
      </c>
      <c r="C683" s="3062"/>
      <c r="D683" s="3062" t="s">
        <v>3826</v>
      </c>
      <c r="E683" s="3058">
        <v>12.72</v>
      </c>
      <c r="F683" s="3058">
        <v>100000</v>
      </c>
      <c r="G683" s="3059">
        <v>100000</v>
      </c>
      <c r="H683" s="3059" t="s">
        <v>3090</v>
      </c>
      <c r="I683" s="3058" t="s">
        <v>3054</v>
      </c>
    </row>
    <row r="684" spans="1:9">
      <c r="A684" s="3059">
        <v>894</v>
      </c>
      <c r="B684" s="3062" t="s">
        <v>3710</v>
      </c>
      <c r="C684" s="3062"/>
      <c r="D684" s="3062" t="s">
        <v>3825</v>
      </c>
      <c r="E684" s="3058">
        <v>12.72</v>
      </c>
      <c r="F684" s="3058">
        <v>100000</v>
      </c>
      <c r="G684" s="3059">
        <v>100000</v>
      </c>
      <c r="H684" s="3059" t="s">
        <v>3090</v>
      </c>
      <c r="I684" s="3058" t="s">
        <v>3054</v>
      </c>
    </row>
    <row r="685" spans="1:9">
      <c r="A685" s="3059">
        <v>895</v>
      </c>
      <c r="B685" s="3062" t="s">
        <v>3710</v>
      </c>
      <c r="C685" s="3062"/>
      <c r="D685" s="3062" t="s">
        <v>3824</v>
      </c>
      <c r="E685" s="3058">
        <v>13.78</v>
      </c>
      <c r="F685" s="3058">
        <v>100000</v>
      </c>
      <c r="G685" s="3059">
        <v>100000</v>
      </c>
      <c r="H685" s="3059" t="s">
        <v>3090</v>
      </c>
      <c r="I685" s="3058" t="s">
        <v>3054</v>
      </c>
    </row>
    <row r="686" spans="1:9">
      <c r="A686" s="3059">
        <v>896</v>
      </c>
      <c r="B686" s="3062" t="s">
        <v>3710</v>
      </c>
      <c r="C686" s="3062"/>
      <c r="D686" s="3062" t="s">
        <v>3823</v>
      </c>
      <c r="E686" s="3058">
        <v>13.78</v>
      </c>
      <c r="F686" s="3058">
        <v>100000</v>
      </c>
      <c r="G686" s="3059">
        <v>100000</v>
      </c>
      <c r="H686" s="3059" t="s">
        <v>3090</v>
      </c>
      <c r="I686" s="3058" t="s">
        <v>3054</v>
      </c>
    </row>
    <row r="687" spans="1:9">
      <c r="A687" s="3059">
        <v>897</v>
      </c>
      <c r="B687" s="3062" t="s">
        <v>3710</v>
      </c>
      <c r="C687" s="3062"/>
      <c r="D687" s="3062" t="s">
        <v>3822</v>
      </c>
      <c r="E687" s="3058">
        <v>12.72</v>
      </c>
      <c r="F687" s="3058">
        <v>100000</v>
      </c>
      <c r="G687" s="3059">
        <v>100000</v>
      </c>
      <c r="H687" s="3059" t="s">
        <v>3090</v>
      </c>
      <c r="I687" s="3058" t="s">
        <v>3054</v>
      </c>
    </row>
    <row r="688" spans="1:9">
      <c r="A688" s="3059">
        <v>898</v>
      </c>
      <c r="B688" s="3062" t="s">
        <v>3710</v>
      </c>
      <c r="C688" s="3062"/>
      <c r="D688" s="3062" t="s">
        <v>3821</v>
      </c>
      <c r="E688" s="3058">
        <v>12.72</v>
      </c>
      <c r="F688" s="3058">
        <v>100000</v>
      </c>
      <c r="G688" s="3059">
        <v>100000</v>
      </c>
      <c r="H688" s="3059" t="s">
        <v>3090</v>
      </c>
      <c r="I688" s="3058" t="s">
        <v>3054</v>
      </c>
    </row>
    <row r="689" spans="1:9">
      <c r="A689" s="3059">
        <v>899</v>
      </c>
      <c r="B689" s="3062" t="s">
        <v>3710</v>
      </c>
      <c r="C689" s="3062"/>
      <c r="D689" s="3062" t="s">
        <v>3820</v>
      </c>
      <c r="E689" s="3058">
        <v>12.72</v>
      </c>
      <c r="F689" s="3058">
        <v>100000</v>
      </c>
      <c r="G689" s="3059">
        <v>100000</v>
      </c>
      <c r="H689" s="3059" t="s">
        <v>3090</v>
      </c>
      <c r="I689" s="3058" t="s">
        <v>3054</v>
      </c>
    </row>
    <row r="690" spans="1:9">
      <c r="A690" s="3059">
        <v>900</v>
      </c>
      <c r="B690" s="3062" t="s">
        <v>3710</v>
      </c>
      <c r="C690" s="3062"/>
      <c r="D690" s="3062" t="s">
        <v>3819</v>
      </c>
      <c r="E690" s="3058">
        <v>12.72</v>
      </c>
      <c r="F690" s="3058">
        <v>100000</v>
      </c>
      <c r="G690" s="3059">
        <v>100000</v>
      </c>
      <c r="H690" s="3059" t="s">
        <v>3090</v>
      </c>
      <c r="I690" s="3058" t="s">
        <v>3054</v>
      </c>
    </row>
    <row r="691" spans="1:9">
      <c r="A691" s="3059">
        <v>901</v>
      </c>
      <c r="B691" s="3062" t="s">
        <v>3710</v>
      </c>
      <c r="C691" s="3062"/>
      <c r="D691" s="3062" t="s">
        <v>3818</v>
      </c>
      <c r="E691" s="3058">
        <v>12.72</v>
      </c>
      <c r="F691" s="3058">
        <v>100000</v>
      </c>
      <c r="G691" s="3059">
        <v>100000</v>
      </c>
      <c r="H691" s="3059" t="s">
        <v>3090</v>
      </c>
      <c r="I691" s="3058" t="s">
        <v>3054</v>
      </c>
    </row>
    <row r="692" spans="1:9">
      <c r="A692" s="3059">
        <v>902</v>
      </c>
      <c r="B692" s="3062" t="s">
        <v>3710</v>
      </c>
      <c r="C692" s="3062"/>
      <c r="D692" s="3062" t="s">
        <v>3817</v>
      </c>
      <c r="E692" s="3058">
        <v>13.78</v>
      </c>
      <c r="F692" s="3058">
        <v>100000</v>
      </c>
      <c r="G692" s="3059">
        <v>100000</v>
      </c>
      <c r="H692" s="3059" t="s">
        <v>3090</v>
      </c>
      <c r="I692" s="3058" t="s">
        <v>3054</v>
      </c>
    </row>
    <row r="693" spans="1:9">
      <c r="A693" s="3059">
        <v>903</v>
      </c>
      <c r="B693" s="3062" t="s">
        <v>3710</v>
      </c>
      <c r="C693" s="3062"/>
      <c r="D693" s="3062" t="s">
        <v>3816</v>
      </c>
      <c r="E693" s="3058">
        <v>12.72</v>
      </c>
      <c r="F693" s="3058">
        <v>100000</v>
      </c>
      <c r="G693" s="3059">
        <v>100000</v>
      </c>
      <c r="H693" s="3059" t="s">
        <v>3090</v>
      </c>
      <c r="I693" s="3058" t="s">
        <v>3054</v>
      </c>
    </row>
    <row r="694" spans="1:9">
      <c r="A694" s="3059">
        <v>904</v>
      </c>
      <c r="B694" s="3062" t="s">
        <v>3710</v>
      </c>
      <c r="C694" s="3062"/>
      <c r="D694" s="3062" t="s">
        <v>3815</v>
      </c>
      <c r="E694" s="3058">
        <v>12.72</v>
      </c>
      <c r="F694" s="3058">
        <v>100000</v>
      </c>
      <c r="G694" s="3059">
        <v>100000</v>
      </c>
      <c r="H694" s="3059" t="s">
        <v>3090</v>
      </c>
      <c r="I694" s="3058" t="s">
        <v>3054</v>
      </c>
    </row>
    <row r="695" spans="1:9">
      <c r="A695" s="3059">
        <v>905</v>
      </c>
      <c r="B695" s="3062" t="s">
        <v>3710</v>
      </c>
      <c r="C695" s="3062"/>
      <c r="D695" s="3062" t="s">
        <v>3814</v>
      </c>
      <c r="E695" s="3058">
        <v>12.72</v>
      </c>
      <c r="F695" s="3058">
        <v>100000</v>
      </c>
      <c r="G695" s="3059">
        <v>100000</v>
      </c>
      <c r="H695" s="3059" t="s">
        <v>3090</v>
      </c>
      <c r="I695" s="3058" t="s">
        <v>3054</v>
      </c>
    </row>
    <row r="696" spans="1:9">
      <c r="A696" s="3059">
        <v>906</v>
      </c>
      <c r="B696" s="3062" t="s">
        <v>3710</v>
      </c>
      <c r="C696" s="3062"/>
      <c r="D696" s="3062" t="s">
        <v>3813</v>
      </c>
      <c r="E696" s="3058">
        <v>12.72</v>
      </c>
      <c r="F696" s="3058">
        <v>100000</v>
      </c>
      <c r="G696" s="3059">
        <v>100000</v>
      </c>
      <c r="H696" s="3059" t="s">
        <v>3090</v>
      </c>
      <c r="I696" s="3058" t="s">
        <v>3054</v>
      </c>
    </row>
    <row r="697" spans="1:9">
      <c r="A697" s="3059">
        <v>907</v>
      </c>
      <c r="B697" s="3062" t="s">
        <v>3710</v>
      </c>
      <c r="C697" s="3062"/>
      <c r="D697" s="3062" t="s">
        <v>3812</v>
      </c>
      <c r="E697" s="3058">
        <v>12.72</v>
      </c>
      <c r="F697" s="3058">
        <v>100000</v>
      </c>
      <c r="G697" s="3059">
        <v>100000</v>
      </c>
      <c r="H697" s="3059" t="s">
        <v>3090</v>
      </c>
      <c r="I697" s="3058" t="s">
        <v>3054</v>
      </c>
    </row>
    <row r="698" spans="1:9">
      <c r="A698" s="3059">
        <v>908</v>
      </c>
      <c r="B698" s="3062" t="s">
        <v>3710</v>
      </c>
      <c r="C698" s="3062"/>
      <c r="D698" s="3062" t="s">
        <v>3811</v>
      </c>
      <c r="E698" s="3058">
        <v>12.72</v>
      </c>
      <c r="F698" s="3058">
        <v>100000</v>
      </c>
      <c r="G698" s="3059">
        <v>100000</v>
      </c>
      <c r="H698" s="3059" t="s">
        <v>3090</v>
      </c>
      <c r="I698" s="3058" t="s">
        <v>3054</v>
      </c>
    </row>
    <row r="699" spans="1:9">
      <c r="A699" s="3059">
        <v>909</v>
      </c>
      <c r="B699" s="3062" t="s">
        <v>3710</v>
      </c>
      <c r="C699" s="3062"/>
      <c r="D699" s="3062" t="s">
        <v>3810</v>
      </c>
      <c r="E699" s="3058">
        <v>13.78</v>
      </c>
      <c r="F699" s="3058">
        <v>100000</v>
      </c>
      <c r="G699" s="3059">
        <v>100000</v>
      </c>
      <c r="H699" s="3059" t="s">
        <v>3090</v>
      </c>
      <c r="I699" s="3058" t="s">
        <v>3054</v>
      </c>
    </row>
    <row r="700" spans="1:9">
      <c r="A700" s="3059">
        <v>910</v>
      </c>
      <c r="B700" s="3062" t="s">
        <v>3710</v>
      </c>
      <c r="C700" s="3062"/>
      <c r="D700" s="3062" t="s">
        <v>3809</v>
      </c>
      <c r="E700" s="3058">
        <v>13.78</v>
      </c>
      <c r="F700" s="3058">
        <v>100000</v>
      </c>
      <c r="G700" s="3059">
        <v>100000</v>
      </c>
      <c r="H700" s="3059" t="s">
        <v>3090</v>
      </c>
      <c r="I700" s="3058" t="s">
        <v>3054</v>
      </c>
    </row>
    <row r="701" spans="1:9">
      <c r="A701" s="3059">
        <v>911</v>
      </c>
      <c r="B701" s="3062" t="s">
        <v>3710</v>
      </c>
      <c r="C701" s="3062"/>
      <c r="D701" s="3062" t="s">
        <v>3808</v>
      </c>
      <c r="E701" s="3058">
        <v>12.72</v>
      </c>
      <c r="F701" s="3058">
        <v>100000</v>
      </c>
      <c r="G701" s="3059">
        <v>100000</v>
      </c>
      <c r="H701" s="3059" t="s">
        <v>3090</v>
      </c>
      <c r="I701" s="3058" t="s">
        <v>3054</v>
      </c>
    </row>
    <row r="702" spans="1:9">
      <c r="A702" s="3059">
        <v>912</v>
      </c>
      <c r="B702" s="3062" t="s">
        <v>3710</v>
      </c>
      <c r="C702" s="3062"/>
      <c r="D702" s="3062" t="s">
        <v>3807</v>
      </c>
      <c r="E702" s="3058">
        <v>12.72</v>
      </c>
      <c r="F702" s="3058">
        <v>100000</v>
      </c>
      <c r="G702" s="3059">
        <v>100000</v>
      </c>
      <c r="H702" s="3059" t="s">
        <v>3090</v>
      </c>
      <c r="I702" s="3058" t="s">
        <v>3054</v>
      </c>
    </row>
    <row r="703" spans="1:9">
      <c r="A703" s="3059">
        <v>913</v>
      </c>
      <c r="B703" s="3062" t="s">
        <v>3710</v>
      </c>
      <c r="C703" s="3062"/>
      <c r="D703" s="3062" t="s">
        <v>3806</v>
      </c>
      <c r="E703" s="3058">
        <v>12.72</v>
      </c>
      <c r="F703" s="3058">
        <v>100000</v>
      </c>
      <c r="G703" s="3059">
        <v>100000</v>
      </c>
      <c r="H703" s="3059" t="s">
        <v>3090</v>
      </c>
      <c r="I703" s="3058" t="s">
        <v>3054</v>
      </c>
    </row>
    <row r="704" spans="1:9">
      <c r="A704" s="3059">
        <v>914</v>
      </c>
      <c r="B704" s="3062" t="s">
        <v>3710</v>
      </c>
      <c r="C704" s="3062"/>
      <c r="D704" s="3062" t="s">
        <v>3805</v>
      </c>
      <c r="E704" s="3058">
        <v>12.72</v>
      </c>
      <c r="F704" s="3058">
        <v>100000</v>
      </c>
      <c r="G704" s="3059">
        <v>100000</v>
      </c>
      <c r="H704" s="3059" t="s">
        <v>3090</v>
      </c>
      <c r="I704" s="3058" t="s">
        <v>3054</v>
      </c>
    </row>
    <row r="705" spans="1:9">
      <c r="A705" s="3059">
        <v>915</v>
      </c>
      <c r="B705" s="3062" t="s">
        <v>3710</v>
      </c>
      <c r="C705" s="3062"/>
      <c r="D705" s="3062" t="s">
        <v>3804</v>
      </c>
      <c r="E705" s="3058">
        <v>12.72</v>
      </c>
      <c r="F705" s="3058">
        <v>100000</v>
      </c>
      <c r="G705" s="3059">
        <v>100000</v>
      </c>
      <c r="H705" s="3059" t="s">
        <v>3090</v>
      </c>
      <c r="I705" s="3058" t="s">
        <v>3054</v>
      </c>
    </row>
    <row r="706" spans="1:9">
      <c r="A706" s="3059">
        <v>916</v>
      </c>
      <c r="B706" s="3062" t="s">
        <v>3710</v>
      </c>
      <c r="C706" s="3062"/>
      <c r="D706" s="3062" t="s">
        <v>3803</v>
      </c>
      <c r="E706" s="3058">
        <v>12.72</v>
      </c>
      <c r="F706" s="3058">
        <v>100000</v>
      </c>
      <c r="G706" s="3059">
        <v>100000</v>
      </c>
      <c r="H706" s="3059" t="s">
        <v>3090</v>
      </c>
      <c r="I706" s="3058" t="s">
        <v>3054</v>
      </c>
    </row>
    <row r="707" spans="1:9">
      <c r="A707" s="3059">
        <v>917</v>
      </c>
      <c r="B707" s="3062" t="s">
        <v>3710</v>
      </c>
      <c r="C707" s="3062"/>
      <c r="D707" s="3062" t="s">
        <v>3802</v>
      </c>
      <c r="E707" s="3058">
        <v>12.72</v>
      </c>
      <c r="F707" s="3058">
        <v>100000</v>
      </c>
      <c r="G707" s="3059">
        <v>100000</v>
      </c>
      <c r="H707" s="3059" t="s">
        <v>3090</v>
      </c>
      <c r="I707" s="3058" t="s">
        <v>3054</v>
      </c>
    </row>
    <row r="708" spans="1:9">
      <c r="A708" s="3059">
        <v>918</v>
      </c>
      <c r="B708" s="3062" t="s">
        <v>3710</v>
      </c>
      <c r="C708" s="3062"/>
      <c r="D708" s="3062" t="s">
        <v>3801</v>
      </c>
      <c r="E708" s="3058">
        <v>12.72</v>
      </c>
      <c r="F708" s="3058">
        <v>100000</v>
      </c>
      <c r="G708" s="3059">
        <v>100000</v>
      </c>
      <c r="H708" s="3059" t="s">
        <v>3090</v>
      </c>
      <c r="I708" s="3058" t="s">
        <v>3054</v>
      </c>
    </row>
    <row r="709" spans="1:9">
      <c r="A709" s="3059">
        <v>919</v>
      </c>
      <c r="B709" s="3062" t="s">
        <v>3710</v>
      </c>
      <c r="C709" s="3062"/>
      <c r="D709" s="3062" t="s">
        <v>3800</v>
      </c>
      <c r="E709" s="3058">
        <v>13.78</v>
      </c>
      <c r="F709" s="3058">
        <v>100000</v>
      </c>
      <c r="G709" s="3059">
        <v>100000</v>
      </c>
      <c r="H709" s="3059" t="s">
        <v>3090</v>
      </c>
      <c r="I709" s="3058" t="s">
        <v>3054</v>
      </c>
    </row>
    <row r="710" spans="1:9">
      <c r="A710" s="3059">
        <v>920</v>
      </c>
      <c r="B710" s="3062" t="s">
        <v>3710</v>
      </c>
      <c r="C710" s="3062"/>
      <c r="D710" s="3062" t="s">
        <v>3799</v>
      </c>
      <c r="E710" s="3058">
        <v>12.72</v>
      </c>
      <c r="F710" s="3058">
        <v>100000</v>
      </c>
      <c r="G710" s="3059">
        <v>100000</v>
      </c>
      <c r="H710" s="3059" t="s">
        <v>3090</v>
      </c>
      <c r="I710" s="3058" t="s">
        <v>3054</v>
      </c>
    </row>
    <row r="711" spans="1:9">
      <c r="A711" s="3059">
        <v>921</v>
      </c>
      <c r="B711" s="3062" t="s">
        <v>3710</v>
      </c>
      <c r="C711" s="3062"/>
      <c r="D711" s="3062" t="s">
        <v>3798</v>
      </c>
      <c r="E711" s="3058">
        <v>12.72</v>
      </c>
      <c r="F711" s="3058">
        <v>100000</v>
      </c>
      <c r="G711" s="3059">
        <v>100000</v>
      </c>
      <c r="H711" s="3059" t="s">
        <v>3090</v>
      </c>
      <c r="I711" s="3058" t="s">
        <v>3054</v>
      </c>
    </row>
    <row r="712" spans="1:9">
      <c r="A712" s="3059">
        <v>922</v>
      </c>
      <c r="B712" s="3062" t="s">
        <v>3710</v>
      </c>
      <c r="C712" s="3062"/>
      <c r="D712" s="3062" t="s">
        <v>3797</v>
      </c>
      <c r="E712" s="3058">
        <v>12.72</v>
      </c>
      <c r="F712" s="3058">
        <v>100000</v>
      </c>
      <c r="G712" s="3059">
        <v>100000</v>
      </c>
      <c r="H712" s="3059" t="s">
        <v>3090</v>
      </c>
      <c r="I712" s="3058" t="s">
        <v>3054</v>
      </c>
    </row>
    <row r="713" spans="1:9">
      <c r="A713" s="3059">
        <v>923</v>
      </c>
      <c r="B713" s="3062" t="s">
        <v>3710</v>
      </c>
      <c r="C713" s="3062"/>
      <c r="D713" s="3062" t="s">
        <v>3796</v>
      </c>
      <c r="E713" s="3058">
        <v>13.78</v>
      </c>
      <c r="F713" s="3058">
        <v>100000</v>
      </c>
      <c r="G713" s="3059">
        <v>100000</v>
      </c>
      <c r="H713" s="3059" t="s">
        <v>3090</v>
      </c>
      <c r="I713" s="3058" t="s">
        <v>3054</v>
      </c>
    </row>
    <row r="714" spans="1:9">
      <c r="A714" s="3059">
        <v>924</v>
      </c>
      <c r="B714" s="3062" t="s">
        <v>3710</v>
      </c>
      <c r="C714" s="3062"/>
      <c r="D714" s="3062" t="s">
        <v>3795</v>
      </c>
      <c r="E714" s="3058">
        <v>13.78</v>
      </c>
      <c r="F714" s="3058">
        <v>100000</v>
      </c>
      <c r="G714" s="3059">
        <v>100000</v>
      </c>
      <c r="H714" s="3059" t="s">
        <v>3090</v>
      </c>
      <c r="I714" s="3058" t="s">
        <v>3054</v>
      </c>
    </row>
    <row r="715" spans="1:9">
      <c r="A715" s="3059">
        <v>925</v>
      </c>
      <c r="B715" s="3062" t="s">
        <v>3710</v>
      </c>
      <c r="C715" s="3062"/>
      <c r="D715" s="3062" t="s">
        <v>3794</v>
      </c>
      <c r="E715" s="3058">
        <v>12.72</v>
      </c>
      <c r="F715" s="3058">
        <v>100000</v>
      </c>
      <c r="G715" s="3059">
        <v>100000</v>
      </c>
      <c r="H715" s="3059" t="s">
        <v>3090</v>
      </c>
      <c r="I715" s="3058" t="s">
        <v>3054</v>
      </c>
    </row>
    <row r="716" spans="1:9">
      <c r="A716" s="3059">
        <v>926</v>
      </c>
      <c r="B716" s="3062" t="s">
        <v>3710</v>
      </c>
      <c r="C716" s="3062"/>
      <c r="D716" s="3062" t="s">
        <v>3793</v>
      </c>
      <c r="E716" s="3058">
        <v>12.72</v>
      </c>
      <c r="F716" s="3058">
        <v>100000</v>
      </c>
      <c r="G716" s="3059">
        <v>100000</v>
      </c>
      <c r="H716" s="3059" t="s">
        <v>3090</v>
      </c>
      <c r="I716" s="3058" t="s">
        <v>3054</v>
      </c>
    </row>
    <row r="717" spans="1:9">
      <c r="A717" s="3059">
        <v>927</v>
      </c>
      <c r="B717" s="3062" t="s">
        <v>3710</v>
      </c>
      <c r="C717" s="3062"/>
      <c r="D717" s="3062" t="s">
        <v>3792</v>
      </c>
      <c r="E717" s="3058">
        <v>12.72</v>
      </c>
      <c r="F717" s="3058">
        <v>100000</v>
      </c>
      <c r="G717" s="3059">
        <v>100000</v>
      </c>
      <c r="H717" s="3059" t="s">
        <v>3090</v>
      </c>
      <c r="I717" s="3058" t="s">
        <v>3054</v>
      </c>
    </row>
    <row r="718" spans="1:9">
      <c r="A718" s="3059">
        <v>928</v>
      </c>
      <c r="B718" s="3062" t="s">
        <v>3710</v>
      </c>
      <c r="C718" s="3062"/>
      <c r="D718" s="3062" t="s">
        <v>3791</v>
      </c>
      <c r="E718" s="3058">
        <v>12.72</v>
      </c>
      <c r="F718" s="3058">
        <v>100000</v>
      </c>
      <c r="G718" s="3059">
        <v>100000</v>
      </c>
      <c r="H718" s="3059" t="s">
        <v>3090</v>
      </c>
      <c r="I718" s="3058" t="s">
        <v>3054</v>
      </c>
    </row>
    <row r="719" spans="1:9">
      <c r="A719" s="3059">
        <v>929</v>
      </c>
      <c r="B719" s="3062" t="s">
        <v>3710</v>
      </c>
      <c r="C719" s="3062"/>
      <c r="D719" s="3062" t="s">
        <v>3790</v>
      </c>
      <c r="E719" s="3058">
        <v>12.72</v>
      </c>
      <c r="F719" s="3058">
        <v>100000</v>
      </c>
      <c r="G719" s="3059">
        <v>100000</v>
      </c>
      <c r="H719" s="3059" t="s">
        <v>3090</v>
      </c>
      <c r="I719" s="3058" t="s">
        <v>3054</v>
      </c>
    </row>
    <row r="720" spans="1:9">
      <c r="A720" s="3059">
        <v>930</v>
      </c>
      <c r="B720" s="3062" t="s">
        <v>3710</v>
      </c>
      <c r="C720" s="3062"/>
      <c r="D720" s="3062" t="s">
        <v>3789</v>
      </c>
      <c r="E720" s="3058">
        <v>13.78</v>
      </c>
      <c r="F720" s="3058">
        <v>100000</v>
      </c>
      <c r="G720" s="3059">
        <v>100000</v>
      </c>
      <c r="H720" s="3059" t="s">
        <v>3090</v>
      </c>
      <c r="I720" s="3058" t="s">
        <v>3054</v>
      </c>
    </row>
    <row r="721" spans="1:9">
      <c r="A721" s="3059">
        <v>931</v>
      </c>
      <c r="B721" s="3062" t="s">
        <v>3710</v>
      </c>
      <c r="C721" s="3062"/>
      <c r="D721" s="3062" t="s">
        <v>3788</v>
      </c>
      <c r="E721" s="3058">
        <v>12.72</v>
      </c>
      <c r="F721" s="3058">
        <v>100000</v>
      </c>
      <c r="G721" s="3059">
        <v>100000</v>
      </c>
      <c r="H721" s="3059" t="s">
        <v>3090</v>
      </c>
      <c r="I721" s="3058" t="s">
        <v>3054</v>
      </c>
    </row>
    <row r="722" spans="1:9">
      <c r="A722" s="3059">
        <v>932</v>
      </c>
      <c r="B722" s="3062" t="s">
        <v>3710</v>
      </c>
      <c r="C722" s="3062"/>
      <c r="D722" s="3062" t="s">
        <v>3787</v>
      </c>
      <c r="E722" s="3058">
        <v>12.72</v>
      </c>
      <c r="F722" s="3058">
        <v>100000</v>
      </c>
      <c r="G722" s="3059">
        <v>100000</v>
      </c>
      <c r="H722" s="3059" t="s">
        <v>3090</v>
      </c>
      <c r="I722" s="3058" t="s">
        <v>3054</v>
      </c>
    </row>
    <row r="723" spans="1:9">
      <c r="A723" s="3059">
        <v>933</v>
      </c>
      <c r="B723" s="3062" t="s">
        <v>3710</v>
      </c>
      <c r="C723" s="3062"/>
      <c r="D723" s="3062" t="s">
        <v>3786</v>
      </c>
      <c r="E723" s="3058">
        <v>12.72</v>
      </c>
      <c r="F723" s="3058">
        <v>100000</v>
      </c>
      <c r="G723" s="3059">
        <v>100000</v>
      </c>
      <c r="H723" s="3059" t="s">
        <v>3090</v>
      </c>
      <c r="I723" s="3058" t="s">
        <v>3054</v>
      </c>
    </row>
    <row r="724" spans="1:9">
      <c r="A724" s="3059">
        <v>934</v>
      </c>
      <c r="B724" s="3062" t="s">
        <v>3710</v>
      </c>
      <c r="C724" s="3062"/>
      <c r="D724" s="3062" t="s">
        <v>3785</v>
      </c>
      <c r="E724" s="3058">
        <v>12.72</v>
      </c>
      <c r="F724" s="3058">
        <v>100000</v>
      </c>
      <c r="G724" s="3059">
        <v>100000</v>
      </c>
      <c r="H724" s="3059" t="s">
        <v>3090</v>
      </c>
      <c r="I724" s="3058" t="s">
        <v>3054</v>
      </c>
    </row>
    <row r="725" spans="1:9">
      <c r="A725" s="3059">
        <v>935</v>
      </c>
      <c r="B725" s="3062" t="s">
        <v>3710</v>
      </c>
      <c r="C725" s="3062"/>
      <c r="D725" s="3062" t="s">
        <v>3784</v>
      </c>
      <c r="E725" s="3058">
        <v>12.72</v>
      </c>
      <c r="F725" s="3058">
        <v>100000</v>
      </c>
      <c r="G725" s="3059">
        <v>100000</v>
      </c>
      <c r="H725" s="3059" t="s">
        <v>3090</v>
      </c>
      <c r="I725" s="3058" t="s">
        <v>3054</v>
      </c>
    </row>
    <row r="726" spans="1:9">
      <c r="A726" s="3059">
        <v>936</v>
      </c>
      <c r="B726" s="3062" t="s">
        <v>3710</v>
      </c>
      <c r="C726" s="3062"/>
      <c r="D726" s="3062" t="s">
        <v>3783</v>
      </c>
      <c r="E726" s="3058">
        <v>12.72</v>
      </c>
      <c r="F726" s="3058">
        <v>100000</v>
      </c>
      <c r="G726" s="3059">
        <v>100000</v>
      </c>
      <c r="H726" s="3059" t="s">
        <v>3090</v>
      </c>
      <c r="I726" s="3058" t="s">
        <v>3054</v>
      </c>
    </row>
    <row r="727" spans="1:9">
      <c r="A727" s="3059">
        <v>937</v>
      </c>
      <c r="B727" s="3062" t="s">
        <v>3710</v>
      </c>
      <c r="C727" s="3062"/>
      <c r="D727" s="3062" t="s">
        <v>3782</v>
      </c>
      <c r="E727" s="3058">
        <v>13.78</v>
      </c>
      <c r="F727" s="3058">
        <v>100000</v>
      </c>
      <c r="G727" s="3059">
        <v>100000</v>
      </c>
      <c r="H727" s="3059" t="s">
        <v>3090</v>
      </c>
      <c r="I727" s="3058" t="s">
        <v>3054</v>
      </c>
    </row>
    <row r="728" spans="1:9">
      <c r="A728" s="3059">
        <v>938</v>
      </c>
      <c r="B728" s="3062" t="s">
        <v>3710</v>
      </c>
      <c r="C728" s="3062"/>
      <c r="D728" s="3062" t="s">
        <v>3781</v>
      </c>
      <c r="E728" s="3058">
        <v>13.78</v>
      </c>
      <c r="F728" s="3058">
        <v>100000</v>
      </c>
      <c r="G728" s="3059">
        <v>100000</v>
      </c>
      <c r="H728" s="3059" t="s">
        <v>3090</v>
      </c>
      <c r="I728" s="3058" t="s">
        <v>3054</v>
      </c>
    </row>
    <row r="729" spans="1:9">
      <c r="A729" s="3059">
        <v>939</v>
      </c>
      <c r="B729" s="3062" t="s">
        <v>3710</v>
      </c>
      <c r="C729" s="3062"/>
      <c r="D729" s="3062" t="s">
        <v>3780</v>
      </c>
      <c r="E729" s="3058">
        <v>12.72</v>
      </c>
      <c r="F729" s="3058">
        <v>100000</v>
      </c>
      <c r="G729" s="3059">
        <v>100000</v>
      </c>
      <c r="H729" s="3059" t="s">
        <v>3090</v>
      </c>
      <c r="I729" s="3058" t="s">
        <v>3054</v>
      </c>
    </row>
    <row r="730" spans="1:9">
      <c r="A730" s="3059">
        <v>940</v>
      </c>
      <c r="B730" s="3062" t="s">
        <v>3710</v>
      </c>
      <c r="C730" s="3062"/>
      <c r="D730" s="3062" t="s">
        <v>3779</v>
      </c>
      <c r="E730" s="3058">
        <v>12.72</v>
      </c>
      <c r="F730" s="3058">
        <v>100000</v>
      </c>
      <c r="G730" s="3059">
        <v>100000</v>
      </c>
      <c r="H730" s="3059" t="s">
        <v>3090</v>
      </c>
      <c r="I730" s="3058" t="s">
        <v>3054</v>
      </c>
    </row>
    <row r="731" spans="1:9">
      <c r="A731" s="3059">
        <v>941</v>
      </c>
      <c r="B731" s="3062" t="s">
        <v>3710</v>
      </c>
      <c r="C731" s="3062"/>
      <c r="D731" s="3062" t="s">
        <v>3778</v>
      </c>
      <c r="E731" s="3058">
        <v>12.72</v>
      </c>
      <c r="F731" s="3058">
        <v>100000</v>
      </c>
      <c r="G731" s="3059">
        <v>100000</v>
      </c>
      <c r="H731" s="3059" t="s">
        <v>3090</v>
      </c>
      <c r="I731" s="3058" t="s">
        <v>3054</v>
      </c>
    </row>
    <row r="732" spans="1:9">
      <c r="A732" s="3059">
        <v>942</v>
      </c>
      <c r="B732" s="3062" t="s">
        <v>3710</v>
      </c>
      <c r="C732" s="3062"/>
      <c r="D732" s="3062" t="s">
        <v>3777</v>
      </c>
      <c r="E732" s="3058">
        <v>12.72</v>
      </c>
      <c r="F732" s="3058">
        <v>100000</v>
      </c>
      <c r="G732" s="3059">
        <v>100000</v>
      </c>
      <c r="H732" s="3059" t="s">
        <v>3090</v>
      </c>
      <c r="I732" s="3058" t="s">
        <v>3054</v>
      </c>
    </row>
    <row r="733" spans="1:9">
      <c r="A733" s="3059">
        <v>943</v>
      </c>
      <c r="B733" s="3062" t="s">
        <v>3710</v>
      </c>
      <c r="C733" s="3062"/>
      <c r="D733" s="3062" t="s">
        <v>3776</v>
      </c>
      <c r="E733" s="3058">
        <v>12.72</v>
      </c>
      <c r="F733" s="3058">
        <v>100000</v>
      </c>
      <c r="G733" s="3059">
        <v>100000</v>
      </c>
      <c r="H733" s="3059" t="s">
        <v>3090</v>
      </c>
      <c r="I733" s="3058" t="s">
        <v>3054</v>
      </c>
    </row>
    <row r="734" spans="1:9">
      <c r="A734" s="3059">
        <v>944</v>
      </c>
      <c r="B734" s="3062" t="s">
        <v>3710</v>
      </c>
      <c r="C734" s="3062"/>
      <c r="D734" s="3062" t="s">
        <v>3775</v>
      </c>
      <c r="E734" s="3058">
        <v>13.78</v>
      </c>
      <c r="F734" s="3058">
        <v>100000</v>
      </c>
      <c r="G734" s="3059">
        <v>100000</v>
      </c>
      <c r="H734" s="3059" t="s">
        <v>3090</v>
      </c>
      <c r="I734" s="3058" t="s">
        <v>3054</v>
      </c>
    </row>
    <row r="735" spans="1:9">
      <c r="A735" s="3059">
        <v>945</v>
      </c>
      <c r="B735" s="3062" t="s">
        <v>3710</v>
      </c>
      <c r="C735" s="3062"/>
      <c r="D735" s="3062" t="s">
        <v>3774</v>
      </c>
      <c r="E735" s="3058">
        <v>12.72</v>
      </c>
      <c r="F735" s="3058">
        <v>100000</v>
      </c>
      <c r="G735" s="3059">
        <v>100000</v>
      </c>
      <c r="H735" s="3059" t="s">
        <v>3090</v>
      </c>
      <c r="I735" s="3058" t="s">
        <v>3054</v>
      </c>
    </row>
    <row r="736" spans="1:9">
      <c r="A736" s="3059">
        <v>946</v>
      </c>
      <c r="B736" s="3062" t="s">
        <v>3710</v>
      </c>
      <c r="C736" s="3062"/>
      <c r="D736" s="3062" t="s">
        <v>3773</v>
      </c>
      <c r="E736" s="3058">
        <v>12.72</v>
      </c>
      <c r="F736" s="3058">
        <v>100000</v>
      </c>
      <c r="G736" s="3059">
        <v>100000</v>
      </c>
      <c r="H736" s="3059" t="s">
        <v>3090</v>
      </c>
      <c r="I736" s="3058" t="s">
        <v>3054</v>
      </c>
    </row>
    <row r="737" spans="1:9">
      <c r="A737" s="3059">
        <v>947</v>
      </c>
      <c r="B737" s="3062" t="s">
        <v>3710</v>
      </c>
      <c r="C737" s="3062"/>
      <c r="D737" s="3062" t="s">
        <v>3772</v>
      </c>
      <c r="E737" s="3058">
        <v>13.78</v>
      </c>
      <c r="F737" s="3058">
        <v>100000</v>
      </c>
      <c r="G737" s="3059">
        <v>100000</v>
      </c>
      <c r="H737" s="3059" t="s">
        <v>3090</v>
      </c>
      <c r="I737" s="3058" t="s">
        <v>3054</v>
      </c>
    </row>
    <row r="738" spans="1:9">
      <c r="A738" s="3059">
        <v>948</v>
      </c>
      <c r="B738" s="3062" t="s">
        <v>3710</v>
      </c>
      <c r="C738" s="3062"/>
      <c r="D738" s="3062" t="s">
        <v>3771</v>
      </c>
      <c r="E738" s="3058">
        <v>12.72</v>
      </c>
      <c r="F738" s="3058">
        <v>100000</v>
      </c>
      <c r="G738" s="3059">
        <v>100000</v>
      </c>
      <c r="H738" s="3059" t="s">
        <v>3090</v>
      </c>
      <c r="I738" s="3058" t="s">
        <v>3054</v>
      </c>
    </row>
    <row r="739" spans="1:9">
      <c r="A739" s="3059">
        <v>949</v>
      </c>
      <c r="B739" s="3062" t="s">
        <v>3710</v>
      </c>
      <c r="C739" s="3062"/>
      <c r="D739" s="3062" t="s">
        <v>3770</v>
      </c>
      <c r="E739" s="3058">
        <v>12.72</v>
      </c>
      <c r="F739" s="3058">
        <v>100000</v>
      </c>
      <c r="G739" s="3059">
        <v>100000</v>
      </c>
      <c r="H739" s="3059" t="s">
        <v>3090</v>
      </c>
      <c r="I739" s="3058" t="s">
        <v>3054</v>
      </c>
    </row>
    <row r="740" spans="1:9">
      <c r="A740" s="3059">
        <v>950</v>
      </c>
      <c r="B740" s="3062" t="s">
        <v>3710</v>
      </c>
      <c r="C740" s="3062"/>
      <c r="D740" s="3062" t="s">
        <v>3769</v>
      </c>
      <c r="E740" s="3058">
        <v>12.72</v>
      </c>
      <c r="F740" s="3058">
        <v>100000</v>
      </c>
      <c r="G740" s="3059">
        <v>100000</v>
      </c>
      <c r="H740" s="3059" t="s">
        <v>3090</v>
      </c>
      <c r="I740" s="3058" t="s">
        <v>3054</v>
      </c>
    </row>
    <row r="741" spans="1:9">
      <c r="A741" s="3059">
        <v>951</v>
      </c>
      <c r="B741" s="3062" t="s">
        <v>3710</v>
      </c>
      <c r="C741" s="3062"/>
      <c r="D741" s="3062" t="s">
        <v>3768</v>
      </c>
      <c r="E741" s="3058">
        <v>12.72</v>
      </c>
      <c r="F741" s="3058">
        <v>100000</v>
      </c>
      <c r="G741" s="3059">
        <v>100000</v>
      </c>
      <c r="H741" s="3059" t="s">
        <v>3090</v>
      </c>
      <c r="I741" s="3058" t="s">
        <v>3054</v>
      </c>
    </row>
    <row r="742" spans="1:9">
      <c r="A742" s="3059">
        <v>952</v>
      </c>
      <c r="B742" s="3062" t="s">
        <v>3710</v>
      </c>
      <c r="C742" s="3062"/>
      <c r="D742" s="3062" t="s">
        <v>3767</v>
      </c>
      <c r="E742" s="3058">
        <v>12.72</v>
      </c>
      <c r="F742" s="3058">
        <v>100000</v>
      </c>
      <c r="G742" s="3059">
        <v>100000</v>
      </c>
      <c r="H742" s="3059" t="s">
        <v>3090</v>
      </c>
      <c r="I742" s="3058" t="s">
        <v>3054</v>
      </c>
    </row>
    <row r="743" spans="1:9">
      <c r="A743" s="3059">
        <v>953</v>
      </c>
      <c r="B743" s="3062" t="s">
        <v>3710</v>
      </c>
      <c r="C743" s="3062"/>
      <c r="D743" s="3062" t="s">
        <v>3766</v>
      </c>
      <c r="E743" s="3058">
        <v>13.78</v>
      </c>
      <c r="F743" s="3058">
        <v>100000</v>
      </c>
      <c r="G743" s="3059">
        <v>100000</v>
      </c>
      <c r="H743" s="3059" t="s">
        <v>3090</v>
      </c>
      <c r="I743" s="3058" t="s">
        <v>3054</v>
      </c>
    </row>
    <row r="744" spans="1:9">
      <c r="A744" s="3059">
        <v>954</v>
      </c>
      <c r="B744" s="3062" t="s">
        <v>3710</v>
      </c>
      <c r="C744" s="3062"/>
      <c r="D744" s="3062" t="s">
        <v>3765</v>
      </c>
      <c r="E744" s="3058">
        <v>12.72</v>
      </c>
      <c r="F744" s="3058">
        <v>100000</v>
      </c>
      <c r="G744" s="3059">
        <v>100000</v>
      </c>
      <c r="H744" s="3059" t="s">
        <v>3090</v>
      </c>
      <c r="I744" s="3058" t="s">
        <v>3054</v>
      </c>
    </row>
    <row r="745" spans="1:9">
      <c r="A745" s="3059">
        <v>955</v>
      </c>
      <c r="B745" s="3062" t="s">
        <v>3710</v>
      </c>
      <c r="C745" s="3062"/>
      <c r="D745" s="3062" t="s">
        <v>3764</v>
      </c>
      <c r="E745" s="3058">
        <v>13.78</v>
      </c>
      <c r="F745" s="3058">
        <v>100000</v>
      </c>
      <c r="G745" s="3059">
        <v>100000</v>
      </c>
      <c r="H745" s="3059" t="s">
        <v>3090</v>
      </c>
      <c r="I745" s="3058" t="s">
        <v>3054</v>
      </c>
    </row>
    <row r="746" spans="1:9">
      <c r="A746" s="3059">
        <v>956</v>
      </c>
      <c r="B746" s="3062" t="s">
        <v>3710</v>
      </c>
      <c r="C746" s="3062"/>
      <c r="D746" s="3062" t="s">
        <v>3763</v>
      </c>
      <c r="E746" s="3058">
        <v>13.78</v>
      </c>
      <c r="F746" s="3058">
        <v>100000</v>
      </c>
      <c r="G746" s="3059">
        <v>100000</v>
      </c>
      <c r="H746" s="3059" t="s">
        <v>3090</v>
      </c>
      <c r="I746" s="3058" t="s">
        <v>3054</v>
      </c>
    </row>
    <row r="747" spans="1:9">
      <c r="A747" s="3059">
        <v>957</v>
      </c>
      <c r="B747" s="3062" t="s">
        <v>3710</v>
      </c>
      <c r="C747" s="3062"/>
      <c r="D747" s="3062" t="s">
        <v>3762</v>
      </c>
      <c r="E747" s="3058">
        <v>12.72</v>
      </c>
      <c r="F747" s="3058">
        <v>100000</v>
      </c>
      <c r="G747" s="3059">
        <v>100000</v>
      </c>
      <c r="H747" s="3059" t="s">
        <v>3090</v>
      </c>
      <c r="I747" s="3058" t="s">
        <v>3054</v>
      </c>
    </row>
    <row r="748" spans="1:9">
      <c r="A748" s="3059">
        <v>958</v>
      </c>
      <c r="B748" s="3062" t="s">
        <v>3710</v>
      </c>
      <c r="C748" s="3062"/>
      <c r="D748" s="3062" t="s">
        <v>3761</v>
      </c>
      <c r="E748" s="3058">
        <v>12.72</v>
      </c>
      <c r="F748" s="3058">
        <v>100000</v>
      </c>
      <c r="G748" s="3059">
        <v>100000</v>
      </c>
      <c r="H748" s="3059" t="s">
        <v>3090</v>
      </c>
      <c r="I748" s="3058" t="s">
        <v>3054</v>
      </c>
    </row>
    <row r="749" spans="1:9">
      <c r="A749" s="3059">
        <v>959</v>
      </c>
      <c r="B749" s="3062" t="s">
        <v>3710</v>
      </c>
      <c r="C749" s="3062"/>
      <c r="D749" s="3062" t="s">
        <v>3760</v>
      </c>
      <c r="E749" s="3058">
        <v>12.72</v>
      </c>
      <c r="F749" s="3058">
        <v>100000</v>
      </c>
      <c r="G749" s="3059">
        <v>100000</v>
      </c>
      <c r="H749" s="3059" t="s">
        <v>3090</v>
      </c>
      <c r="I749" s="3058" t="s">
        <v>3054</v>
      </c>
    </row>
    <row r="750" spans="1:9">
      <c r="A750" s="3059">
        <v>960</v>
      </c>
      <c r="B750" s="3062" t="s">
        <v>3710</v>
      </c>
      <c r="C750" s="3062"/>
      <c r="D750" s="3062" t="s">
        <v>3759</v>
      </c>
      <c r="E750" s="3058">
        <v>12.72</v>
      </c>
      <c r="F750" s="3058">
        <v>100000</v>
      </c>
      <c r="G750" s="3059">
        <v>100000</v>
      </c>
      <c r="H750" s="3059" t="s">
        <v>3090</v>
      </c>
      <c r="I750" s="3058" t="s">
        <v>3054</v>
      </c>
    </row>
    <row r="751" spans="1:9">
      <c r="A751" s="3059">
        <v>961</v>
      </c>
      <c r="B751" s="3062" t="s">
        <v>3710</v>
      </c>
      <c r="C751" s="3062"/>
      <c r="D751" s="3062" t="s">
        <v>3758</v>
      </c>
      <c r="E751" s="3058">
        <v>12.72</v>
      </c>
      <c r="F751" s="3058">
        <v>100000</v>
      </c>
      <c r="G751" s="3059">
        <v>100000</v>
      </c>
      <c r="H751" s="3059" t="s">
        <v>3090</v>
      </c>
      <c r="I751" s="3058" t="s">
        <v>3054</v>
      </c>
    </row>
    <row r="752" spans="1:9">
      <c r="A752" s="3059">
        <v>962</v>
      </c>
      <c r="B752" s="3062" t="s">
        <v>3710</v>
      </c>
      <c r="C752" s="3062"/>
      <c r="D752" s="3062" t="s">
        <v>3757</v>
      </c>
      <c r="E752" s="3058">
        <v>12.72</v>
      </c>
      <c r="F752" s="3058">
        <v>100000</v>
      </c>
      <c r="G752" s="3059">
        <v>100000</v>
      </c>
      <c r="H752" s="3059" t="s">
        <v>3090</v>
      </c>
      <c r="I752" s="3058" t="s">
        <v>3054</v>
      </c>
    </row>
    <row r="753" spans="1:9">
      <c r="A753" s="3059">
        <v>963</v>
      </c>
      <c r="B753" s="3062" t="s">
        <v>3710</v>
      </c>
      <c r="C753" s="3062"/>
      <c r="D753" s="3062" t="s">
        <v>3756</v>
      </c>
      <c r="E753" s="3058">
        <v>12.72</v>
      </c>
      <c r="F753" s="3058">
        <v>100000</v>
      </c>
      <c r="G753" s="3059">
        <v>100000</v>
      </c>
      <c r="H753" s="3059" t="s">
        <v>3090</v>
      </c>
      <c r="I753" s="3058" t="s">
        <v>3054</v>
      </c>
    </row>
    <row r="754" spans="1:9">
      <c r="A754" s="3059">
        <v>964</v>
      </c>
      <c r="B754" s="3062" t="s">
        <v>3710</v>
      </c>
      <c r="C754" s="3062"/>
      <c r="D754" s="3062" t="s">
        <v>3755</v>
      </c>
      <c r="E754" s="3058">
        <v>12.72</v>
      </c>
      <c r="F754" s="3058">
        <v>100000</v>
      </c>
      <c r="G754" s="3059">
        <v>100000</v>
      </c>
      <c r="H754" s="3059" t="s">
        <v>3090</v>
      </c>
      <c r="I754" s="3058" t="s">
        <v>3054</v>
      </c>
    </row>
    <row r="755" spans="1:9">
      <c r="A755" s="3059">
        <v>965</v>
      </c>
      <c r="B755" s="3062" t="s">
        <v>3710</v>
      </c>
      <c r="C755" s="3062"/>
      <c r="D755" s="3062" t="s">
        <v>3754</v>
      </c>
      <c r="E755" s="3058">
        <v>12.72</v>
      </c>
      <c r="F755" s="3058">
        <v>100000</v>
      </c>
      <c r="G755" s="3059">
        <v>100000</v>
      </c>
      <c r="H755" s="3059" t="s">
        <v>3090</v>
      </c>
      <c r="I755" s="3058" t="s">
        <v>3054</v>
      </c>
    </row>
    <row r="756" spans="1:9">
      <c r="A756" s="3059">
        <v>966</v>
      </c>
      <c r="B756" s="3062" t="s">
        <v>3710</v>
      </c>
      <c r="C756" s="3062"/>
      <c r="D756" s="3062" t="s">
        <v>3753</v>
      </c>
      <c r="E756" s="3058">
        <v>12.72</v>
      </c>
      <c r="F756" s="3058">
        <v>100000</v>
      </c>
      <c r="G756" s="3059">
        <v>100000</v>
      </c>
      <c r="H756" s="3059" t="s">
        <v>3090</v>
      </c>
      <c r="I756" s="3058" t="s">
        <v>3054</v>
      </c>
    </row>
    <row r="757" spans="1:9">
      <c r="A757" s="3059">
        <v>967</v>
      </c>
      <c r="B757" s="3062" t="s">
        <v>3710</v>
      </c>
      <c r="C757" s="3062"/>
      <c r="D757" s="3062" t="s">
        <v>3752</v>
      </c>
      <c r="E757" s="3058">
        <v>12.72</v>
      </c>
      <c r="F757" s="3058">
        <v>100000</v>
      </c>
      <c r="G757" s="3059">
        <v>100000</v>
      </c>
      <c r="H757" s="3059" t="s">
        <v>3090</v>
      </c>
      <c r="I757" s="3058" t="s">
        <v>3054</v>
      </c>
    </row>
    <row r="758" spans="1:9">
      <c r="A758" s="3059">
        <v>968</v>
      </c>
      <c r="B758" s="3062" t="s">
        <v>3710</v>
      </c>
      <c r="C758" s="3062"/>
      <c r="D758" s="3062" t="s">
        <v>3751</v>
      </c>
      <c r="E758" s="3058">
        <v>12.72</v>
      </c>
      <c r="F758" s="3058">
        <v>100000</v>
      </c>
      <c r="G758" s="3059">
        <v>100000</v>
      </c>
      <c r="H758" s="3059" t="s">
        <v>3090</v>
      </c>
      <c r="I758" s="3058" t="s">
        <v>3054</v>
      </c>
    </row>
    <row r="759" spans="1:9">
      <c r="A759" s="3059">
        <v>969</v>
      </c>
      <c r="B759" s="3062" t="s">
        <v>3710</v>
      </c>
      <c r="C759" s="3062"/>
      <c r="D759" s="3062" t="s">
        <v>3750</v>
      </c>
      <c r="E759" s="3058">
        <v>12.72</v>
      </c>
      <c r="F759" s="3058">
        <v>100000</v>
      </c>
      <c r="G759" s="3059">
        <v>100000</v>
      </c>
      <c r="H759" s="3059" t="s">
        <v>3090</v>
      </c>
      <c r="I759" s="3058" t="s">
        <v>3054</v>
      </c>
    </row>
    <row r="760" spans="1:9">
      <c r="A760" s="3059">
        <v>970</v>
      </c>
      <c r="B760" s="3062" t="s">
        <v>3710</v>
      </c>
      <c r="C760" s="3062"/>
      <c r="D760" s="3062" t="s">
        <v>3749</v>
      </c>
      <c r="E760" s="3058">
        <v>12.72</v>
      </c>
      <c r="F760" s="3058">
        <v>100000</v>
      </c>
      <c r="G760" s="3059">
        <v>100000</v>
      </c>
      <c r="H760" s="3059" t="s">
        <v>3090</v>
      </c>
      <c r="I760" s="3058" t="s">
        <v>3054</v>
      </c>
    </row>
    <row r="761" spans="1:9">
      <c r="A761" s="3059">
        <v>971</v>
      </c>
      <c r="B761" s="3062" t="s">
        <v>3710</v>
      </c>
      <c r="C761" s="3062"/>
      <c r="D761" s="3062" t="s">
        <v>3748</v>
      </c>
      <c r="E761" s="3058">
        <v>12.72</v>
      </c>
      <c r="F761" s="3058">
        <v>100000</v>
      </c>
      <c r="G761" s="3059">
        <v>100000</v>
      </c>
      <c r="H761" s="3059" t="s">
        <v>3090</v>
      </c>
      <c r="I761" s="3058" t="s">
        <v>3054</v>
      </c>
    </row>
    <row r="762" spans="1:9">
      <c r="A762" s="3059">
        <v>972</v>
      </c>
      <c r="B762" s="3062" t="s">
        <v>3710</v>
      </c>
      <c r="C762" s="3062"/>
      <c r="D762" s="3062" t="s">
        <v>3747</v>
      </c>
      <c r="E762" s="3058">
        <v>12.72</v>
      </c>
      <c r="F762" s="3058">
        <v>100000</v>
      </c>
      <c r="G762" s="3059">
        <v>100000</v>
      </c>
      <c r="H762" s="3059" t="s">
        <v>3090</v>
      </c>
      <c r="I762" s="3058" t="s">
        <v>3054</v>
      </c>
    </row>
    <row r="763" spans="1:9">
      <c r="A763" s="3059">
        <v>973</v>
      </c>
      <c r="B763" s="3062" t="s">
        <v>3710</v>
      </c>
      <c r="C763" s="3062"/>
      <c r="D763" s="3062" t="s">
        <v>3746</v>
      </c>
      <c r="E763" s="3058">
        <v>12.72</v>
      </c>
      <c r="F763" s="3058">
        <v>100000</v>
      </c>
      <c r="G763" s="3059">
        <v>100000</v>
      </c>
      <c r="H763" s="3059" t="s">
        <v>3090</v>
      </c>
      <c r="I763" s="3058" t="s">
        <v>3054</v>
      </c>
    </row>
    <row r="764" spans="1:9">
      <c r="A764" s="3059">
        <v>974</v>
      </c>
      <c r="B764" s="3062" t="s">
        <v>3710</v>
      </c>
      <c r="C764" s="3062"/>
      <c r="D764" s="3062" t="s">
        <v>3745</v>
      </c>
      <c r="E764" s="3058">
        <v>12.72</v>
      </c>
      <c r="F764" s="3058">
        <v>100000</v>
      </c>
      <c r="G764" s="3059">
        <v>100000</v>
      </c>
      <c r="H764" s="3059" t="s">
        <v>3090</v>
      </c>
      <c r="I764" s="3058" t="s">
        <v>3054</v>
      </c>
    </row>
    <row r="765" spans="1:9">
      <c r="A765" s="3059">
        <v>975</v>
      </c>
      <c r="B765" s="3062" t="s">
        <v>3710</v>
      </c>
      <c r="C765" s="3062"/>
      <c r="D765" s="3062" t="s">
        <v>3744</v>
      </c>
      <c r="E765" s="3058">
        <v>12.72</v>
      </c>
      <c r="F765" s="3058">
        <v>100000</v>
      </c>
      <c r="G765" s="3059">
        <v>100000</v>
      </c>
      <c r="H765" s="3059" t="s">
        <v>3090</v>
      </c>
      <c r="I765" s="3058" t="s">
        <v>3054</v>
      </c>
    </row>
    <row r="766" spans="1:9">
      <c r="A766" s="3059">
        <v>976</v>
      </c>
      <c r="B766" s="3062" t="s">
        <v>3710</v>
      </c>
      <c r="C766" s="3062"/>
      <c r="D766" s="3062" t="s">
        <v>3743</v>
      </c>
      <c r="E766" s="3058">
        <v>12.72</v>
      </c>
      <c r="F766" s="3058">
        <v>100000</v>
      </c>
      <c r="G766" s="3059">
        <v>100000</v>
      </c>
      <c r="H766" s="3059" t="s">
        <v>3090</v>
      </c>
      <c r="I766" s="3058" t="s">
        <v>3054</v>
      </c>
    </row>
    <row r="767" spans="1:9">
      <c r="A767" s="3059">
        <v>977</v>
      </c>
      <c r="B767" s="3062" t="s">
        <v>3710</v>
      </c>
      <c r="C767" s="3062"/>
      <c r="D767" s="3062" t="s">
        <v>3742</v>
      </c>
      <c r="E767" s="3058">
        <v>12.72</v>
      </c>
      <c r="F767" s="3058">
        <v>100000</v>
      </c>
      <c r="G767" s="3059">
        <v>100000</v>
      </c>
      <c r="H767" s="3059" t="s">
        <v>3090</v>
      </c>
      <c r="I767" s="3058" t="s">
        <v>3054</v>
      </c>
    </row>
    <row r="768" spans="1:9">
      <c r="A768" s="3059">
        <v>978</v>
      </c>
      <c r="B768" s="3062" t="s">
        <v>3710</v>
      </c>
      <c r="C768" s="3062"/>
      <c r="D768" s="3062" t="s">
        <v>3741</v>
      </c>
      <c r="E768" s="3058">
        <v>12.72</v>
      </c>
      <c r="F768" s="3058">
        <v>100000</v>
      </c>
      <c r="G768" s="3059">
        <v>100000</v>
      </c>
      <c r="H768" s="3059" t="s">
        <v>3090</v>
      </c>
      <c r="I768" s="3058" t="s">
        <v>3054</v>
      </c>
    </row>
    <row r="769" spans="1:9">
      <c r="A769" s="3059">
        <v>979</v>
      </c>
      <c r="B769" s="3062" t="s">
        <v>3710</v>
      </c>
      <c r="C769" s="3062"/>
      <c r="D769" s="3062" t="s">
        <v>3740</v>
      </c>
      <c r="E769" s="3058">
        <v>12.72</v>
      </c>
      <c r="F769" s="3058">
        <v>100000</v>
      </c>
      <c r="G769" s="3059">
        <v>100000</v>
      </c>
      <c r="H769" s="3059" t="s">
        <v>3090</v>
      </c>
      <c r="I769" s="3058" t="s">
        <v>3054</v>
      </c>
    </row>
    <row r="770" spans="1:9">
      <c r="A770" s="3059">
        <v>980</v>
      </c>
      <c r="B770" s="3062" t="s">
        <v>3710</v>
      </c>
      <c r="C770" s="3062"/>
      <c r="D770" s="3062" t="s">
        <v>3739</v>
      </c>
      <c r="E770" s="3058">
        <v>12.72</v>
      </c>
      <c r="F770" s="3058">
        <v>100000</v>
      </c>
      <c r="G770" s="3059">
        <v>100000</v>
      </c>
      <c r="H770" s="3059" t="s">
        <v>3090</v>
      </c>
      <c r="I770" s="3058" t="s">
        <v>3054</v>
      </c>
    </row>
    <row r="771" spans="1:9">
      <c r="A771" s="3059">
        <v>981</v>
      </c>
      <c r="B771" s="3062" t="s">
        <v>3710</v>
      </c>
      <c r="C771" s="3062"/>
      <c r="D771" s="3062" t="s">
        <v>3738</v>
      </c>
      <c r="E771" s="3058">
        <v>12.72</v>
      </c>
      <c r="F771" s="3058">
        <v>100000</v>
      </c>
      <c r="G771" s="3059">
        <v>100000</v>
      </c>
      <c r="H771" s="3059" t="s">
        <v>3090</v>
      </c>
      <c r="I771" s="3058" t="s">
        <v>3054</v>
      </c>
    </row>
    <row r="772" spans="1:9">
      <c r="A772" s="3059">
        <v>982</v>
      </c>
      <c r="B772" s="3062" t="s">
        <v>3710</v>
      </c>
      <c r="C772" s="3062"/>
      <c r="D772" s="3062" t="s">
        <v>3737</v>
      </c>
      <c r="E772" s="3058">
        <v>12.72</v>
      </c>
      <c r="F772" s="3058">
        <v>100000</v>
      </c>
      <c r="G772" s="3059">
        <v>100000</v>
      </c>
      <c r="H772" s="3059" t="s">
        <v>3090</v>
      </c>
      <c r="I772" s="3058" t="s">
        <v>3054</v>
      </c>
    </row>
    <row r="773" spans="1:9">
      <c r="A773" s="3059">
        <v>983</v>
      </c>
      <c r="B773" s="3062" t="s">
        <v>3710</v>
      </c>
      <c r="C773" s="3062"/>
      <c r="D773" s="3062" t="s">
        <v>3736</v>
      </c>
      <c r="E773" s="3058">
        <v>12.72</v>
      </c>
      <c r="F773" s="3058">
        <v>100000</v>
      </c>
      <c r="G773" s="3059">
        <v>100000</v>
      </c>
      <c r="H773" s="3059" t="s">
        <v>3090</v>
      </c>
      <c r="I773" s="3058" t="s">
        <v>3054</v>
      </c>
    </row>
    <row r="774" spans="1:9">
      <c r="A774" s="3059">
        <v>984</v>
      </c>
      <c r="B774" s="3062" t="s">
        <v>3710</v>
      </c>
      <c r="C774" s="3062"/>
      <c r="D774" s="3062" t="s">
        <v>3735</v>
      </c>
      <c r="E774" s="3058">
        <v>12.72</v>
      </c>
      <c r="F774" s="3058">
        <v>100000</v>
      </c>
      <c r="G774" s="3059">
        <v>100000</v>
      </c>
      <c r="H774" s="3059" t="s">
        <v>3090</v>
      </c>
      <c r="I774" s="3058" t="s">
        <v>3054</v>
      </c>
    </row>
    <row r="775" spans="1:9">
      <c r="A775" s="3059">
        <v>985</v>
      </c>
      <c r="B775" s="3062" t="s">
        <v>3710</v>
      </c>
      <c r="C775" s="3062"/>
      <c r="D775" s="3062" t="s">
        <v>3734</v>
      </c>
      <c r="E775" s="3058">
        <v>12.72</v>
      </c>
      <c r="F775" s="3058">
        <v>100000</v>
      </c>
      <c r="G775" s="3059">
        <v>100000</v>
      </c>
      <c r="H775" s="3059" t="s">
        <v>3090</v>
      </c>
      <c r="I775" s="3058" t="s">
        <v>3054</v>
      </c>
    </row>
    <row r="776" spans="1:9">
      <c r="A776" s="3059">
        <v>986</v>
      </c>
      <c r="B776" s="3062" t="s">
        <v>3710</v>
      </c>
      <c r="C776" s="3062"/>
      <c r="D776" s="3062" t="s">
        <v>3733</v>
      </c>
      <c r="E776" s="3058">
        <v>12.72</v>
      </c>
      <c r="F776" s="3058">
        <v>100000</v>
      </c>
      <c r="G776" s="3059">
        <v>100000</v>
      </c>
      <c r="H776" s="3059" t="s">
        <v>3090</v>
      </c>
      <c r="I776" s="3058" t="s">
        <v>3054</v>
      </c>
    </row>
    <row r="777" spans="1:9">
      <c r="A777" s="3059">
        <v>987</v>
      </c>
      <c r="B777" s="3062" t="s">
        <v>3710</v>
      </c>
      <c r="C777" s="3062"/>
      <c r="D777" s="3062" t="s">
        <v>3732</v>
      </c>
      <c r="E777" s="3058">
        <v>12.72</v>
      </c>
      <c r="F777" s="3058">
        <v>100000</v>
      </c>
      <c r="G777" s="3059">
        <v>100000</v>
      </c>
      <c r="H777" s="3059" t="s">
        <v>3090</v>
      </c>
      <c r="I777" s="3058" t="s">
        <v>3054</v>
      </c>
    </row>
    <row r="778" spans="1:9">
      <c r="A778" s="3059">
        <v>988</v>
      </c>
      <c r="B778" s="3062" t="s">
        <v>3710</v>
      </c>
      <c r="C778" s="3062"/>
      <c r="D778" s="3062" t="s">
        <v>3731</v>
      </c>
      <c r="E778" s="3058">
        <v>12.72</v>
      </c>
      <c r="F778" s="3058">
        <v>100000</v>
      </c>
      <c r="G778" s="3059">
        <v>100000</v>
      </c>
      <c r="H778" s="3059" t="s">
        <v>3090</v>
      </c>
      <c r="I778" s="3058" t="s">
        <v>3054</v>
      </c>
    </row>
    <row r="779" spans="1:9">
      <c r="A779" s="3059">
        <v>989</v>
      </c>
      <c r="B779" s="3062" t="s">
        <v>3710</v>
      </c>
      <c r="C779" s="3062"/>
      <c r="D779" s="3062" t="s">
        <v>3730</v>
      </c>
      <c r="E779" s="3058">
        <v>12.72</v>
      </c>
      <c r="F779" s="3058">
        <v>100000</v>
      </c>
      <c r="G779" s="3059">
        <v>100000</v>
      </c>
      <c r="H779" s="3059" t="s">
        <v>3090</v>
      </c>
      <c r="I779" s="3058" t="s">
        <v>3054</v>
      </c>
    </row>
    <row r="780" spans="1:9">
      <c r="A780" s="3059">
        <v>990</v>
      </c>
      <c r="B780" s="3062" t="s">
        <v>3710</v>
      </c>
      <c r="C780" s="3062"/>
      <c r="D780" s="3062" t="s">
        <v>3729</v>
      </c>
      <c r="E780" s="3058">
        <v>12.72</v>
      </c>
      <c r="F780" s="3058">
        <v>100000</v>
      </c>
      <c r="G780" s="3059">
        <v>100000</v>
      </c>
      <c r="H780" s="3059" t="s">
        <v>3090</v>
      </c>
      <c r="I780" s="3058" t="s">
        <v>3054</v>
      </c>
    </row>
    <row r="781" spans="1:9">
      <c r="A781" s="3059">
        <v>991</v>
      </c>
      <c r="B781" s="3062" t="s">
        <v>3710</v>
      </c>
      <c r="C781" s="3062"/>
      <c r="D781" s="3062" t="s">
        <v>3728</v>
      </c>
      <c r="E781" s="3058">
        <v>12.72</v>
      </c>
      <c r="F781" s="3058">
        <v>100000</v>
      </c>
      <c r="G781" s="3059">
        <v>100000</v>
      </c>
      <c r="H781" s="3059" t="s">
        <v>3090</v>
      </c>
      <c r="I781" s="3058" t="s">
        <v>3054</v>
      </c>
    </row>
    <row r="782" spans="1:9">
      <c r="A782" s="3059">
        <v>992</v>
      </c>
      <c r="B782" s="3062" t="s">
        <v>3710</v>
      </c>
      <c r="C782" s="3062"/>
      <c r="D782" s="3062" t="s">
        <v>3727</v>
      </c>
      <c r="E782" s="3058">
        <v>12.72</v>
      </c>
      <c r="F782" s="3058">
        <v>100000</v>
      </c>
      <c r="G782" s="3059">
        <v>100000</v>
      </c>
      <c r="H782" s="3059" t="s">
        <v>3090</v>
      </c>
      <c r="I782" s="3058" t="s">
        <v>3054</v>
      </c>
    </row>
    <row r="783" spans="1:9">
      <c r="A783" s="3059">
        <v>993</v>
      </c>
      <c r="B783" s="3062" t="s">
        <v>3710</v>
      </c>
      <c r="C783" s="3062"/>
      <c r="D783" s="3062" t="s">
        <v>3726</v>
      </c>
      <c r="E783" s="3058">
        <v>12.72</v>
      </c>
      <c r="F783" s="3058">
        <v>100000</v>
      </c>
      <c r="G783" s="3059">
        <v>100000</v>
      </c>
      <c r="H783" s="3059" t="s">
        <v>3090</v>
      </c>
      <c r="I783" s="3058" t="s">
        <v>3054</v>
      </c>
    </row>
    <row r="784" spans="1:9">
      <c r="A784" s="3059">
        <v>994</v>
      </c>
      <c r="B784" s="3062" t="s">
        <v>3710</v>
      </c>
      <c r="C784" s="3062"/>
      <c r="D784" s="3062" t="s">
        <v>3725</v>
      </c>
      <c r="E784" s="3058">
        <v>12.72</v>
      </c>
      <c r="F784" s="3058">
        <v>100000</v>
      </c>
      <c r="G784" s="3059">
        <v>100000</v>
      </c>
      <c r="H784" s="3059" t="s">
        <v>3090</v>
      </c>
      <c r="I784" s="3058" t="s">
        <v>3054</v>
      </c>
    </row>
    <row r="785" spans="1:9">
      <c r="A785" s="3059">
        <v>995</v>
      </c>
      <c r="B785" s="3062" t="s">
        <v>3710</v>
      </c>
      <c r="C785" s="3062"/>
      <c r="D785" s="3062" t="s">
        <v>3724</v>
      </c>
      <c r="E785" s="3058">
        <v>12.72</v>
      </c>
      <c r="F785" s="3058">
        <v>100000</v>
      </c>
      <c r="G785" s="3059">
        <v>100000</v>
      </c>
      <c r="H785" s="3059" t="s">
        <v>3090</v>
      </c>
      <c r="I785" s="3058" t="s">
        <v>3054</v>
      </c>
    </row>
    <row r="786" spans="1:9">
      <c r="A786" s="3059">
        <v>996</v>
      </c>
      <c r="B786" s="3062" t="s">
        <v>3710</v>
      </c>
      <c r="C786" s="3062"/>
      <c r="D786" s="3062" t="s">
        <v>3723</v>
      </c>
      <c r="E786" s="3058">
        <v>12.72</v>
      </c>
      <c r="F786" s="3058">
        <v>100000</v>
      </c>
      <c r="G786" s="3059">
        <v>100000</v>
      </c>
      <c r="H786" s="3059" t="s">
        <v>3090</v>
      </c>
      <c r="I786" s="3058" t="s">
        <v>3054</v>
      </c>
    </row>
    <row r="787" spans="1:9">
      <c r="A787" s="3059">
        <v>997</v>
      </c>
      <c r="B787" s="3062" t="s">
        <v>3710</v>
      </c>
      <c r="C787" s="3062"/>
      <c r="D787" s="3062" t="s">
        <v>3722</v>
      </c>
      <c r="E787" s="3058">
        <v>13.78</v>
      </c>
      <c r="F787" s="3058">
        <v>100000</v>
      </c>
      <c r="G787" s="3059">
        <v>100000</v>
      </c>
      <c r="H787" s="3059" t="s">
        <v>3090</v>
      </c>
      <c r="I787" s="3058" t="s">
        <v>3054</v>
      </c>
    </row>
    <row r="788" spans="1:9">
      <c r="A788" s="3059">
        <v>998</v>
      </c>
      <c r="B788" s="3062" t="s">
        <v>3710</v>
      </c>
      <c r="C788" s="3062"/>
      <c r="D788" s="3062" t="s">
        <v>3721</v>
      </c>
      <c r="E788" s="3058">
        <v>13.78</v>
      </c>
      <c r="F788" s="3058">
        <v>100000</v>
      </c>
      <c r="G788" s="3059">
        <v>100000</v>
      </c>
      <c r="H788" s="3059" t="s">
        <v>3090</v>
      </c>
      <c r="I788" s="3058" t="s">
        <v>3054</v>
      </c>
    </row>
    <row r="789" spans="1:9">
      <c r="A789" s="3059">
        <v>999</v>
      </c>
      <c r="B789" s="3062" t="s">
        <v>3710</v>
      </c>
      <c r="C789" s="3062"/>
      <c r="D789" s="3062" t="s">
        <v>3720</v>
      </c>
      <c r="E789" s="3058">
        <v>12.72</v>
      </c>
      <c r="F789" s="3058">
        <v>100000</v>
      </c>
      <c r="G789" s="3059">
        <v>100000</v>
      </c>
      <c r="H789" s="3059" t="s">
        <v>3090</v>
      </c>
      <c r="I789" s="3058" t="s">
        <v>3054</v>
      </c>
    </row>
    <row r="790" spans="1:9">
      <c r="A790" s="3059">
        <v>1000</v>
      </c>
      <c r="B790" s="3062" t="s">
        <v>3710</v>
      </c>
      <c r="C790" s="3062"/>
      <c r="D790" s="3062" t="s">
        <v>3719</v>
      </c>
      <c r="E790" s="3058">
        <v>12.72</v>
      </c>
      <c r="F790" s="3058">
        <v>100000</v>
      </c>
      <c r="G790" s="3059">
        <v>100000</v>
      </c>
      <c r="H790" s="3059" t="s">
        <v>3090</v>
      </c>
      <c r="I790" s="3058" t="s">
        <v>3054</v>
      </c>
    </row>
    <row r="791" spans="1:9">
      <c r="A791" s="3059">
        <v>1001</v>
      </c>
      <c r="B791" s="3062" t="s">
        <v>3710</v>
      </c>
      <c r="C791" s="3062"/>
      <c r="D791" s="3062" t="s">
        <v>3718</v>
      </c>
      <c r="E791" s="3058">
        <v>12.72</v>
      </c>
      <c r="F791" s="3058">
        <v>100000</v>
      </c>
      <c r="G791" s="3059">
        <v>100000</v>
      </c>
      <c r="H791" s="3059" t="s">
        <v>3090</v>
      </c>
      <c r="I791" s="3058" t="s">
        <v>3054</v>
      </c>
    </row>
    <row r="792" spans="1:9">
      <c r="A792" s="3059">
        <v>1002</v>
      </c>
      <c r="B792" s="3062" t="s">
        <v>3710</v>
      </c>
      <c r="C792" s="3062"/>
      <c r="D792" s="3062" t="s">
        <v>3717</v>
      </c>
      <c r="E792" s="3058">
        <v>12.72</v>
      </c>
      <c r="F792" s="3058">
        <v>100000</v>
      </c>
      <c r="G792" s="3059">
        <v>100000</v>
      </c>
      <c r="H792" s="3059" t="s">
        <v>3090</v>
      </c>
      <c r="I792" s="3058" t="s">
        <v>3054</v>
      </c>
    </row>
    <row r="793" spans="1:9">
      <c r="A793" s="3059">
        <v>1003</v>
      </c>
      <c r="B793" s="3062" t="s">
        <v>3710</v>
      </c>
      <c r="C793" s="3062"/>
      <c r="D793" s="3062" t="s">
        <v>3716</v>
      </c>
      <c r="E793" s="3058">
        <v>12.72</v>
      </c>
      <c r="F793" s="3058">
        <v>100000</v>
      </c>
      <c r="G793" s="3059">
        <v>100000</v>
      </c>
      <c r="H793" s="3059" t="s">
        <v>3090</v>
      </c>
      <c r="I793" s="3058" t="s">
        <v>3054</v>
      </c>
    </row>
    <row r="794" spans="1:9">
      <c r="A794" s="3059">
        <v>1004</v>
      </c>
      <c r="B794" s="3062" t="s">
        <v>3710</v>
      </c>
      <c r="C794" s="3062"/>
      <c r="D794" s="3062" t="s">
        <v>3715</v>
      </c>
      <c r="E794" s="3058">
        <v>12.72</v>
      </c>
      <c r="F794" s="3058">
        <v>100000</v>
      </c>
      <c r="G794" s="3059">
        <v>100000</v>
      </c>
      <c r="H794" s="3059" t="s">
        <v>3090</v>
      </c>
      <c r="I794" s="3058" t="s">
        <v>3054</v>
      </c>
    </row>
    <row r="795" spans="1:9">
      <c r="A795" s="3059">
        <v>1005</v>
      </c>
      <c r="B795" s="3062" t="s">
        <v>3710</v>
      </c>
      <c r="C795" s="3062"/>
      <c r="D795" s="3062" t="s">
        <v>3714</v>
      </c>
      <c r="E795" s="3058">
        <v>12.72</v>
      </c>
      <c r="F795" s="3058">
        <v>100000</v>
      </c>
      <c r="G795" s="3059">
        <v>100000</v>
      </c>
      <c r="H795" s="3059" t="s">
        <v>3090</v>
      </c>
      <c r="I795" s="3058" t="s">
        <v>3054</v>
      </c>
    </row>
    <row r="796" spans="1:9">
      <c r="A796" s="3059">
        <v>1006</v>
      </c>
      <c r="B796" s="3062" t="s">
        <v>3710</v>
      </c>
      <c r="C796" s="3062"/>
      <c r="D796" s="3062" t="s">
        <v>3713</v>
      </c>
      <c r="E796" s="3058">
        <v>12.72</v>
      </c>
      <c r="F796" s="3058">
        <v>100000</v>
      </c>
      <c r="G796" s="3059">
        <v>100000</v>
      </c>
      <c r="H796" s="3059" t="s">
        <v>3090</v>
      </c>
      <c r="I796" s="3058" t="s">
        <v>3054</v>
      </c>
    </row>
    <row r="797" spans="1:9">
      <c r="A797" s="3059">
        <v>1007</v>
      </c>
      <c r="B797" s="3062" t="s">
        <v>3710</v>
      </c>
      <c r="C797" s="3062"/>
      <c r="D797" s="3062" t="s">
        <v>3712</v>
      </c>
      <c r="E797" s="3058">
        <v>12.72</v>
      </c>
      <c r="F797" s="3058">
        <v>100000</v>
      </c>
      <c r="G797" s="3059">
        <v>100000</v>
      </c>
      <c r="H797" s="3059" t="s">
        <v>3090</v>
      </c>
      <c r="I797" s="3058" t="s">
        <v>3054</v>
      </c>
    </row>
    <row r="798" spans="1:9">
      <c r="A798" s="3059">
        <v>1008</v>
      </c>
      <c r="B798" s="3062" t="s">
        <v>3710</v>
      </c>
      <c r="C798" s="3062"/>
      <c r="D798" s="3062" t="s">
        <v>3711</v>
      </c>
      <c r="E798" s="3058">
        <v>12.72</v>
      </c>
      <c r="F798" s="3058">
        <v>100000</v>
      </c>
      <c r="G798" s="3059">
        <v>100000</v>
      </c>
      <c r="H798" s="3059" t="s">
        <v>3090</v>
      </c>
      <c r="I798" s="3058" t="s">
        <v>3054</v>
      </c>
    </row>
    <row r="799" spans="1:9">
      <c r="A799" s="3059">
        <v>1009</v>
      </c>
      <c r="B799" s="3062" t="s">
        <v>3710</v>
      </c>
      <c r="C799" s="3062"/>
      <c r="D799" s="3062" t="s">
        <v>3709</v>
      </c>
      <c r="E799" s="3058">
        <v>12.72</v>
      </c>
      <c r="F799" s="3058">
        <v>100000</v>
      </c>
      <c r="G799" s="3059">
        <v>100000</v>
      </c>
      <c r="H799" s="3059" t="s">
        <v>3090</v>
      </c>
      <c r="I799" s="3058" t="s">
        <v>3054</v>
      </c>
    </row>
    <row r="800" spans="1:9">
      <c r="A800" s="3059">
        <v>1010</v>
      </c>
      <c r="B800" s="3062" t="s">
        <v>3291</v>
      </c>
      <c r="C800" s="3062"/>
      <c r="D800" s="3062" t="s">
        <v>3708</v>
      </c>
      <c r="E800" s="3058">
        <v>13.78</v>
      </c>
      <c r="F800" s="3058">
        <v>100000</v>
      </c>
      <c r="G800" s="3059">
        <v>100000</v>
      </c>
      <c r="H800" s="3059" t="s">
        <v>3090</v>
      </c>
      <c r="I800" s="3058" t="s">
        <v>3054</v>
      </c>
    </row>
    <row r="801" spans="1:9">
      <c r="A801" s="3059">
        <v>1011</v>
      </c>
      <c r="B801" s="3062" t="s">
        <v>3291</v>
      </c>
      <c r="C801" s="3062"/>
      <c r="D801" s="3062" t="s">
        <v>3707</v>
      </c>
      <c r="E801" s="3058">
        <v>12.72</v>
      </c>
      <c r="F801" s="3058">
        <v>100000</v>
      </c>
      <c r="G801" s="3059">
        <v>100000</v>
      </c>
      <c r="H801" s="3059" t="s">
        <v>3090</v>
      </c>
      <c r="I801" s="3058" t="s">
        <v>3054</v>
      </c>
    </row>
    <row r="802" spans="1:9">
      <c r="A802" s="3059">
        <v>1012</v>
      </c>
      <c r="B802" s="3062" t="s">
        <v>3291</v>
      </c>
      <c r="C802" s="3062"/>
      <c r="D802" s="3062" t="s">
        <v>3706</v>
      </c>
      <c r="E802" s="3058">
        <v>12.72</v>
      </c>
      <c r="F802" s="3058">
        <v>100000</v>
      </c>
      <c r="G802" s="3059">
        <v>100000</v>
      </c>
      <c r="H802" s="3059" t="s">
        <v>3090</v>
      </c>
      <c r="I802" s="3058" t="s">
        <v>3054</v>
      </c>
    </row>
    <row r="803" spans="1:9">
      <c r="A803" s="3059">
        <v>1013</v>
      </c>
      <c r="B803" s="3062" t="s">
        <v>3291</v>
      </c>
      <c r="C803" s="3062"/>
      <c r="D803" s="3062" t="s">
        <v>3705</v>
      </c>
      <c r="E803" s="3058">
        <v>12.72</v>
      </c>
      <c r="F803" s="3058">
        <v>100000</v>
      </c>
      <c r="G803" s="3059">
        <v>100000</v>
      </c>
      <c r="H803" s="3059" t="s">
        <v>3090</v>
      </c>
      <c r="I803" s="3058" t="s">
        <v>3054</v>
      </c>
    </row>
    <row r="804" spans="1:9">
      <c r="A804" s="3059">
        <v>1014</v>
      </c>
      <c r="B804" s="3062" t="s">
        <v>3291</v>
      </c>
      <c r="C804" s="3062"/>
      <c r="D804" s="3062" t="s">
        <v>3704</v>
      </c>
      <c r="E804" s="3058">
        <v>12.72</v>
      </c>
      <c r="F804" s="3058">
        <v>100000</v>
      </c>
      <c r="G804" s="3059">
        <v>100000</v>
      </c>
      <c r="H804" s="3059" t="s">
        <v>3090</v>
      </c>
      <c r="I804" s="3058" t="s">
        <v>3054</v>
      </c>
    </row>
    <row r="805" spans="1:9">
      <c r="A805" s="3059">
        <v>1015</v>
      </c>
      <c r="B805" s="3062" t="s">
        <v>3291</v>
      </c>
      <c r="C805" s="3062"/>
      <c r="D805" s="3062" t="s">
        <v>3703</v>
      </c>
      <c r="E805" s="3058">
        <v>12.72</v>
      </c>
      <c r="F805" s="3058">
        <v>100000</v>
      </c>
      <c r="G805" s="3059">
        <v>100000</v>
      </c>
      <c r="H805" s="3059" t="s">
        <v>3090</v>
      </c>
      <c r="I805" s="3058" t="s">
        <v>3054</v>
      </c>
    </row>
    <row r="806" spans="1:9">
      <c r="A806" s="3059">
        <v>1016</v>
      </c>
      <c r="B806" s="3062" t="s">
        <v>3291</v>
      </c>
      <c r="C806" s="3062"/>
      <c r="D806" s="3062" t="s">
        <v>3702</v>
      </c>
      <c r="E806" s="3058">
        <v>12.72</v>
      </c>
      <c r="F806" s="3058">
        <v>100000</v>
      </c>
      <c r="G806" s="3059">
        <v>100000</v>
      </c>
      <c r="H806" s="3059" t="s">
        <v>3090</v>
      </c>
      <c r="I806" s="3058" t="s">
        <v>3054</v>
      </c>
    </row>
    <row r="807" spans="1:9">
      <c r="A807" s="3059">
        <v>1017</v>
      </c>
      <c r="B807" s="3062" t="s">
        <v>3291</v>
      </c>
      <c r="C807" s="3062"/>
      <c r="D807" s="3062" t="s">
        <v>3701</v>
      </c>
      <c r="E807" s="3058">
        <v>12.72</v>
      </c>
      <c r="F807" s="3058">
        <v>100000</v>
      </c>
      <c r="G807" s="3059">
        <v>100000</v>
      </c>
      <c r="H807" s="3059" t="s">
        <v>3090</v>
      </c>
      <c r="I807" s="3058" t="s">
        <v>3054</v>
      </c>
    </row>
    <row r="808" spans="1:9">
      <c r="A808" s="3059">
        <v>1018</v>
      </c>
      <c r="B808" s="3062" t="s">
        <v>3291</v>
      </c>
      <c r="C808" s="3062"/>
      <c r="D808" s="3062" t="s">
        <v>3700</v>
      </c>
      <c r="E808" s="3058">
        <v>12.72</v>
      </c>
      <c r="F808" s="3058">
        <v>100000</v>
      </c>
      <c r="G808" s="3059">
        <v>100000</v>
      </c>
      <c r="H808" s="3059" t="s">
        <v>3090</v>
      </c>
      <c r="I808" s="3058" t="s">
        <v>3054</v>
      </c>
    </row>
    <row r="809" spans="1:9">
      <c r="A809" s="3059">
        <v>1019</v>
      </c>
      <c r="B809" s="3062" t="s">
        <v>3291</v>
      </c>
      <c r="C809" s="3062"/>
      <c r="D809" s="3062" t="s">
        <v>3699</v>
      </c>
      <c r="E809" s="3058">
        <v>12.72</v>
      </c>
      <c r="F809" s="3058">
        <v>100000</v>
      </c>
      <c r="G809" s="3059">
        <v>100000</v>
      </c>
      <c r="H809" s="3059" t="s">
        <v>3090</v>
      </c>
      <c r="I809" s="3058" t="s">
        <v>3054</v>
      </c>
    </row>
    <row r="810" spans="1:9">
      <c r="A810" s="3059">
        <v>1020</v>
      </c>
      <c r="B810" s="3062" t="s">
        <v>3291</v>
      </c>
      <c r="C810" s="3062"/>
      <c r="D810" s="3062" t="s">
        <v>3698</v>
      </c>
      <c r="E810" s="3058">
        <v>12.72</v>
      </c>
      <c r="F810" s="3058">
        <v>100000</v>
      </c>
      <c r="G810" s="3059">
        <v>100000</v>
      </c>
      <c r="H810" s="3059" t="s">
        <v>3090</v>
      </c>
      <c r="I810" s="3058" t="s">
        <v>3054</v>
      </c>
    </row>
    <row r="811" spans="1:9">
      <c r="A811" s="3059">
        <v>1021</v>
      </c>
      <c r="B811" s="3062" t="s">
        <v>3291</v>
      </c>
      <c r="C811" s="3062"/>
      <c r="D811" s="3062" t="s">
        <v>3697</v>
      </c>
      <c r="E811" s="3058">
        <v>12.72</v>
      </c>
      <c r="F811" s="3058">
        <v>100000</v>
      </c>
      <c r="G811" s="3059">
        <v>100000</v>
      </c>
      <c r="H811" s="3059" t="s">
        <v>3090</v>
      </c>
      <c r="I811" s="3058" t="s">
        <v>3054</v>
      </c>
    </row>
    <row r="812" spans="1:9">
      <c r="A812" s="3059">
        <v>1022</v>
      </c>
      <c r="B812" s="3062" t="s">
        <v>3291</v>
      </c>
      <c r="C812" s="3062"/>
      <c r="D812" s="3062" t="s">
        <v>3696</v>
      </c>
      <c r="E812" s="3058">
        <v>12.72</v>
      </c>
      <c r="F812" s="3058">
        <v>100000</v>
      </c>
      <c r="G812" s="3059">
        <v>100000</v>
      </c>
      <c r="H812" s="3059" t="s">
        <v>3090</v>
      </c>
      <c r="I812" s="3058" t="s">
        <v>3054</v>
      </c>
    </row>
    <row r="813" spans="1:9">
      <c r="A813" s="3059">
        <v>1023</v>
      </c>
      <c r="B813" s="3062" t="s">
        <v>3291</v>
      </c>
      <c r="C813" s="3062"/>
      <c r="D813" s="3062" t="s">
        <v>3695</v>
      </c>
      <c r="E813" s="3058">
        <v>12.72</v>
      </c>
      <c r="F813" s="3058">
        <v>100000</v>
      </c>
      <c r="G813" s="3059">
        <v>100000</v>
      </c>
      <c r="H813" s="3059" t="s">
        <v>3090</v>
      </c>
      <c r="I813" s="3058" t="s">
        <v>3054</v>
      </c>
    </row>
    <row r="814" spans="1:9">
      <c r="A814" s="3059">
        <v>1024</v>
      </c>
      <c r="B814" s="3062" t="s">
        <v>3291</v>
      </c>
      <c r="C814" s="3062"/>
      <c r="D814" s="3062" t="s">
        <v>3694</v>
      </c>
      <c r="E814" s="3058">
        <v>12.72</v>
      </c>
      <c r="F814" s="3058">
        <v>100000</v>
      </c>
      <c r="G814" s="3059">
        <v>100000</v>
      </c>
      <c r="H814" s="3059" t="s">
        <v>3090</v>
      </c>
      <c r="I814" s="3058" t="s">
        <v>3054</v>
      </c>
    </row>
    <row r="815" spans="1:9">
      <c r="A815" s="3059">
        <v>1025</v>
      </c>
      <c r="B815" s="3062" t="s">
        <v>3291</v>
      </c>
      <c r="C815" s="3062"/>
      <c r="D815" s="3062" t="s">
        <v>3693</v>
      </c>
      <c r="E815" s="3058">
        <v>12.72</v>
      </c>
      <c r="F815" s="3058">
        <v>100000</v>
      </c>
      <c r="G815" s="3059">
        <v>100000</v>
      </c>
      <c r="H815" s="3059" t="s">
        <v>3090</v>
      </c>
      <c r="I815" s="3058" t="s">
        <v>3054</v>
      </c>
    </row>
    <row r="816" spans="1:9">
      <c r="A816" s="3059">
        <v>1026</v>
      </c>
      <c r="B816" s="3062" t="s">
        <v>3291</v>
      </c>
      <c r="C816" s="3062"/>
      <c r="D816" s="3062" t="s">
        <v>3692</v>
      </c>
      <c r="E816" s="3058">
        <v>12.72</v>
      </c>
      <c r="F816" s="3058">
        <v>100000</v>
      </c>
      <c r="G816" s="3059">
        <v>100000</v>
      </c>
      <c r="H816" s="3059" t="s">
        <v>3090</v>
      </c>
      <c r="I816" s="3058" t="s">
        <v>3054</v>
      </c>
    </row>
    <row r="817" spans="1:9">
      <c r="A817" s="3059">
        <v>1027</v>
      </c>
      <c r="B817" s="3062" t="s">
        <v>3291</v>
      </c>
      <c r="C817" s="3062"/>
      <c r="D817" s="3062" t="s">
        <v>3691</v>
      </c>
      <c r="E817" s="3058">
        <v>12.72</v>
      </c>
      <c r="F817" s="3058">
        <v>100000</v>
      </c>
      <c r="G817" s="3059">
        <v>100000</v>
      </c>
      <c r="H817" s="3059" t="s">
        <v>3090</v>
      </c>
      <c r="I817" s="3058" t="s">
        <v>3054</v>
      </c>
    </row>
    <row r="818" spans="1:9">
      <c r="A818" s="3059">
        <v>1028</v>
      </c>
      <c r="B818" s="3062" t="s">
        <v>3291</v>
      </c>
      <c r="C818" s="3062"/>
      <c r="D818" s="3062" t="s">
        <v>3690</v>
      </c>
      <c r="E818" s="3058">
        <v>12.72</v>
      </c>
      <c r="F818" s="3058">
        <v>100000</v>
      </c>
      <c r="G818" s="3059">
        <v>100000</v>
      </c>
      <c r="H818" s="3059" t="s">
        <v>3090</v>
      </c>
      <c r="I818" s="3058" t="s">
        <v>3054</v>
      </c>
    </row>
    <row r="819" spans="1:9">
      <c r="A819" s="3059">
        <v>1029</v>
      </c>
      <c r="B819" s="3062" t="s">
        <v>3291</v>
      </c>
      <c r="C819" s="3062"/>
      <c r="D819" s="3062" t="s">
        <v>3689</v>
      </c>
      <c r="E819" s="3058">
        <v>12.72</v>
      </c>
      <c r="F819" s="3058">
        <v>100000</v>
      </c>
      <c r="G819" s="3059">
        <v>100000</v>
      </c>
      <c r="H819" s="3059" t="s">
        <v>3090</v>
      </c>
      <c r="I819" s="3058" t="s">
        <v>3054</v>
      </c>
    </row>
    <row r="820" spans="1:9">
      <c r="A820" s="3059">
        <v>1030</v>
      </c>
      <c r="B820" s="3062" t="s">
        <v>3291</v>
      </c>
      <c r="C820" s="3062"/>
      <c r="D820" s="3062" t="s">
        <v>3688</v>
      </c>
      <c r="E820" s="3058">
        <v>12.72</v>
      </c>
      <c r="F820" s="3058">
        <v>100000</v>
      </c>
      <c r="G820" s="3059">
        <v>100000</v>
      </c>
      <c r="H820" s="3059" t="s">
        <v>3090</v>
      </c>
      <c r="I820" s="3058" t="s">
        <v>3054</v>
      </c>
    </row>
    <row r="821" spans="1:9">
      <c r="A821" s="3059">
        <v>1031</v>
      </c>
      <c r="B821" s="3062" t="s">
        <v>3291</v>
      </c>
      <c r="C821" s="3062"/>
      <c r="D821" s="3062" t="s">
        <v>3687</v>
      </c>
      <c r="E821" s="3058">
        <v>12.72</v>
      </c>
      <c r="F821" s="3058">
        <v>100000</v>
      </c>
      <c r="G821" s="3059">
        <v>100000</v>
      </c>
      <c r="H821" s="3059" t="s">
        <v>3090</v>
      </c>
      <c r="I821" s="3058" t="s">
        <v>3054</v>
      </c>
    </row>
    <row r="822" spans="1:9">
      <c r="A822" s="3059">
        <v>1032</v>
      </c>
      <c r="B822" s="3062" t="s">
        <v>3291</v>
      </c>
      <c r="C822" s="3062"/>
      <c r="D822" s="3062" t="s">
        <v>3686</v>
      </c>
      <c r="E822" s="3058">
        <v>12.72</v>
      </c>
      <c r="F822" s="3058">
        <v>100000</v>
      </c>
      <c r="G822" s="3059">
        <v>100000</v>
      </c>
      <c r="H822" s="3059" t="s">
        <v>3090</v>
      </c>
      <c r="I822" s="3058" t="s">
        <v>3054</v>
      </c>
    </row>
    <row r="823" spans="1:9">
      <c r="A823" s="3059">
        <v>1033</v>
      </c>
      <c r="B823" s="3062" t="s">
        <v>3291</v>
      </c>
      <c r="C823" s="3062"/>
      <c r="D823" s="3062" t="s">
        <v>3685</v>
      </c>
      <c r="E823" s="3058">
        <v>12.72</v>
      </c>
      <c r="F823" s="3058">
        <v>100000</v>
      </c>
      <c r="G823" s="3059">
        <v>100000</v>
      </c>
      <c r="H823" s="3059" t="s">
        <v>3090</v>
      </c>
      <c r="I823" s="3058" t="s">
        <v>3054</v>
      </c>
    </row>
    <row r="824" spans="1:9">
      <c r="A824" s="3059">
        <v>1034</v>
      </c>
      <c r="B824" s="3062" t="s">
        <v>3291</v>
      </c>
      <c r="C824" s="3062"/>
      <c r="D824" s="3062" t="s">
        <v>3684</v>
      </c>
      <c r="E824" s="3058">
        <v>12.72</v>
      </c>
      <c r="F824" s="3058">
        <v>100000</v>
      </c>
      <c r="G824" s="3059">
        <v>100000</v>
      </c>
      <c r="H824" s="3059" t="s">
        <v>3090</v>
      </c>
      <c r="I824" s="3058" t="s">
        <v>3054</v>
      </c>
    </row>
    <row r="825" spans="1:9">
      <c r="A825" s="3059">
        <v>1035</v>
      </c>
      <c r="B825" s="3062" t="s">
        <v>3291</v>
      </c>
      <c r="C825" s="3062"/>
      <c r="D825" s="3062" t="s">
        <v>3683</v>
      </c>
      <c r="E825" s="3058">
        <v>12.72</v>
      </c>
      <c r="F825" s="3058">
        <v>100000</v>
      </c>
      <c r="G825" s="3059">
        <v>100000</v>
      </c>
      <c r="H825" s="3059" t="s">
        <v>3090</v>
      </c>
      <c r="I825" s="3058" t="s">
        <v>3054</v>
      </c>
    </row>
    <row r="826" spans="1:9">
      <c r="A826" s="3059">
        <v>1036</v>
      </c>
      <c r="B826" s="3062" t="s">
        <v>3291</v>
      </c>
      <c r="C826" s="3062"/>
      <c r="D826" s="3062" t="s">
        <v>3682</v>
      </c>
      <c r="E826" s="3058">
        <v>12.72</v>
      </c>
      <c r="F826" s="3058">
        <v>100000</v>
      </c>
      <c r="G826" s="3059">
        <v>100000</v>
      </c>
      <c r="H826" s="3059" t="s">
        <v>3090</v>
      </c>
      <c r="I826" s="3058" t="s">
        <v>3054</v>
      </c>
    </row>
    <row r="827" spans="1:9">
      <c r="A827" s="3059">
        <v>1037</v>
      </c>
      <c r="B827" s="3062" t="s">
        <v>3291</v>
      </c>
      <c r="C827" s="3062"/>
      <c r="D827" s="3062" t="s">
        <v>3681</v>
      </c>
      <c r="E827" s="3058">
        <v>12.72</v>
      </c>
      <c r="F827" s="3058">
        <v>100000</v>
      </c>
      <c r="G827" s="3059">
        <v>100000</v>
      </c>
      <c r="H827" s="3059" t="s">
        <v>3090</v>
      </c>
      <c r="I827" s="3058" t="s">
        <v>3054</v>
      </c>
    </row>
    <row r="828" spans="1:9">
      <c r="A828" s="3059">
        <v>1038</v>
      </c>
      <c r="B828" s="3062" t="s">
        <v>3291</v>
      </c>
      <c r="C828" s="3062"/>
      <c r="D828" s="3062" t="s">
        <v>3680</v>
      </c>
      <c r="E828" s="3058">
        <v>12.72</v>
      </c>
      <c r="F828" s="3058">
        <v>100000</v>
      </c>
      <c r="G828" s="3059">
        <v>100000</v>
      </c>
      <c r="H828" s="3059" t="s">
        <v>3090</v>
      </c>
      <c r="I828" s="3058" t="s">
        <v>3054</v>
      </c>
    </row>
    <row r="829" spans="1:9">
      <c r="A829" s="3059">
        <v>1039</v>
      </c>
      <c r="B829" s="3062" t="s">
        <v>3291</v>
      </c>
      <c r="C829" s="3062"/>
      <c r="D829" s="3062" t="s">
        <v>3679</v>
      </c>
      <c r="E829" s="3058">
        <v>12.72</v>
      </c>
      <c r="F829" s="3058">
        <v>100000</v>
      </c>
      <c r="G829" s="3059">
        <v>100000</v>
      </c>
      <c r="H829" s="3059" t="s">
        <v>3090</v>
      </c>
      <c r="I829" s="3058" t="s">
        <v>3054</v>
      </c>
    </row>
    <row r="830" spans="1:9">
      <c r="A830" s="3059">
        <v>1040</v>
      </c>
      <c r="B830" s="3062" t="s">
        <v>3291</v>
      </c>
      <c r="C830" s="3062"/>
      <c r="D830" s="3062" t="s">
        <v>3678</v>
      </c>
      <c r="E830" s="3058">
        <v>13.78</v>
      </c>
      <c r="F830" s="3058">
        <v>100000</v>
      </c>
      <c r="G830" s="3059">
        <v>100000</v>
      </c>
      <c r="H830" s="3059" t="s">
        <v>3090</v>
      </c>
      <c r="I830" s="3058" t="s">
        <v>3054</v>
      </c>
    </row>
    <row r="831" spans="1:9">
      <c r="A831" s="3059">
        <v>1041</v>
      </c>
      <c r="B831" s="3062" t="s">
        <v>3291</v>
      </c>
      <c r="C831" s="3062"/>
      <c r="D831" s="3062" t="s">
        <v>3677</v>
      </c>
      <c r="E831" s="3058">
        <v>13.78</v>
      </c>
      <c r="F831" s="3058">
        <v>100000</v>
      </c>
      <c r="G831" s="3059">
        <v>100000</v>
      </c>
      <c r="H831" s="3059" t="s">
        <v>3090</v>
      </c>
      <c r="I831" s="3058" t="s">
        <v>3054</v>
      </c>
    </row>
    <row r="832" spans="1:9">
      <c r="A832" s="3059">
        <v>1042</v>
      </c>
      <c r="B832" s="3062" t="s">
        <v>3291</v>
      </c>
      <c r="C832" s="3062"/>
      <c r="D832" s="3062" t="s">
        <v>3676</v>
      </c>
      <c r="E832" s="3058">
        <v>12.72</v>
      </c>
      <c r="F832" s="3058">
        <v>100000</v>
      </c>
      <c r="G832" s="3059">
        <v>100000</v>
      </c>
      <c r="H832" s="3059" t="s">
        <v>3090</v>
      </c>
      <c r="I832" s="3058" t="s">
        <v>3054</v>
      </c>
    </row>
    <row r="833" spans="1:9">
      <c r="A833" s="3059">
        <v>1043</v>
      </c>
      <c r="B833" s="3062" t="s">
        <v>3291</v>
      </c>
      <c r="C833" s="3062"/>
      <c r="D833" s="3062" t="s">
        <v>3675</v>
      </c>
      <c r="E833" s="3058">
        <v>12.72</v>
      </c>
      <c r="F833" s="3058">
        <v>100000</v>
      </c>
      <c r="G833" s="3059">
        <v>100000</v>
      </c>
      <c r="H833" s="3059" t="s">
        <v>3090</v>
      </c>
      <c r="I833" s="3058" t="s">
        <v>3054</v>
      </c>
    </row>
    <row r="834" spans="1:9">
      <c r="A834" s="3059">
        <v>1044</v>
      </c>
      <c r="B834" s="3062" t="s">
        <v>3291</v>
      </c>
      <c r="C834" s="3062"/>
      <c r="D834" s="3062" t="s">
        <v>3674</v>
      </c>
      <c r="E834" s="3058">
        <v>12.72</v>
      </c>
      <c r="F834" s="3058">
        <v>100000</v>
      </c>
      <c r="G834" s="3059">
        <v>100000</v>
      </c>
      <c r="H834" s="3059" t="s">
        <v>3090</v>
      </c>
      <c r="I834" s="3058" t="s">
        <v>3054</v>
      </c>
    </row>
    <row r="835" spans="1:9">
      <c r="A835" s="3059">
        <v>1045</v>
      </c>
      <c r="B835" s="3062" t="s">
        <v>3291</v>
      </c>
      <c r="C835" s="3062"/>
      <c r="D835" s="3062" t="s">
        <v>3673</v>
      </c>
      <c r="E835" s="3058">
        <v>12.72</v>
      </c>
      <c r="F835" s="3058">
        <v>100000</v>
      </c>
      <c r="G835" s="3059">
        <v>100000</v>
      </c>
      <c r="H835" s="3059" t="s">
        <v>3090</v>
      </c>
      <c r="I835" s="3058" t="s">
        <v>3054</v>
      </c>
    </row>
    <row r="836" spans="1:9">
      <c r="A836" s="3059">
        <v>1046</v>
      </c>
      <c r="B836" s="3062" t="s">
        <v>3291</v>
      </c>
      <c r="C836" s="3062"/>
      <c r="D836" s="3062" t="s">
        <v>3672</v>
      </c>
      <c r="E836" s="3058">
        <v>12.72</v>
      </c>
      <c r="F836" s="3058">
        <v>100000</v>
      </c>
      <c r="G836" s="3059">
        <v>100000</v>
      </c>
      <c r="H836" s="3059" t="s">
        <v>3090</v>
      </c>
      <c r="I836" s="3058" t="s">
        <v>3054</v>
      </c>
    </row>
    <row r="837" spans="1:9">
      <c r="A837" s="3059">
        <v>1047</v>
      </c>
      <c r="B837" s="3062" t="s">
        <v>3291</v>
      </c>
      <c r="C837" s="3062"/>
      <c r="D837" s="3062" t="s">
        <v>3671</v>
      </c>
      <c r="E837" s="3058">
        <v>12.72</v>
      </c>
      <c r="F837" s="3058">
        <v>100000</v>
      </c>
      <c r="G837" s="3059">
        <v>100000</v>
      </c>
      <c r="H837" s="3059" t="s">
        <v>3090</v>
      </c>
      <c r="I837" s="3058" t="s">
        <v>3054</v>
      </c>
    </row>
    <row r="838" spans="1:9">
      <c r="A838" s="3059">
        <v>1048</v>
      </c>
      <c r="B838" s="3062" t="s">
        <v>3291</v>
      </c>
      <c r="C838" s="3062"/>
      <c r="D838" s="3062" t="s">
        <v>3670</v>
      </c>
      <c r="E838" s="3058">
        <v>12.72</v>
      </c>
      <c r="F838" s="3058">
        <v>100000</v>
      </c>
      <c r="G838" s="3059">
        <v>100000</v>
      </c>
      <c r="H838" s="3059" t="s">
        <v>3090</v>
      </c>
      <c r="I838" s="3058" t="s">
        <v>3054</v>
      </c>
    </row>
    <row r="839" spans="1:9">
      <c r="A839" s="3059">
        <v>1049</v>
      </c>
      <c r="B839" s="3062" t="s">
        <v>3291</v>
      </c>
      <c r="C839" s="3062"/>
      <c r="D839" s="3062" t="s">
        <v>3669</v>
      </c>
      <c r="E839" s="3058">
        <v>12.72</v>
      </c>
      <c r="F839" s="3058">
        <v>100000</v>
      </c>
      <c r="G839" s="3059">
        <v>100000</v>
      </c>
      <c r="H839" s="3059" t="s">
        <v>3090</v>
      </c>
      <c r="I839" s="3058" t="s">
        <v>3054</v>
      </c>
    </row>
    <row r="840" spans="1:9">
      <c r="A840" s="3059">
        <v>1050</v>
      </c>
      <c r="B840" s="3062" t="s">
        <v>3291</v>
      </c>
      <c r="C840" s="3062"/>
      <c r="D840" s="3062" t="s">
        <v>3668</v>
      </c>
      <c r="E840" s="3058">
        <v>12.72</v>
      </c>
      <c r="F840" s="3058">
        <v>100000</v>
      </c>
      <c r="G840" s="3059">
        <v>100000</v>
      </c>
      <c r="H840" s="3059" t="s">
        <v>3090</v>
      </c>
      <c r="I840" s="3058" t="s">
        <v>3054</v>
      </c>
    </row>
    <row r="841" spans="1:9">
      <c r="A841" s="3059">
        <v>1051</v>
      </c>
      <c r="B841" s="3062" t="s">
        <v>3291</v>
      </c>
      <c r="C841" s="3062"/>
      <c r="D841" s="3062" t="s">
        <v>3667</v>
      </c>
      <c r="E841" s="3058">
        <v>12.72</v>
      </c>
      <c r="F841" s="3058">
        <v>100000</v>
      </c>
      <c r="G841" s="3059">
        <v>100000</v>
      </c>
      <c r="H841" s="3059" t="s">
        <v>3090</v>
      </c>
      <c r="I841" s="3058" t="s">
        <v>3054</v>
      </c>
    </row>
    <row r="842" spans="1:9">
      <c r="A842" s="3059">
        <v>1052</v>
      </c>
      <c r="B842" s="3062" t="s">
        <v>3291</v>
      </c>
      <c r="C842" s="3062"/>
      <c r="D842" s="3062" t="s">
        <v>3666</v>
      </c>
      <c r="E842" s="3058">
        <v>12.72</v>
      </c>
      <c r="F842" s="3058">
        <v>100000</v>
      </c>
      <c r="G842" s="3059">
        <v>100000</v>
      </c>
      <c r="H842" s="3059" t="s">
        <v>3090</v>
      </c>
      <c r="I842" s="3058" t="s">
        <v>3054</v>
      </c>
    </row>
    <row r="843" spans="1:9">
      <c r="A843" s="3059">
        <v>1053</v>
      </c>
      <c r="B843" s="3062" t="s">
        <v>3291</v>
      </c>
      <c r="C843" s="3062"/>
      <c r="D843" s="3062" t="s">
        <v>3665</v>
      </c>
      <c r="E843" s="3058">
        <v>12.72</v>
      </c>
      <c r="F843" s="3058">
        <v>100000</v>
      </c>
      <c r="G843" s="3059">
        <v>100000</v>
      </c>
      <c r="H843" s="3059" t="s">
        <v>3090</v>
      </c>
      <c r="I843" s="3058" t="s">
        <v>3054</v>
      </c>
    </row>
    <row r="844" spans="1:9">
      <c r="A844" s="3059">
        <v>1054</v>
      </c>
      <c r="B844" s="3062" t="s">
        <v>3291</v>
      </c>
      <c r="C844" s="3062"/>
      <c r="D844" s="3062" t="s">
        <v>3664</v>
      </c>
      <c r="E844" s="3058">
        <v>12.72</v>
      </c>
      <c r="F844" s="3058">
        <v>100000</v>
      </c>
      <c r="G844" s="3059">
        <v>100000</v>
      </c>
      <c r="H844" s="3059" t="s">
        <v>3090</v>
      </c>
      <c r="I844" s="3058" t="s">
        <v>3054</v>
      </c>
    </row>
    <row r="845" spans="1:9">
      <c r="A845" s="3059">
        <v>1055</v>
      </c>
      <c r="B845" s="3062" t="s">
        <v>3291</v>
      </c>
      <c r="C845" s="3062"/>
      <c r="D845" s="3062" t="s">
        <v>3663</v>
      </c>
      <c r="E845" s="3058">
        <v>12.72</v>
      </c>
      <c r="F845" s="3058">
        <v>100000</v>
      </c>
      <c r="G845" s="3059">
        <v>100000</v>
      </c>
      <c r="H845" s="3059" t="s">
        <v>3090</v>
      </c>
      <c r="I845" s="3058" t="s">
        <v>3054</v>
      </c>
    </row>
    <row r="846" spans="1:9">
      <c r="A846" s="3059">
        <v>1056</v>
      </c>
      <c r="B846" s="3062" t="s">
        <v>3291</v>
      </c>
      <c r="C846" s="3062"/>
      <c r="D846" s="3062" t="s">
        <v>3662</v>
      </c>
      <c r="E846" s="3058">
        <v>12.72</v>
      </c>
      <c r="F846" s="3058">
        <v>100000</v>
      </c>
      <c r="G846" s="3059">
        <v>100000</v>
      </c>
      <c r="H846" s="3059" t="s">
        <v>3090</v>
      </c>
      <c r="I846" s="3058" t="s">
        <v>3054</v>
      </c>
    </row>
    <row r="847" spans="1:9">
      <c r="A847" s="3059">
        <v>1057</v>
      </c>
      <c r="B847" s="3062" t="s">
        <v>3291</v>
      </c>
      <c r="C847" s="3062"/>
      <c r="D847" s="3062" t="s">
        <v>3661</v>
      </c>
      <c r="E847" s="3058">
        <v>12.72</v>
      </c>
      <c r="F847" s="3058">
        <v>100000</v>
      </c>
      <c r="G847" s="3059">
        <v>100000</v>
      </c>
      <c r="H847" s="3059" t="s">
        <v>3090</v>
      </c>
      <c r="I847" s="3058" t="s">
        <v>3054</v>
      </c>
    </row>
    <row r="848" spans="1:9">
      <c r="A848" s="3059">
        <v>1058</v>
      </c>
      <c r="B848" s="3062" t="s">
        <v>3291</v>
      </c>
      <c r="C848" s="3062"/>
      <c r="D848" s="3062" t="s">
        <v>3660</v>
      </c>
      <c r="E848" s="3058">
        <v>12.72</v>
      </c>
      <c r="F848" s="3058">
        <v>100000</v>
      </c>
      <c r="G848" s="3059">
        <v>100000</v>
      </c>
      <c r="H848" s="3059" t="s">
        <v>3090</v>
      </c>
      <c r="I848" s="3058" t="s">
        <v>3054</v>
      </c>
    </row>
    <row r="849" spans="1:9">
      <c r="A849" s="3059">
        <v>1059</v>
      </c>
      <c r="B849" s="3062" t="s">
        <v>3291</v>
      </c>
      <c r="C849" s="3062"/>
      <c r="D849" s="3062" t="s">
        <v>3659</v>
      </c>
      <c r="E849" s="3058">
        <v>12.72</v>
      </c>
      <c r="F849" s="3058">
        <v>100000</v>
      </c>
      <c r="G849" s="3059">
        <v>100000</v>
      </c>
      <c r="H849" s="3059" t="s">
        <v>3090</v>
      </c>
      <c r="I849" s="3058" t="s">
        <v>3054</v>
      </c>
    </row>
    <row r="850" spans="1:9">
      <c r="A850" s="3059">
        <v>1060</v>
      </c>
      <c r="B850" s="3062" t="s">
        <v>3291</v>
      </c>
      <c r="C850" s="3062"/>
      <c r="D850" s="3062" t="s">
        <v>3658</v>
      </c>
      <c r="E850" s="3058">
        <v>12.72</v>
      </c>
      <c r="F850" s="3058">
        <v>100000</v>
      </c>
      <c r="G850" s="3059">
        <v>100000</v>
      </c>
      <c r="H850" s="3059" t="s">
        <v>3090</v>
      </c>
      <c r="I850" s="3058" t="s">
        <v>3054</v>
      </c>
    </row>
    <row r="851" spans="1:9">
      <c r="A851" s="3059">
        <v>1061</v>
      </c>
      <c r="B851" s="3062" t="s">
        <v>3291</v>
      </c>
      <c r="C851" s="3062"/>
      <c r="D851" s="3062" t="s">
        <v>3657</v>
      </c>
      <c r="E851" s="3058">
        <v>12.72</v>
      </c>
      <c r="F851" s="3058">
        <v>100000</v>
      </c>
      <c r="G851" s="3059">
        <v>100000</v>
      </c>
      <c r="H851" s="3059" t="s">
        <v>3090</v>
      </c>
      <c r="I851" s="3058" t="s">
        <v>3054</v>
      </c>
    </row>
    <row r="852" spans="1:9">
      <c r="A852" s="3059">
        <v>1062</v>
      </c>
      <c r="B852" s="3062" t="s">
        <v>3291</v>
      </c>
      <c r="C852" s="3062"/>
      <c r="D852" s="3062" t="s">
        <v>3656</v>
      </c>
      <c r="E852" s="3058">
        <v>12.72</v>
      </c>
      <c r="F852" s="3058">
        <v>100000</v>
      </c>
      <c r="G852" s="3059">
        <v>100000</v>
      </c>
      <c r="H852" s="3059" t="s">
        <v>3090</v>
      </c>
      <c r="I852" s="3058" t="s">
        <v>3054</v>
      </c>
    </row>
    <row r="853" spans="1:9">
      <c r="A853" s="3059">
        <v>1063</v>
      </c>
      <c r="B853" s="3062" t="s">
        <v>3291</v>
      </c>
      <c r="C853" s="3062"/>
      <c r="D853" s="3062" t="s">
        <v>3655</v>
      </c>
      <c r="E853" s="3058">
        <v>12.72</v>
      </c>
      <c r="F853" s="3058">
        <v>100000</v>
      </c>
      <c r="G853" s="3059">
        <v>100000</v>
      </c>
      <c r="H853" s="3059" t="s">
        <v>3090</v>
      </c>
      <c r="I853" s="3058" t="s">
        <v>3054</v>
      </c>
    </row>
    <row r="854" spans="1:9">
      <c r="A854" s="3059">
        <v>1064</v>
      </c>
      <c r="B854" s="3062" t="s">
        <v>3291</v>
      </c>
      <c r="C854" s="3062"/>
      <c r="D854" s="3062" t="s">
        <v>3654</v>
      </c>
      <c r="E854" s="3058">
        <v>12.72</v>
      </c>
      <c r="F854" s="3058">
        <v>100000</v>
      </c>
      <c r="G854" s="3059">
        <v>100000</v>
      </c>
      <c r="H854" s="3059" t="s">
        <v>3090</v>
      </c>
      <c r="I854" s="3058" t="s">
        <v>3054</v>
      </c>
    </row>
    <row r="855" spans="1:9">
      <c r="A855" s="3059">
        <v>1065</v>
      </c>
      <c r="B855" s="3062" t="s">
        <v>3291</v>
      </c>
      <c r="C855" s="3062"/>
      <c r="D855" s="3062" t="s">
        <v>3653</v>
      </c>
      <c r="E855" s="3058">
        <v>12.72</v>
      </c>
      <c r="F855" s="3058">
        <v>100000</v>
      </c>
      <c r="G855" s="3059">
        <v>100000</v>
      </c>
      <c r="H855" s="3059" t="s">
        <v>3090</v>
      </c>
      <c r="I855" s="3058" t="s">
        <v>3054</v>
      </c>
    </row>
    <row r="856" spans="1:9">
      <c r="A856" s="3059">
        <v>1066</v>
      </c>
      <c r="B856" s="3062" t="s">
        <v>3291</v>
      </c>
      <c r="C856" s="3062"/>
      <c r="D856" s="3062" t="s">
        <v>3652</v>
      </c>
      <c r="E856" s="3058">
        <v>12.72</v>
      </c>
      <c r="F856" s="3058">
        <v>100000</v>
      </c>
      <c r="G856" s="3059">
        <v>100000</v>
      </c>
      <c r="H856" s="3059" t="s">
        <v>3090</v>
      </c>
      <c r="I856" s="3058" t="s">
        <v>3054</v>
      </c>
    </row>
    <row r="857" spans="1:9">
      <c r="A857" s="3059">
        <v>1067</v>
      </c>
      <c r="B857" s="3062" t="s">
        <v>3291</v>
      </c>
      <c r="C857" s="3062"/>
      <c r="D857" s="3062" t="s">
        <v>3651</v>
      </c>
      <c r="E857" s="3058">
        <v>12.72</v>
      </c>
      <c r="F857" s="3058">
        <v>100000</v>
      </c>
      <c r="G857" s="3059">
        <v>100000</v>
      </c>
      <c r="H857" s="3059" t="s">
        <v>3090</v>
      </c>
      <c r="I857" s="3058" t="s">
        <v>3054</v>
      </c>
    </row>
    <row r="858" spans="1:9">
      <c r="A858" s="3059">
        <v>1068</v>
      </c>
      <c r="B858" s="3062" t="s">
        <v>3291</v>
      </c>
      <c r="C858" s="3062"/>
      <c r="D858" s="3062" t="s">
        <v>3650</v>
      </c>
      <c r="E858" s="3058">
        <v>12.72</v>
      </c>
      <c r="F858" s="3058">
        <v>100000</v>
      </c>
      <c r="G858" s="3059">
        <v>100000</v>
      </c>
      <c r="H858" s="3059" t="s">
        <v>3090</v>
      </c>
      <c r="I858" s="3058" t="s">
        <v>3054</v>
      </c>
    </row>
    <row r="859" spans="1:9">
      <c r="A859" s="3059">
        <v>1069</v>
      </c>
      <c r="B859" s="3062" t="s">
        <v>3291</v>
      </c>
      <c r="C859" s="3062"/>
      <c r="D859" s="3062" t="s">
        <v>3649</v>
      </c>
      <c r="E859" s="3058">
        <v>12.72</v>
      </c>
      <c r="F859" s="3058">
        <v>100000</v>
      </c>
      <c r="G859" s="3059">
        <v>100000</v>
      </c>
      <c r="H859" s="3059" t="s">
        <v>3090</v>
      </c>
      <c r="I859" s="3058" t="s">
        <v>3054</v>
      </c>
    </row>
    <row r="860" spans="1:9">
      <c r="A860" s="3059">
        <v>1070</v>
      </c>
      <c r="B860" s="3062" t="s">
        <v>3291</v>
      </c>
      <c r="C860" s="3062"/>
      <c r="D860" s="3062" t="s">
        <v>3648</v>
      </c>
      <c r="E860" s="3058">
        <v>12.72</v>
      </c>
      <c r="F860" s="3058">
        <v>100000</v>
      </c>
      <c r="G860" s="3059">
        <v>100000</v>
      </c>
      <c r="H860" s="3059" t="s">
        <v>3090</v>
      </c>
      <c r="I860" s="3058" t="s">
        <v>3054</v>
      </c>
    </row>
    <row r="861" spans="1:9">
      <c r="A861" s="3059">
        <v>1071</v>
      </c>
      <c r="B861" s="3062" t="s">
        <v>3291</v>
      </c>
      <c r="C861" s="3062"/>
      <c r="D861" s="3062" t="s">
        <v>3647</v>
      </c>
      <c r="E861" s="3058">
        <v>12.72</v>
      </c>
      <c r="F861" s="3058">
        <v>100000</v>
      </c>
      <c r="G861" s="3059">
        <v>100000</v>
      </c>
      <c r="H861" s="3059" t="s">
        <v>3090</v>
      </c>
      <c r="I861" s="3058" t="s">
        <v>3054</v>
      </c>
    </row>
    <row r="862" spans="1:9">
      <c r="A862" s="3059">
        <v>1072</v>
      </c>
      <c r="B862" s="3062" t="s">
        <v>3291</v>
      </c>
      <c r="C862" s="3062"/>
      <c r="D862" s="3062" t="s">
        <v>3646</v>
      </c>
      <c r="E862" s="3058">
        <v>12.72</v>
      </c>
      <c r="F862" s="3058">
        <v>100000</v>
      </c>
      <c r="G862" s="3059">
        <v>100000</v>
      </c>
      <c r="H862" s="3059" t="s">
        <v>3090</v>
      </c>
      <c r="I862" s="3058" t="s">
        <v>3054</v>
      </c>
    </row>
    <row r="863" spans="1:9">
      <c r="A863" s="3059">
        <v>1073</v>
      </c>
      <c r="B863" s="3062" t="s">
        <v>3291</v>
      </c>
      <c r="C863" s="3062"/>
      <c r="D863" s="3062" t="s">
        <v>3645</v>
      </c>
      <c r="E863" s="3058">
        <v>12.72</v>
      </c>
      <c r="F863" s="3058">
        <v>100000</v>
      </c>
      <c r="G863" s="3059">
        <v>100000</v>
      </c>
      <c r="H863" s="3059" t="s">
        <v>3090</v>
      </c>
      <c r="I863" s="3058" t="s">
        <v>3054</v>
      </c>
    </row>
    <row r="864" spans="1:9">
      <c r="A864" s="3059">
        <v>1074</v>
      </c>
      <c r="B864" s="3062" t="s">
        <v>3291</v>
      </c>
      <c r="C864" s="3062"/>
      <c r="D864" s="3062" t="s">
        <v>3644</v>
      </c>
      <c r="E864" s="3058">
        <v>12.72</v>
      </c>
      <c r="F864" s="3058">
        <v>100000</v>
      </c>
      <c r="G864" s="3059">
        <v>100000</v>
      </c>
      <c r="H864" s="3059" t="s">
        <v>3090</v>
      </c>
      <c r="I864" s="3058" t="s">
        <v>3054</v>
      </c>
    </row>
    <row r="865" spans="1:9">
      <c r="A865" s="3059">
        <v>1075</v>
      </c>
      <c r="B865" s="3062" t="s">
        <v>3291</v>
      </c>
      <c r="C865" s="3062"/>
      <c r="D865" s="3062" t="s">
        <v>3643</v>
      </c>
      <c r="E865" s="3058">
        <v>12.72</v>
      </c>
      <c r="F865" s="3058">
        <v>100000</v>
      </c>
      <c r="G865" s="3059">
        <v>100000</v>
      </c>
      <c r="H865" s="3059" t="s">
        <v>3090</v>
      </c>
      <c r="I865" s="3058" t="s">
        <v>3054</v>
      </c>
    </row>
    <row r="866" spans="1:9">
      <c r="A866" s="3059">
        <v>1076</v>
      </c>
      <c r="B866" s="3062" t="s">
        <v>3291</v>
      </c>
      <c r="C866" s="3062"/>
      <c r="D866" s="3062" t="s">
        <v>3642</v>
      </c>
      <c r="E866" s="3058">
        <v>12.72</v>
      </c>
      <c r="F866" s="3058">
        <v>100000</v>
      </c>
      <c r="G866" s="3059">
        <v>100000</v>
      </c>
      <c r="H866" s="3059" t="s">
        <v>3090</v>
      </c>
      <c r="I866" s="3058" t="s">
        <v>3054</v>
      </c>
    </row>
    <row r="867" spans="1:9">
      <c r="A867" s="3059">
        <v>1077</v>
      </c>
      <c r="B867" s="3062" t="s">
        <v>3291</v>
      </c>
      <c r="C867" s="3062"/>
      <c r="D867" s="3062" t="s">
        <v>3641</v>
      </c>
      <c r="E867" s="3058">
        <v>12.72</v>
      </c>
      <c r="F867" s="3058">
        <v>100000</v>
      </c>
      <c r="G867" s="3059">
        <v>100000</v>
      </c>
      <c r="H867" s="3059" t="s">
        <v>3090</v>
      </c>
      <c r="I867" s="3058" t="s">
        <v>3054</v>
      </c>
    </row>
    <row r="868" spans="1:9">
      <c r="A868" s="3059">
        <v>1078</v>
      </c>
      <c r="B868" s="3062" t="s">
        <v>3291</v>
      </c>
      <c r="C868" s="3062"/>
      <c r="D868" s="3062" t="s">
        <v>3640</v>
      </c>
      <c r="E868" s="3058">
        <v>12.72</v>
      </c>
      <c r="F868" s="3058">
        <v>100000</v>
      </c>
      <c r="G868" s="3059">
        <v>100000</v>
      </c>
      <c r="H868" s="3059" t="s">
        <v>3090</v>
      </c>
      <c r="I868" s="3058" t="s">
        <v>3054</v>
      </c>
    </row>
    <row r="869" spans="1:9">
      <c r="A869" s="3059">
        <v>1079</v>
      </c>
      <c r="B869" s="3062" t="s">
        <v>3291</v>
      </c>
      <c r="C869" s="3062"/>
      <c r="D869" s="3062" t="s">
        <v>3639</v>
      </c>
      <c r="E869" s="3058">
        <v>12.72</v>
      </c>
      <c r="F869" s="3058">
        <v>100000</v>
      </c>
      <c r="G869" s="3059">
        <v>100000</v>
      </c>
      <c r="H869" s="3059" t="s">
        <v>3090</v>
      </c>
      <c r="I869" s="3058" t="s">
        <v>3054</v>
      </c>
    </row>
    <row r="870" spans="1:9">
      <c r="A870" s="3059">
        <v>1080</v>
      </c>
      <c r="B870" s="3062" t="s">
        <v>3291</v>
      </c>
      <c r="C870" s="3062"/>
      <c r="D870" s="3062" t="s">
        <v>3638</v>
      </c>
      <c r="E870" s="3058">
        <v>12.72</v>
      </c>
      <c r="F870" s="3058">
        <v>100000</v>
      </c>
      <c r="G870" s="3059">
        <v>100000</v>
      </c>
      <c r="H870" s="3059" t="s">
        <v>3090</v>
      </c>
      <c r="I870" s="3058" t="s">
        <v>3054</v>
      </c>
    </row>
    <row r="871" spans="1:9">
      <c r="A871" s="3059">
        <v>1081</v>
      </c>
      <c r="B871" s="3062" t="s">
        <v>3291</v>
      </c>
      <c r="C871" s="3062"/>
      <c r="D871" s="3062" t="s">
        <v>3637</v>
      </c>
      <c r="E871" s="3058">
        <v>12.72</v>
      </c>
      <c r="F871" s="3058">
        <v>100000</v>
      </c>
      <c r="G871" s="3059">
        <v>100000</v>
      </c>
      <c r="H871" s="3059" t="s">
        <v>3090</v>
      </c>
      <c r="I871" s="3058" t="s">
        <v>3054</v>
      </c>
    </row>
    <row r="872" spans="1:9">
      <c r="A872" s="3059">
        <v>1082</v>
      </c>
      <c r="B872" s="3062" t="s">
        <v>3291</v>
      </c>
      <c r="C872" s="3062"/>
      <c r="D872" s="3062" t="s">
        <v>3636</v>
      </c>
      <c r="E872" s="3058">
        <v>13.78</v>
      </c>
      <c r="F872" s="3058">
        <v>100000</v>
      </c>
      <c r="G872" s="3059">
        <v>100000</v>
      </c>
      <c r="H872" s="3059" t="s">
        <v>3090</v>
      </c>
      <c r="I872" s="3058" t="s">
        <v>3054</v>
      </c>
    </row>
    <row r="873" spans="1:9">
      <c r="A873" s="3059">
        <v>1083</v>
      </c>
      <c r="B873" s="3062" t="s">
        <v>3291</v>
      </c>
      <c r="C873" s="3062"/>
      <c r="D873" s="3062" t="s">
        <v>3635</v>
      </c>
      <c r="E873" s="3058">
        <v>13.78</v>
      </c>
      <c r="F873" s="3058">
        <v>100000</v>
      </c>
      <c r="G873" s="3059">
        <v>100000</v>
      </c>
      <c r="H873" s="3059" t="s">
        <v>3090</v>
      </c>
      <c r="I873" s="3058" t="s">
        <v>3054</v>
      </c>
    </row>
    <row r="874" spans="1:9">
      <c r="A874" s="3059">
        <v>1084</v>
      </c>
      <c r="B874" s="3062" t="s">
        <v>3291</v>
      </c>
      <c r="C874" s="3062"/>
      <c r="D874" s="3062" t="s">
        <v>3634</v>
      </c>
      <c r="E874" s="3058">
        <v>12.72</v>
      </c>
      <c r="F874" s="3058">
        <v>100000</v>
      </c>
      <c r="G874" s="3059">
        <v>100000</v>
      </c>
      <c r="H874" s="3059" t="s">
        <v>3090</v>
      </c>
      <c r="I874" s="3058" t="s">
        <v>3054</v>
      </c>
    </row>
    <row r="875" spans="1:9">
      <c r="A875" s="3059">
        <v>1085</v>
      </c>
      <c r="B875" s="3062" t="s">
        <v>3291</v>
      </c>
      <c r="C875" s="3062"/>
      <c r="D875" s="3062" t="s">
        <v>3633</v>
      </c>
      <c r="E875" s="3058">
        <v>12.72</v>
      </c>
      <c r="F875" s="3058">
        <v>100000</v>
      </c>
      <c r="G875" s="3059">
        <v>100000</v>
      </c>
      <c r="H875" s="3059" t="s">
        <v>3090</v>
      </c>
      <c r="I875" s="3058" t="s">
        <v>3054</v>
      </c>
    </row>
    <row r="876" spans="1:9">
      <c r="A876" s="3059">
        <v>1086</v>
      </c>
      <c r="B876" s="3062" t="s">
        <v>3291</v>
      </c>
      <c r="C876" s="3062"/>
      <c r="D876" s="3062" t="s">
        <v>3632</v>
      </c>
      <c r="E876" s="3058">
        <v>12.72</v>
      </c>
      <c r="F876" s="3058">
        <v>100000</v>
      </c>
      <c r="G876" s="3059">
        <v>100000</v>
      </c>
      <c r="H876" s="3059" t="s">
        <v>3090</v>
      </c>
      <c r="I876" s="3058" t="s">
        <v>3054</v>
      </c>
    </row>
    <row r="877" spans="1:9">
      <c r="A877" s="3059">
        <v>1087</v>
      </c>
      <c r="B877" s="3062" t="s">
        <v>3291</v>
      </c>
      <c r="C877" s="3062"/>
      <c r="D877" s="3062" t="s">
        <v>3631</v>
      </c>
      <c r="E877" s="3058">
        <v>12.72</v>
      </c>
      <c r="F877" s="3058">
        <v>100000</v>
      </c>
      <c r="G877" s="3059">
        <v>100000</v>
      </c>
      <c r="H877" s="3059" t="s">
        <v>3090</v>
      </c>
      <c r="I877" s="3058" t="s">
        <v>3054</v>
      </c>
    </row>
    <row r="878" spans="1:9">
      <c r="A878" s="3059">
        <v>1088</v>
      </c>
      <c r="B878" s="3062" t="s">
        <v>3291</v>
      </c>
      <c r="C878" s="3062"/>
      <c r="D878" s="3062" t="s">
        <v>3630</v>
      </c>
      <c r="E878" s="3058">
        <v>12.72</v>
      </c>
      <c r="F878" s="3058">
        <v>100000</v>
      </c>
      <c r="G878" s="3059">
        <v>100000</v>
      </c>
      <c r="H878" s="3059" t="s">
        <v>3090</v>
      </c>
      <c r="I878" s="3058" t="s">
        <v>3054</v>
      </c>
    </row>
    <row r="879" spans="1:9">
      <c r="A879" s="3059">
        <v>1089</v>
      </c>
      <c r="B879" s="3062" t="s">
        <v>3291</v>
      </c>
      <c r="C879" s="3062"/>
      <c r="D879" s="3062" t="s">
        <v>3629</v>
      </c>
      <c r="E879" s="3058">
        <v>12.72</v>
      </c>
      <c r="F879" s="3058">
        <v>100000</v>
      </c>
      <c r="G879" s="3059">
        <v>100000</v>
      </c>
      <c r="H879" s="3059" t="s">
        <v>3090</v>
      </c>
      <c r="I879" s="3058" t="s">
        <v>3054</v>
      </c>
    </row>
    <row r="880" spans="1:9">
      <c r="A880" s="3059">
        <v>1090</v>
      </c>
      <c r="B880" s="3062" t="s">
        <v>3291</v>
      </c>
      <c r="C880" s="3062"/>
      <c r="D880" s="3062" t="s">
        <v>3628</v>
      </c>
      <c r="E880" s="3058">
        <v>12.72</v>
      </c>
      <c r="F880" s="3058">
        <v>100000</v>
      </c>
      <c r="G880" s="3059">
        <v>100000</v>
      </c>
      <c r="H880" s="3059" t="s">
        <v>3090</v>
      </c>
      <c r="I880" s="3058" t="s">
        <v>3054</v>
      </c>
    </row>
    <row r="881" spans="1:9">
      <c r="A881" s="3059">
        <v>1091</v>
      </c>
      <c r="B881" s="3062" t="s">
        <v>3291</v>
      </c>
      <c r="C881" s="3062"/>
      <c r="D881" s="3062" t="s">
        <v>3627</v>
      </c>
      <c r="E881" s="3058">
        <v>12.72</v>
      </c>
      <c r="F881" s="3058">
        <v>100000</v>
      </c>
      <c r="G881" s="3059">
        <v>100000</v>
      </c>
      <c r="H881" s="3059" t="s">
        <v>3090</v>
      </c>
      <c r="I881" s="3058" t="s">
        <v>3054</v>
      </c>
    </row>
    <row r="882" spans="1:9">
      <c r="A882" s="3059">
        <v>1092</v>
      </c>
      <c r="B882" s="3062" t="s">
        <v>3291</v>
      </c>
      <c r="C882" s="3062"/>
      <c r="D882" s="3062" t="s">
        <v>3626</v>
      </c>
      <c r="E882" s="3058">
        <v>12.72</v>
      </c>
      <c r="F882" s="3058">
        <v>100000</v>
      </c>
      <c r="G882" s="3059">
        <v>100000</v>
      </c>
      <c r="H882" s="3059" t="s">
        <v>3090</v>
      </c>
      <c r="I882" s="3058" t="s">
        <v>3054</v>
      </c>
    </row>
    <row r="883" spans="1:9">
      <c r="A883" s="3059">
        <v>1093</v>
      </c>
      <c r="B883" s="3062" t="s">
        <v>3291</v>
      </c>
      <c r="C883" s="3062"/>
      <c r="D883" s="3062" t="s">
        <v>3625</v>
      </c>
      <c r="E883" s="3058">
        <v>12.72</v>
      </c>
      <c r="F883" s="3058">
        <v>100000</v>
      </c>
      <c r="G883" s="3059">
        <v>100000</v>
      </c>
      <c r="H883" s="3059" t="s">
        <v>3090</v>
      </c>
      <c r="I883" s="3058" t="s">
        <v>3054</v>
      </c>
    </row>
    <row r="884" spans="1:9">
      <c r="A884" s="3059">
        <v>1094</v>
      </c>
      <c r="B884" s="3062" t="s">
        <v>3291</v>
      </c>
      <c r="C884" s="3062"/>
      <c r="D884" s="3062" t="s">
        <v>3624</v>
      </c>
      <c r="E884" s="3058">
        <v>12.72</v>
      </c>
      <c r="F884" s="3058">
        <v>100000</v>
      </c>
      <c r="G884" s="3059">
        <v>100000</v>
      </c>
      <c r="H884" s="3059" t="s">
        <v>3090</v>
      </c>
      <c r="I884" s="3058" t="s">
        <v>3054</v>
      </c>
    </row>
    <row r="885" spans="1:9">
      <c r="A885" s="3059">
        <v>1095</v>
      </c>
      <c r="B885" s="3062" t="s">
        <v>3291</v>
      </c>
      <c r="C885" s="3062"/>
      <c r="D885" s="3062" t="s">
        <v>3623</v>
      </c>
      <c r="E885" s="3058">
        <v>12.72</v>
      </c>
      <c r="F885" s="3058">
        <v>100000</v>
      </c>
      <c r="G885" s="3059">
        <v>100000</v>
      </c>
      <c r="H885" s="3059" t="s">
        <v>3090</v>
      </c>
      <c r="I885" s="3058" t="s">
        <v>3054</v>
      </c>
    </row>
    <row r="886" spans="1:9">
      <c r="A886" s="3059">
        <v>1096</v>
      </c>
      <c r="B886" s="3062" t="s">
        <v>3291</v>
      </c>
      <c r="C886" s="3062"/>
      <c r="D886" s="3062" t="s">
        <v>3622</v>
      </c>
      <c r="E886" s="3058">
        <v>12.72</v>
      </c>
      <c r="F886" s="3058">
        <v>100000</v>
      </c>
      <c r="G886" s="3059">
        <v>100000</v>
      </c>
      <c r="H886" s="3059" t="s">
        <v>3090</v>
      </c>
      <c r="I886" s="3058" t="s">
        <v>3054</v>
      </c>
    </row>
    <row r="887" spans="1:9">
      <c r="A887" s="3059">
        <v>1097</v>
      </c>
      <c r="B887" s="3062" t="s">
        <v>3291</v>
      </c>
      <c r="C887" s="3062"/>
      <c r="D887" s="3062" t="s">
        <v>3621</v>
      </c>
      <c r="E887" s="3058">
        <v>12.72</v>
      </c>
      <c r="F887" s="3058">
        <v>100000</v>
      </c>
      <c r="G887" s="3059">
        <v>100000</v>
      </c>
      <c r="H887" s="3059" t="s">
        <v>3090</v>
      </c>
      <c r="I887" s="3058" t="s">
        <v>3054</v>
      </c>
    </row>
    <row r="888" spans="1:9">
      <c r="A888" s="3059">
        <v>1098</v>
      </c>
      <c r="B888" s="3062" t="s">
        <v>3291</v>
      </c>
      <c r="C888" s="3062"/>
      <c r="D888" s="3062" t="s">
        <v>3620</v>
      </c>
      <c r="E888" s="3058">
        <v>12.72</v>
      </c>
      <c r="F888" s="3058">
        <v>100000</v>
      </c>
      <c r="G888" s="3059">
        <v>100000</v>
      </c>
      <c r="H888" s="3059" t="s">
        <v>3090</v>
      </c>
      <c r="I888" s="3058" t="s">
        <v>3054</v>
      </c>
    </row>
    <row r="889" spans="1:9">
      <c r="A889" s="3059">
        <v>1099</v>
      </c>
      <c r="B889" s="3062" t="s">
        <v>3291</v>
      </c>
      <c r="C889" s="3062"/>
      <c r="D889" s="3062" t="s">
        <v>3619</v>
      </c>
      <c r="E889" s="3058">
        <v>12.72</v>
      </c>
      <c r="F889" s="3058">
        <v>100000</v>
      </c>
      <c r="G889" s="3059">
        <v>100000</v>
      </c>
      <c r="H889" s="3059" t="s">
        <v>3090</v>
      </c>
      <c r="I889" s="3058" t="s">
        <v>3054</v>
      </c>
    </row>
    <row r="890" spans="1:9">
      <c r="A890" s="3059">
        <v>1100</v>
      </c>
      <c r="B890" s="3062" t="s">
        <v>3291</v>
      </c>
      <c r="C890" s="3062"/>
      <c r="D890" s="3062" t="s">
        <v>3618</v>
      </c>
      <c r="E890" s="3058">
        <v>12.72</v>
      </c>
      <c r="F890" s="3058">
        <v>100000</v>
      </c>
      <c r="G890" s="3059">
        <v>100000</v>
      </c>
      <c r="H890" s="3059" t="s">
        <v>3090</v>
      </c>
      <c r="I890" s="3058" t="s">
        <v>3054</v>
      </c>
    </row>
    <row r="891" spans="1:9">
      <c r="A891" s="3059">
        <v>1101</v>
      </c>
      <c r="B891" s="3062" t="s">
        <v>3291</v>
      </c>
      <c r="C891" s="3062"/>
      <c r="D891" s="3062" t="s">
        <v>3617</v>
      </c>
      <c r="E891" s="3058">
        <v>12.72</v>
      </c>
      <c r="F891" s="3058">
        <v>100000</v>
      </c>
      <c r="G891" s="3059">
        <v>100000</v>
      </c>
      <c r="H891" s="3059" t="s">
        <v>3090</v>
      </c>
      <c r="I891" s="3058" t="s">
        <v>3054</v>
      </c>
    </row>
    <row r="892" spans="1:9">
      <c r="A892" s="3059">
        <v>1102</v>
      </c>
      <c r="B892" s="3062" t="s">
        <v>3291</v>
      </c>
      <c r="C892" s="3062"/>
      <c r="D892" s="3062" t="s">
        <v>3616</v>
      </c>
      <c r="E892" s="3058">
        <v>12.72</v>
      </c>
      <c r="F892" s="3058">
        <v>100000</v>
      </c>
      <c r="G892" s="3059">
        <v>100000</v>
      </c>
      <c r="H892" s="3059" t="s">
        <v>3090</v>
      </c>
      <c r="I892" s="3058" t="s">
        <v>3054</v>
      </c>
    </row>
    <row r="893" spans="1:9">
      <c r="A893" s="3059">
        <v>1103</v>
      </c>
      <c r="B893" s="3062" t="s">
        <v>3291</v>
      </c>
      <c r="C893" s="3062"/>
      <c r="D893" s="3062" t="s">
        <v>3615</v>
      </c>
      <c r="E893" s="3058">
        <v>12.72</v>
      </c>
      <c r="F893" s="3058">
        <v>100000</v>
      </c>
      <c r="G893" s="3059">
        <v>100000</v>
      </c>
      <c r="H893" s="3059" t="s">
        <v>3090</v>
      </c>
      <c r="I893" s="3058" t="s">
        <v>3054</v>
      </c>
    </row>
    <row r="894" spans="1:9">
      <c r="A894" s="3059">
        <v>1104</v>
      </c>
      <c r="B894" s="3062" t="s">
        <v>3291</v>
      </c>
      <c r="C894" s="3062"/>
      <c r="D894" s="3062" t="s">
        <v>3614</v>
      </c>
      <c r="E894" s="3058">
        <v>12.72</v>
      </c>
      <c r="F894" s="3058">
        <v>100000</v>
      </c>
      <c r="G894" s="3059">
        <v>100000</v>
      </c>
      <c r="H894" s="3059" t="s">
        <v>3090</v>
      </c>
      <c r="I894" s="3058" t="s">
        <v>3054</v>
      </c>
    </row>
    <row r="895" spans="1:9">
      <c r="A895" s="3059">
        <v>1105</v>
      </c>
      <c r="B895" s="3062" t="s">
        <v>3291</v>
      </c>
      <c r="C895" s="3062"/>
      <c r="D895" s="3062" t="s">
        <v>3613</v>
      </c>
      <c r="E895" s="3058">
        <v>12.72</v>
      </c>
      <c r="F895" s="3058">
        <v>100000</v>
      </c>
      <c r="G895" s="3059">
        <v>100000</v>
      </c>
      <c r="H895" s="3059" t="s">
        <v>3090</v>
      </c>
      <c r="I895" s="3058" t="s">
        <v>3054</v>
      </c>
    </row>
    <row r="896" spans="1:9">
      <c r="A896" s="3059">
        <v>1106</v>
      </c>
      <c r="B896" s="3062" t="s">
        <v>3291</v>
      </c>
      <c r="C896" s="3062"/>
      <c r="D896" s="3062" t="s">
        <v>3612</v>
      </c>
      <c r="E896" s="3058">
        <v>12.72</v>
      </c>
      <c r="F896" s="3058">
        <v>100000</v>
      </c>
      <c r="G896" s="3059">
        <v>100000</v>
      </c>
      <c r="H896" s="3059" t="s">
        <v>3090</v>
      </c>
      <c r="I896" s="3058" t="s">
        <v>3054</v>
      </c>
    </row>
    <row r="897" spans="1:9">
      <c r="A897" s="3059">
        <v>1107</v>
      </c>
      <c r="B897" s="3062" t="s">
        <v>3291</v>
      </c>
      <c r="C897" s="3062"/>
      <c r="D897" s="3062" t="s">
        <v>3611</v>
      </c>
      <c r="E897" s="3058">
        <v>12.72</v>
      </c>
      <c r="F897" s="3058">
        <v>100000</v>
      </c>
      <c r="G897" s="3059">
        <v>100000</v>
      </c>
      <c r="H897" s="3059" t="s">
        <v>3090</v>
      </c>
      <c r="I897" s="3058" t="s">
        <v>3054</v>
      </c>
    </row>
    <row r="898" spans="1:9">
      <c r="A898" s="3059">
        <v>1108</v>
      </c>
      <c r="B898" s="3062" t="s">
        <v>3291</v>
      </c>
      <c r="C898" s="3062"/>
      <c r="D898" s="3062" t="s">
        <v>3610</v>
      </c>
      <c r="E898" s="3058">
        <v>12.72</v>
      </c>
      <c r="F898" s="3058">
        <v>100000</v>
      </c>
      <c r="G898" s="3059">
        <v>100000</v>
      </c>
      <c r="H898" s="3059" t="s">
        <v>3090</v>
      </c>
      <c r="I898" s="3058" t="s">
        <v>3054</v>
      </c>
    </row>
    <row r="899" spans="1:9">
      <c r="A899" s="3059">
        <v>1109</v>
      </c>
      <c r="B899" s="3062" t="s">
        <v>3291</v>
      </c>
      <c r="C899" s="3062"/>
      <c r="D899" s="3062" t="s">
        <v>3609</v>
      </c>
      <c r="E899" s="3058">
        <v>12.72</v>
      </c>
      <c r="F899" s="3058">
        <v>100000</v>
      </c>
      <c r="G899" s="3059">
        <v>100000</v>
      </c>
      <c r="H899" s="3059" t="s">
        <v>3090</v>
      </c>
      <c r="I899" s="3058" t="s">
        <v>3054</v>
      </c>
    </row>
    <row r="900" spans="1:9">
      <c r="A900" s="3059">
        <v>1110</v>
      </c>
      <c r="B900" s="3062" t="s">
        <v>3291</v>
      </c>
      <c r="C900" s="3062"/>
      <c r="D900" s="3062" t="s">
        <v>3608</v>
      </c>
      <c r="E900" s="3058">
        <v>12.72</v>
      </c>
      <c r="F900" s="3058">
        <v>100000</v>
      </c>
      <c r="G900" s="3059">
        <v>100000</v>
      </c>
      <c r="H900" s="3059" t="s">
        <v>3090</v>
      </c>
      <c r="I900" s="3058" t="s">
        <v>3054</v>
      </c>
    </row>
    <row r="901" spans="1:9">
      <c r="A901" s="3059">
        <v>1111</v>
      </c>
      <c r="B901" s="3062" t="s">
        <v>3291</v>
      </c>
      <c r="C901" s="3062"/>
      <c r="D901" s="3062" t="s">
        <v>3607</v>
      </c>
      <c r="E901" s="3058">
        <v>12.72</v>
      </c>
      <c r="F901" s="3058">
        <v>100000</v>
      </c>
      <c r="G901" s="3059">
        <v>100000</v>
      </c>
      <c r="H901" s="3059" t="s">
        <v>3090</v>
      </c>
      <c r="I901" s="3058" t="s">
        <v>3054</v>
      </c>
    </row>
    <row r="902" spans="1:9">
      <c r="A902" s="3059">
        <v>1112</v>
      </c>
      <c r="B902" s="3062" t="s">
        <v>3291</v>
      </c>
      <c r="C902" s="3062"/>
      <c r="D902" s="3062" t="s">
        <v>3606</v>
      </c>
      <c r="E902" s="3058">
        <v>12.72</v>
      </c>
      <c r="F902" s="3058">
        <v>100000</v>
      </c>
      <c r="G902" s="3059">
        <v>100000</v>
      </c>
      <c r="H902" s="3059" t="s">
        <v>3090</v>
      </c>
      <c r="I902" s="3058" t="s">
        <v>3054</v>
      </c>
    </row>
    <row r="903" spans="1:9">
      <c r="A903" s="3059">
        <v>1113</v>
      </c>
      <c r="B903" s="3062" t="s">
        <v>3291</v>
      </c>
      <c r="C903" s="3062"/>
      <c r="D903" s="3062" t="s">
        <v>3605</v>
      </c>
      <c r="E903" s="3058">
        <v>12.72</v>
      </c>
      <c r="F903" s="3058">
        <v>100000</v>
      </c>
      <c r="G903" s="3059">
        <v>100000</v>
      </c>
      <c r="H903" s="3059" t="s">
        <v>3090</v>
      </c>
      <c r="I903" s="3058" t="s">
        <v>3054</v>
      </c>
    </row>
    <row r="904" spans="1:9">
      <c r="A904" s="3059">
        <v>1114</v>
      </c>
      <c r="B904" s="3062" t="s">
        <v>3291</v>
      </c>
      <c r="C904" s="3062"/>
      <c r="D904" s="3062" t="s">
        <v>3604</v>
      </c>
      <c r="E904" s="3058">
        <v>12.72</v>
      </c>
      <c r="F904" s="3058">
        <v>100000</v>
      </c>
      <c r="G904" s="3059">
        <v>100000</v>
      </c>
      <c r="H904" s="3059" t="s">
        <v>3090</v>
      </c>
      <c r="I904" s="3058" t="s">
        <v>3054</v>
      </c>
    </row>
    <row r="905" spans="1:9">
      <c r="A905" s="3059">
        <v>1115</v>
      </c>
      <c r="B905" s="3062" t="s">
        <v>3291</v>
      </c>
      <c r="C905" s="3062"/>
      <c r="D905" s="3062" t="s">
        <v>3603</v>
      </c>
      <c r="E905" s="3058">
        <v>12.72</v>
      </c>
      <c r="F905" s="3058">
        <v>100000</v>
      </c>
      <c r="G905" s="3059">
        <v>100000</v>
      </c>
      <c r="H905" s="3059" t="s">
        <v>3090</v>
      </c>
      <c r="I905" s="3058" t="s">
        <v>3054</v>
      </c>
    </row>
    <row r="906" spans="1:9">
      <c r="A906" s="3059">
        <v>1116</v>
      </c>
      <c r="B906" s="3062" t="s">
        <v>3291</v>
      </c>
      <c r="C906" s="3062"/>
      <c r="D906" s="3062" t="s">
        <v>3602</v>
      </c>
      <c r="E906" s="3058">
        <v>12.72</v>
      </c>
      <c r="F906" s="3058">
        <v>100000</v>
      </c>
      <c r="G906" s="3059">
        <v>100000</v>
      </c>
      <c r="H906" s="3059" t="s">
        <v>3090</v>
      </c>
      <c r="I906" s="3058" t="s">
        <v>3054</v>
      </c>
    </row>
    <row r="907" spans="1:9">
      <c r="A907" s="3059">
        <v>1117</v>
      </c>
      <c r="B907" s="3062" t="s">
        <v>3291</v>
      </c>
      <c r="C907" s="3062"/>
      <c r="D907" s="3062" t="s">
        <v>3601</v>
      </c>
      <c r="E907" s="3058">
        <v>12.72</v>
      </c>
      <c r="F907" s="3058">
        <v>100000</v>
      </c>
      <c r="G907" s="3059">
        <v>100000</v>
      </c>
      <c r="H907" s="3059" t="s">
        <v>3090</v>
      </c>
      <c r="I907" s="3058" t="s">
        <v>3054</v>
      </c>
    </row>
    <row r="908" spans="1:9">
      <c r="A908" s="3059">
        <v>1118</v>
      </c>
      <c r="B908" s="3062" t="s">
        <v>3291</v>
      </c>
      <c r="C908" s="3062"/>
      <c r="D908" s="3062" t="s">
        <v>3600</v>
      </c>
      <c r="E908" s="3058">
        <v>12.72</v>
      </c>
      <c r="F908" s="3058">
        <v>100000</v>
      </c>
      <c r="G908" s="3059">
        <v>100000</v>
      </c>
      <c r="H908" s="3059" t="s">
        <v>3090</v>
      </c>
      <c r="I908" s="3058" t="s">
        <v>3054</v>
      </c>
    </row>
    <row r="909" spans="1:9">
      <c r="A909" s="3059">
        <v>1119</v>
      </c>
      <c r="B909" s="3062" t="s">
        <v>3291</v>
      </c>
      <c r="C909" s="3062"/>
      <c r="D909" s="3062" t="s">
        <v>3599</v>
      </c>
      <c r="E909" s="3058">
        <v>12.72</v>
      </c>
      <c r="F909" s="3058">
        <v>100000</v>
      </c>
      <c r="G909" s="3059">
        <v>100000</v>
      </c>
      <c r="H909" s="3059" t="s">
        <v>3090</v>
      </c>
      <c r="I909" s="3058" t="s">
        <v>3054</v>
      </c>
    </row>
    <row r="910" spans="1:9">
      <c r="A910" s="3059">
        <v>1120</v>
      </c>
      <c r="B910" s="3062" t="s">
        <v>3291</v>
      </c>
      <c r="C910" s="3062"/>
      <c r="D910" s="3062" t="s">
        <v>3598</v>
      </c>
      <c r="E910" s="3058">
        <v>12.72</v>
      </c>
      <c r="F910" s="3058">
        <v>100000</v>
      </c>
      <c r="G910" s="3059">
        <v>100000</v>
      </c>
      <c r="H910" s="3059" t="s">
        <v>3090</v>
      </c>
      <c r="I910" s="3058" t="s">
        <v>3054</v>
      </c>
    </row>
    <row r="911" spans="1:9">
      <c r="A911" s="3059">
        <v>1121</v>
      </c>
      <c r="B911" s="3062" t="s">
        <v>3291</v>
      </c>
      <c r="C911" s="3062"/>
      <c r="D911" s="3062" t="s">
        <v>3597</v>
      </c>
      <c r="E911" s="3058">
        <v>12.72</v>
      </c>
      <c r="F911" s="3058">
        <v>100000</v>
      </c>
      <c r="G911" s="3059">
        <v>100000</v>
      </c>
      <c r="H911" s="3059" t="s">
        <v>3090</v>
      </c>
      <c r="I911" s="3058" t="s">
        <v>3054</v>
      </c>
    </row>
    <row r="912" spans="1:9">
      <c r="A912" s="3059">
        <v>1122</v>
      </c>
      <c r="B912" s="3062" t="s">
        <v>3291</v>
      </c>
      <c r="C912" s="3062"/>
      <c r="D912" s="3062" t="s">
        <v>3596</v>
      </c>
      <c r="E912" s="3058">
        <v>12.72</v>
      </c>
      <c r="F912" s="3058">
        <v>100000</v>
      </c>
      <c r="G912" s="3059">
        <v>100000</v>
      </c>
      <c r="H912" s="3059" t="s">
        <v>3090</v>
      </c>
      <c r="I912" s="3058" t="s">
        <v>3054</v>
      </c>
    </row>
    <row r="913" spans="1:9">
      <c r="A913" s="3059">
        <v>1123</v>
      </c>
      <c r="B913" s="3062" t="s">
        <v>3291</v>
      </c>
      <c r="C913" s="3062"/>
      <c r="D913" s="3062" t="s">
        <v>3595</v>
      </c>
      <c r="E913" s="3058">
        <v>12.72</v>
      </c>
      <c r="F913" s="3058">
        <v>100000</v>
      </c>
      <c r="G913" s="3059">
        <v>100000</v>
      </c>
      <c r="H913" s="3059" t="s">
        <v>3090</v>
      </c>
      <c r="I913" s="3058" t="s">
        <v>3054</v>
      </c>
    </row>
    <row r="914" spans="1:9">
      <c r="A914" s="3059">
        <v>1124</v>
      </c>
      <c r="B914" s="3062" t="s">
        <v>3291</v>
      </c>
      <c r="C914" s="3062"/>
      <c r="D914" s="3062" t="s">
        <v>3594</v>
      </c>
      <c r="E914" s="3058">
        <v>13.78</v>
      </c>
      <c r="F914" s="3058">
        <v>100000</v>
      </c>
      <c r="G914" s="3059">
        <v>100000</v>
      </c>
      <c r="H914" s="3059" t="s">
        <v>3090</v>
      </c>
      <c r="I914" s="3058" t="s">
        <v>3054</v>
      </c>
    </row>
    <row r="915" spans="1:9">
      <c r="A915" s="3059">
        <v>1125</v>
      </c>
      <c r="B915" s="3062" t="s">
        <v>3291</v>
      </c>
      <c r="C915" s="3062"/>
      <c r="D915" s="3062" t="s">
        <v>3593</v>
      </c>
      <c r="E915" s="3058">
        <v>13.78</v>
      </c>
      <c r="F915" s="3058">
        <v>100000</v>
      </c>
      <c r="G915" s="3059">
        <v>100000</v>
      </c>
      <c r="H915" s="3059" t="s">
        <v>3090</v>
      </c>
      <c r="I915" s="3058" t="s">
        <v>3054</v>
      </c>
    </row>
    <row r="916" spans="1:9">
      <c r="A916" s="3059">
        <v>1126</v>
      </c>
      <c r="B916" s="3062" t="s">
        <v>3291</v>
      </c>
      <c r="C916" s="3062"/>
      <c r="D916" s="3062" t="s">
        <v>3592</v>
      </c>
      <c r="E916" s="3058">
        <v>12.72</v>
      </c>
      <c r="F916" s="3058">
        <v>100000</v>
      </c>
      <c r="G916" s="3059">
        <v>100000</v>
      </c>
      <c r="H916" s="3059" t="s">
        <v>3090</v>
      </c>
      <c r="I916" s="3058" t="s">
        <v>3054</v>
      </c>
    </row>
    <row r="917" spans="1:9">
      <c r="A917" s="3059">
        <v>1127</v>
      </c>
      <c r="B917" s="3062" t="s">
        <v>3291</v>
      </c>
      <c r="C917" s="3062"/>
      <c r="D917" s="3062" t="s">
        <v>3591</v>
      </c>
      <c r="E917" s="3058">
        <v>12.72</v>
      </c>
      <c r="F917" s="3058">
        <v>100000</v>
      </c>
      <c r="G917" s="3059">
        <v>100000</v>
      </c>
      <c r="H917" s="3059" t="s">
        <v>3090</v>
      </c>
      <c r="I917" s="3058" t="s">
        <v>3054</v>
      </c>
    </row>
    <row r="918" spans="1:9">
      <c r="A918" s="3059">
        <v>1128</v>
      </c>
      <c r="B918" s="3062" t="s">
        <v>3291</v>
      </c>
      <c r="C918" s="3062"/>
      <c r="D918" s="3062" t="s">
        <v>3590</v>
      </c>
      <c r="E918" s="3058">
        <v>12.72</v>
      </c>
      <c r="F918" s="3058">
        <v>100000</v>
      </c>
      <c r="G918" s="3059">
        <v>100000</v>
      </c>
      <c r="H918" s="3059" t="s">
        <v>3090</v>
      </c>
      <c r="I918" s="3058" t="s">
        <v>3054</v>
      </c>
    </row>
    <row r="919" spans="1:9">
      <c r="A919" s="3059">
        <v>1129</v>
      </c>
      <c r="B919" s="3062" t="s">
        <v>3291</v>
      </c>
      <c r="C919" s="3062"/>
      <c r="D919" s="3062" t="s">
        <v>3589</v>
      </c>
      <c r="E919" s="3058">
        <v>12.72</v>
      </c>
      <c r="F919" s="3058">
        <v>100000</v>
      </c>
      <c r="G919" s="3059">
        <v>100000</v>
      </c>
      <c r="H919" s="3059" t="s">
        <v>3090</v>
      </c>
      <c r="I919" s="3058" t="s">
        <v>3054</v>
      </c>
    </row>
    <row r="920" spans="1:9">
      <c r="A920" s="3059">
        <v>1130</v>
      </c>
      <c r="B920" s="3062" t="s">
        <v>3291</v>
      </c>
      <c r="C920" s="3062"/>
      <c r="D920" s="3062" t="s">
        <v>3588</v>
      </c>
      <c r="E920" s="3058">
        <v>12.72</v>
      </c>
      <c r="F920" s="3058">
        <v>100000</v>
      </c>
      <c r="G920" s="3059">
        <v>100000</v>
      </c>
      <c r="H920" s="3059" t="s">
        <v>3090</v>
      </c>
      <c r="I920" s="3058" t="s">
        <v>3054</v>
      </c>
    </row>
    <row r="921" spans="1:9">
      <c r="A921" s="3059">
        <v>1131</v>
      </c>
      <c r="B921" s="3062" t="s">
        <v>3291</v>
      </c>
      <c r="C921" s="3062"/>
      <c r="D921" s="3062" t="s">
        <v>3587</v>
      </c>
      <c r="E921" s="3058">
        <v>12.72</v>
      </c>
      <c r="F921" s="3058">
        <v>100000</v>
      </c>
      <c r="G921" s="3059">
        <v>100000</v>
      </c>
      <c r="H921" s="3059" t="s">
        <v>3090</v>
      </c>
      <c r="I921" s="3058" t="s">
        <v>3054</v>
      </c>
    </row>
    <row r="922" spans="1:9">
      <c r="A922" s="3059">
        <v>1132</v>
      </c>
      <c r="B922" s="3062" t="s">
        <v>3291</v>
      </c>
      <c r="C922" s="3062"/>
      <c r="D922" s="3062" t="s">
        <v>3586</v>
      </c>
      <c r="E922" s="3058">
        <v>12.72</v>
      </c>
      <c r="F922" s="3058">
        <v>100000</v>
      </c>
      <c r="G922" s="3059">
        <v>100000</v>
      </c>
      <c r="H922" s="3059" t="s">
        <v>3090</v>
      </c>
      <c r="I922" s="3058" t="s">
        <v>3054</v>
      </c>
    </row>
    <row r="923" spans="1:9">
      <c r="A923" s="3059">
        <v>1133</v>
      </c>
      <c r="B923" s="3062" t="s">
        <v>3291</v>
      </c>
      <c r="C923" s="3062"/>
      <c r="D923" s="3062" t="s">
        <v>3585</v>
      </c>
      <c r="E923" s="3058">
        <v>12.72</v>
      </c>
      <c r="F923" s="3058">
        <v>100000</v>
      </c>
      <c r="G923" s="3059">
        <v>100000</v>
      </c>
      <c r="H923" s="3059" t="s">
        <v>3090</v>
      </c>
      <c r="I923" s="3058" t="s">
        <v>3054</v>
      </c>
    </row>
    <row r="924" spans="1:9">
      <c r="A924" s="3059">
        <v>1134</v>
      </c>
      <c r="B924" s="3062" t="s">
        <v>3291</v>
      </c>
      <c r="C924" s="3062"/>
      <c r="D924" s="3062" t="s">
        <v>3584</v>
      </c>
      <c r="E924" s="3058">
        <v>12.72</v>
      </c>
      <c r="F924" s="3058">
        <v>100000</v>
      </c>
      <c r="G924" s="3059">
        <v>100000</v>
      </c>
      <c r="H924" s="3059" t="s">
        <v>3090</v>
      </c>
      <c r="I924" s="3058" t="s">
        <v>3054</v>
      </c>
    </row>
    <row r="925" spans="1:9">
      <c r="A925" s="3059">
        <v>1135</v>
      </c>
      <c r="B925" s="3062" t="s">
        <v>3291</v>
      </c>
      <c r="C925" s="3062"/>
      <c r="D925" s="3062" t="s">
        <v>3583</v>
      </c>
      <c r="E925" s="3058">
        <v>12.72</v>
      </c>
      <c r="F925" s="3058">
        <v>100000</v>
      </c>
      <c r="G925" s="3059">
        <v>100000</v>
      </c>
      <c r="H925" s="3059" t="s">
        <v>3090</v>
      </c>
      <c r="I925" s="3058" t="s">
        <v>3054</v>
      </c>
    </row>
    <row r="926" spans="1:9">
      <c r="A926" s="3059">
        <v>1136</v>
      </c>
      <c r="B926" s="3062" t="s">
        <v>3291</v>
      </c>
      <c r="C926" s="3062"/>
      <c r="D926" s="3062" t="s">
        <v>3582</v>
      </c>
      <c r="E926" s="3058">
        <v>12.72</v>
      </c>
      <c r="F926" s="3058">
        <v>100000</v>
      </c>
      <c r="G926" s="3059">
        <v>100000</v>
      </c>
      <c r="H926" s="3059" t="s">
        <v>3090</v>
      </c>
      <c r="I926" s="3058" t="s">
        <v>3054</v>
      </c>
    </row>
    <row r="927" spans="1:9">
      <c r="A927" s="3059">
        <v>1137</v>
      </c>
      <c r="B927" s="3062" t="s">
        <v>3291</v>
      </c>
      <c r="C927" s="3062"/>
      <c r="D927" s="3062" t="s">
        <v>3581</v>
      </c>
      <c r="E927" s="3058">
        <v>12.72</v>
      </c>
      <c r="F927" s="3058">
        <v>100000</v>
      </c>
      <c r="G927" s="3059">
        <v>100000</v>
      </c>
      <c r="H927" s="3059" t="s">
        <v>3090</v>
      </c>
      <c r="I927" s="3058" t="s">
        <v>3054</v>
      </c>
    </row>
    <row r="928" spans="1:9">
      <c r="A928" s="3059">
        <v>1138</v>
      </c>
      <c r="B928" s="3062" t="s">
        <v>3291</v>
      </c>
      <c r="C928" s="3062"/>
      <c r="D928" s="3062" t="s">
        <v>3580</v>
      </c>
      <c r="E928" s="3058">
        <v>12.72</v>
      </c>
      <c r="F928" s="3058">
        <v>100000</v>
      </c>
      <c r="G928" s="3059">
        <v>100000</v>
      </c>
      <c r="H928" s="3059" t="s">
        <v>3090</v>
      </c>
      <c r="I928" s="3058" t="s">
        <v>3054</v>
      </c>
    </row>
    <row r="929" spans="1:9">
      <c r="A929" s="3059">
        <v>1139</v>
      </c>
      <c r="B929" s="3062" t="s">
        <v>3291</v>
      </c>
      <c r="C929" s="3062"/>
      <c r="D929" s="3062" t="s">
        <v>3579</v>
      </c>
      <c r="E929" s="3058">
        <v>12.72</v>
      </c>
      <c r="F929" s="3058">
        <v>100000</v>
      </c>
      <c r="G929" s="3059">
        <v>100000</v>
      </c>
      <c r="H929" s="3059" t="s">
        <v>3090</v>
      </c>
      <c r="I929" s="3058" t="s">
        <v>3054</v>
      </c>
    </row>
    <row r="930" spans="1:9">
      <c r="A930" s="3059">
        <v>1140</v>
      </c>
      <c r="B930" s="3062" t="s">
        <v>3291</v>
      </c>
      <c r="C930" s="3062"/>
      <c r="D930" s="3062" t="s">
        <v>3578</v>
      </c>
      <c r="E930" s="3058">
        <v>12.72</v>
      </c>
      <c r="F930" s="3058">
        <v>100000</v>
      </c>
      <c r="G930" s="3059">
        <v>100000</v>
      </c>
      <c r="H930" s="3059" t="s">
        <v>3090</v>
      </c>
      <c r="I930" s="3058" t="s">
        <v>3054</v>
      </c>
    </row>
    <row r="931" spans="1:9">
      <c r="A931" s="3059">
        <v>1141</v>
      </c>
      <c r="B931" s="3062" t="s">
        <v>3291</v>
      </c>
      <c r="C931" s="3062"/>
      <c r="D931" s="3062" t="s">
        <v>3577</v>
      </c>
      <c r="E931" s="3058">
        <v>12.72</v>
      </c>
      <c r="F931" s="3058">
        <v>100000</v>
      </c>
      <c r="G931" s="3059">
        <v>100000</v>
      </c>
      <c r="H931" s="3059" t="s">
        <v>3090</v>
      </c>
      <c r="I931" s="3058" t="s">
        <v>3054</v>
      </c>
    </row>
    <row r="932" spans="1:9">
      <c r="A932" s="3059">
        <v>1142</v>
      </c>
      <c r="B932" s="3062" t="s">
        <v>3291</v>
      </c>
      <c r="C932" s="3062"/>
      <c r="D932" s="3062" t="s">
        <v>3576</v>
      </c>
      <c r="E932" s="3058">
        <v>12.72</v>
      </c>
      <c r="F932" s="3058">
        <v>100000</v>
      </c>
      <c r="G932" s="3059">
        <v>100000</v>
      </c>
      <c r="H932" s="3059" t="s">
        <v>3090</v>
      </c>
      <c r="I932" s="3058" t="s">
        <v>3054</v>
      </c>
    </row>
    <row r="933" spans="1:9">
      <c r="A933" s="3059">
        <v>1143</v>
      </c>
      <c r="B933" s="3062" t="s">
        <v>3291</v>
      </c>
      <c r="C933" s="3062"/>
      <c r="D933" s="3062" t="s">
        <v>3575</v>
      </c>
      <c r="E933" s="3058">
        <v>12.72</v>
      </c>
      <c r="F933" s="3058">
        <v>100000</v>
      </c>
      <c r="G933" s="3059">
        <v>100000</v>
      </c>
      <c r="H933" s="3059" t="s">
        <v>3090</v>
      </c>
      <c r="I933" s="3058" t="s">
        <v>3054</v>
      </c>
    </row>
    <row r="934" spans="1:9">
      <c r="A934" s="3059">
        <v>1144</v>
      </c>
      <c r="B934" s="3062" t="s">
        <v>3291</v>
      </c>
      <c r="C934" s="3062"/>
      <c r="D934" s="3062" t="s">
        <v>3574</v>
      </c>
      <c r="E934" s="3058">
        <v>12.72</v>
      </c>
      <c r="F934" s="3058">
        <v>100000</v>
      </c>
      <c r="G934" s="3059">
        <v>100000</v>
      </c>
      <c r="H934" s="3059" t="s">
        <v>3090</v>
      </c>
      <c r="I934" s="3058" t="s">
        <v>3054</v>
      </c>
    </row>
    <row r="935" spans="1:9">
      <c r="A935" s="3059">
        <v>1145</v>
      </c>
      <c r="B935" s="3062" t="s">
        <v>3291</v>
      </c>
      <c r="C935" s="3062"/>
      <c r="D935" s="3062" t="s">
        <v>3573</v>
      </c>
      <c r="E935" s="3058">
        <v>12.72</v>
      </c>
      <c r="F935" s="3058">
        <v>100000</v>
      </c>
      <c r="G935" s="3059">
        <v>100000</v>
      </c>
      <c r="H935" s="3059" t="s">
        <v>3090</v>
      </c>
      <c r="I935" s="3058" t="s">
        <v>3054</v>
      </c>
    </row>
    <row r="936" spans="1:9">
      <c r="A936" s="3059">
        <v>1146</v>
      </c>
      <c r="B936" s="3062" t="s">
        <v>3291</v>
      </c>
      <c r="C936" s="3062"/>
      <c r="D936" s="3062" t="s">
        <v>3572</v>
      </c>
      <c r="E936" s="3058">
        <v>12.72</v>
      </c>
      <c r="F936" s="3058">
        <v>100000</v>
      </c>
      <c r="G936" s="3059">
        <v>100000</v>
      </c>
      <c r="H936" s="3059" t="s">
        <v>3090</v>
      </c>
      <c r="I936" s="3058" t="s">
        <v>3054</v>
      </c>
    </row>
    <row r="937" spans="1:9">
      <c r="A937" s="3059">
        <v>1147</v>
      </c>
      <c r="B937" s="3062" t="s">
        <v>3291</v>
      </c>
      <c r="C937" s="3062"/>
      <c r="D937" s="3062" t="s">
        <v>3571</v>
      </c>
      <c r="E937" s="3058">
        <v>12.72</v>
      </c>
      <c r="F937" s="3058">
        <v>100000</v>
      </c>
      <c r="G937" s="3059">
        <v>100000</v>
      </c>
      <c r="H937" s="3059" t="s">
        <v>3090</v>
      </c>
      <c r="I937" s="3058" t="s">
        <v>3054</v>
      </c>
    </row>
    <row r="938" spans="1:9">
      <c r="A938" s="3059">
        <v>1148</v>
      </c>
      <c r="B938" s="3062" t="s">
        <v>3291</v>
      </c>
      <c r="C938" s="3062"/>
      <c r="D938" s="3062" t="s">
        <v>3570</v>
      </c>
      <c r="E938" s="3058">
        <v>12.72</v>
      </c>
      <c r="F938" s="3058">
        <v>100000</v>
      </c>
      <c r="G938" s="3059">
        <v>100000</v>
      </c>
      <c r="H938" s="3059" t="s">
        <v>3090</v>
      </c>
      <c r="I938" s="3058" t="s">
        <v>3054</v>
      </c>
    </row>
    <row r="939" spans="1:9">
      <c r="A939" s="3059">
        <v>1149</v>
      </c>
      <c r="B939" s="3062" t="s">
        <v>3291</v>
      </c>
      <c r="C939" s="3062"/>
      <c r="D939" s="3062" t="s">
        <v>3569</v>
      </c>
      <c r="E939" s="3058">
        <v>12.72</v>
      </c>
      <c r="F939" s="3058">
        <v>100000</v>
      </c>
      <c r="G939" s="3059">
        <v>100000</v>
      </c>
      <c r="H939" s="3059" t="s">
        <v>3090</v>
      </c>
      <c r="I939" s="3058" t="s">
        <v>3054</v>
      </c>
    </row>
    <row r="940" spans="1:9">
      <c r="A940" s="3059">
        <v>1150</v>
      </c>
      <c r="B940" s="3062" t="s">
        <v>3291</v>
      </c>
      <c r="C940" s="3062"/>
      <c r="D940" s="3062" t="s">
        <v>3568</v>
      </c>
      <c r="E940" s="3058">
        <v>12.72</v>
      </c>
      <c r="F940" s="3058">
        <v>100000</v>
      </c>
      <c r="G940" s="3059">
        <v>100000</v>
      </c>
      <c r="H940" s="3059" t="s">
        <v>3090</v>
      </c>
      <c r="I940" s="3058" t="s">
        <v>3054</v>
      </c>
    </row>
    <row r="941" spans="1:9">
      <c r="A941" s="3059">
        <v>1151</v>
      </c>
      <c r="B941" s="3062" t="s">
        <v>3291</v>
      </c>
      <c r="C941" s="3062"/>
      <c r="D941" s="3062" t="s">
        <v>3567</v>
      </c>
      <c r="E941" s="3058">
        <v>12.72</v>
      </c>
      <c r="F941" s="3058">
        <v>100000</v>
      </c>
      <c r="G941" s="3059">
        <v>100000</v>
      </c>
      <c r="H941" s="3059" t="s">
        <v>3090</v>
      </c>
      <c r="I941" s="3058" t="s">
        <v>3054</v>
      </c>
    </row>
    <row r="942" spans="1:9">
      <c r="A942" s="3059">
        <v>1152</v>
      </c>
      <c r="B942" s="3062" t="s">
        <v>3291</v>
      </c>
      <c r="C942" s="3062"/>
      <c r="D942" s="3062" t="s">
        <v>3566</v>
      </c>
      <c r="E942" s="3058">
        <v>12.72</v>
      </c>
      <c r="F942" s="3058">
        <v>100000</v>
      </c>
      <c r="G942" s="3059">
        <v>100000</v>
      </c>
      <c r="H942" s="3059" t="s">
        <v>3090</v>
      </c>
      <c r="I942" s="3058" t="s">
        <v>3054</v>
      </c>
    </row>
    <row r="943" spans="1:9">
      <c r="A943" s="3059">
        <v>1153</v>
      </c>
      <c r="B943" s="3062" t="s">
        <v>3291</v>
      </c>
      <c r="C943" s="3062"/>
      <c r="D943" s="3062" t="s">
        <v>3565</v>
      </c>
      <c r="E943" s="3058">
        <v>12.72</v>
      </c>
      <c r="F943" s="3058">
        <v>100000</v>
      </c>
      <c r="G943" s="3059">
        <v>100000</v>
      </c>
      <c r="H943" s="3059" t="s">
        <v>3090</v>
      </c>
      <c r="I943" s="3058" t="s">
        <v>3054</v>
      </c>
    </row>
    <row r="944" spans="1:9">
      <c r="A944" s="3059">
        <v>1154</v>
      </c>
      <c r="B944" s="3062" t="s">
        <v>3291</v>
      </c>
      <c r="C944" s="3062"/>
      <c r="D944" s="3062" t="s">
        <v>3564</v>
      </c>
      <c r="E944" s="3058">
        <v>12.72</v>
      </c>
      <c r="F944" s="3058">
        <v>100000</v>
      </c>
      <c r="G944" s="3059">
        <v>100000</v>
      </c>
      <c r="H944" s="3059" t="s">
        <v>3090</v>
      </c>
      <c r="I944" s="3058" t="s">
        <v>3054</v>
      </c>
    </row>
    <row r="945" spans="1:9">
      <c r="A945" s="3059">
        <v>1155</v>
      </c>
      <c r="B945" s="3062" t="s">
        <v>3291</v>
      </c>
      <c r="C945" s="3062"/>
      <c r="D945" s="3062" t="s">
        <v>3563</v>
      </c>
      <c r="E945" s="3058">
        <v>12.72</v>
      </c>
      <c r="F945" s="3058">
        <v>100000</v>
      </c>
      <c r="G945" s="3059">
        <v>100000</v>
      </c>
      <c r="H945" s="3059" t="s">
        <v>3090</v>
      </c>
      <c r="I945" s="3058" t="s">
        <v>3054</v>
      </c>
    </row>
    <row r="946" spans="1:9">
      <c r="A946" s="3059">
        <v>1156</v>
      </c>
      <c r="B946" s="3062" t="s">
        <v>3291</v>
      </c>
      <c r="C946" s="3062"/>
      <c r="D946" s="3062" t="s">
        <v>3562</v>
      </c>
      <c r="E946" s="3058">
        <v>12.72</v>
      </c>
      <c r="F946" s="3058">
        <v>100000</v>
      </c>
      <c r="G946" s="3059">
        <v>100000</v>
      </c>
      <c r="H946" s="3059" t="s">
        <v>3090</v>
      </c>
      <c r="I946" s="3058" t="s">
        <v>3054</v>
      </c>
    </row>
    <row r="947" spans="1:9">
      <c r="A947" s="3059">
        <v>1157</v>
      </c>
      <c r="B947" s="3062" t="s">
        <v>3291</v>
      </c>
      <c r="C947" s="3062"/>
      <c r="D947" s="3062" t="s">
        <v>3561</v>
      </c>
      <c r="E947" s="3058">
        <v>12.72</v>
      </c>
      <c r="F947" s="3058">
        <v>100000</v>
      </c>
      <c r="G947" s="3059">
        <v>100000</v>
      </c>
      <c r="H947" s="3059" t="s">
        <v>3090</v>
      </c>
      <c r="I947" s="3058" t="s">
        <v>3054</v>
      </c>
    </row>
    <row r="948" spans="1:9">
      <c r="A948" s="3059">
        <v>1158</v>
      </c>
      <c r="B948" s="3062" t="s">
        <v>3291</v>
      </c>
      <c r="C948" s="3062"/>
      <c r="D948" s="3062" t="s">
        <v>3560</v>
      </c>
      <c r="E948" s="3058">
        <v>12.72</v>
      </c>
      <c r="F948" s="3058">
        <v>100000</v>
      </c>
      <c r="G948" s="3059">
        <v>100000</v>
      </c>
      <c r="H948" s="3059" t="s">
        <v>3090</v>
      </c>
      <c r="I948" s="3058" t="s">
        <v>3054</v>
      </c>
    </row>
    <row r="949" spans="1:9">
      <c r="A949" s="3059">
        <v>1159</v>
      </c>
      <c r="B949" s="3062" t="s">
        <v>3291</v>
      </c>
      <c r="C949" s="3062"/>
      <c r="D949" s="3062" t="s">
        <v>3559</v>
      </c>
      <c r="E949" s="3058">
        <v>12.72</v>
      </c>
      <c r="F949" s="3058">
        <v>100000</v>
      </c>
      <c r="G949" s="3059">
        <v>100000</v>
      </c>
      <c r="H949" s="3059" t="s">
        <v>3090</v>
      </c>
      <c r="I949" s="3058" t="s">
        <v>3054</v>
      </c>
    </row>
    <row r="950" spans="1:9">
      <c r="A950" s="3059">
        <v>1160</v>
      </c>
      <c r="B950" s="3062" t="s">
        <v>3291</v>
      </c>
      <c r="C950" s="3062"/>
      <c r="D950" s="3062" t="s">
        <v>3558</v>
      </c>
      <c r="E950" s="3058">
        <v>12.72</v>
      </c>
      <c r="F950" s="3058">
        <v>100000</v>
      </c>
      <c r="G950" s="3059">
        <v>100000</v>
      </c>
      <c r="H950" s="3059" t="s">
        <v>3090</v>
      </c>
      <c r="I950" s="3058" t="s">
        <v>3054</v>
      </c>
    </row>
    <row r="951" spans="1:9">
      <c r="A951" s="3059">
        <v>1161</v>
      </c>
      <c r="B951" s="3062" t="s">
        <v>3291</v>
      </c>
      <c r="C951" s="3062"/>
      <c r="D951" s="3062" t="s">
        <v>3557</v>
      </c>
      <c r="E951" s="3058">
        <v>12.72</v>
      </c>
      <c r="F951" s="3058">
        <v>100000</v>
      </c>
      <c r="G951" s="3059">
        <v>100000</v>
      </c>
      <c r="H951" s="3059" t="s">
        <v>3090</v>
      </c>
      <c r="I951" s="3058" t="s">
        <v>3054</v>
      </c>
    </row>
    <row r="952" spans="1:9">
      <c r="A952" s="3059">
        <v>1162</v>
      </c>
      <c r="B952" s="3062" t="s">
        <v>3291</v>
      </c>
      <c r="C952" s="3062"/>
      <c r="D952" s="3062" t="s">
        <v>3556</v>
      </c>
      <c r="E952" s="3058">
        <v>12.72</v>
      </c>
      <c r="F952" s="3058">
        <v>100000</v>
      </c>
      <c r="G952" s="3059">
        <v>100000</v>
      </c>
      <c r="H952" s="3059" t="s">
        <v>3090</v>
      </c>
      <c r="I952" s="3058" t="s">
        <v>3054</v>
      </c>
    </row>
    <row r="953" spans="1:9">
      <c r="A953" s="3059">
        <v>1163</v>
      </c>
      <c r="B953" s="3062" t="s">
        <v>3291</v>
      </c>
      <c r="C953" s="3062"/>
      <c r="D953" s="3062" t="s">
        <v>3555</v>
      </c>
      <c r="E953" s="3058">
        <v>12.72</v>
      </c>
      <c r="F953" s="3058">
        <v>100000</v>
      </c>
      <c r="G953" s="3059">
        <v>100000</v>
      </c>
      <c r="H953" s="3059" t="s">
        <v>3090</v>
      </c>
      <c r="I953" s="3058" t="s">
        <v>3054</v>
      </c>
    </row>
    <row r="954" spans="1:9">
      <c r="A954" s="3059">
        <v>1164</v>
      </c>
      <c r="B954" s="3062" t="s">
        <v>3291</v>
      </c>
      <c r="C954" s="3062"/>
      <c r="D954" s="3062" t="s">
        <v>3554</v>
      </c>
      <c r="E954" s="3058">
        <v>12.72</v>
      </c>
      <c r="F954" s="3058">
        <v>100000</v>
      </c>
      <c r="G954" s="3059">
        <v>100000</v>
      </c>
      <c r="H954" s="3059" t="s">
        <v>3090</v>
      </c>
      <c r="I954" s="3058" t="s">
        <v>3054</v>
      </c>
    </row>
    <row r="955" spans="1:9">
      <c r="A955" s="3059">
        <v>1165</v>
      </c>
      <c r="B955" s="3062" t="s">
        <v>3291</v>
      </c>
      <c r="C955" s="3062"/>
      <c r="D955" s="3062" t="s">
        <v>3553</v>
      </c>
      <c r="E955" s="3058">
        <v>12.72</v>
      </c>
      <c r="F955" s="3058">
        <v>100000</v>
      </c>
      <c r="G955" s="3059">
        <v>100000</v>
      </c>
      <c r="H955" s="3059" t="s">
        <v>3090</v>
      </c>
      <c r="I955" s="3058" t="s">
        <v>3054</v>
      </c>
    </row>
    <row r="956" spans="1:9">
      <c r="A956" s="3059">
        <v>1166</v>
      </c>
      <c r="B956" s="3062" t="s">
        <v>3291</v>
      </c>
      <c r="C956" s="3062"/>
      <c r="D956" s="3062" t="s">
        <v>3552</v>
      </c>
      <c r="E956" s="3058">
        <v>13.78</v>
      </c>
      <c r="F956" s="3058">
        <v>100000</v>
      </c>
      <c r="G956" s="3059">
        <v>100000</v>
      </c>
      <c r="H956" s="3059" t="s">
        <v>3090</v>
      </c>
      <c r="I956" s="3058" t="s">
        <v>3054</v>
      </c>
    </row>
    <row r="957" spans="1:9">
      <c r="A957" s="3059">
        <v>1167</v>
      </c>
      <c r="B957" s="3062" t="s">
        <v>3291</v>
      </c>
      <c r="C957" s="3062"/>
      <c r="D957" s="3062" t="s">
        <v>3551</v>
      </c>
      <c r="E957" s="3058">
        <v>13.78</v>
      </c>
      <c r="F957" s="3058">
        <v>100000</v>
      </c>
      <c r="G957" s="3059">
        <v>100000</v>
      </c>
      <c r="H957" s="3059" t="s">
        <v>3090</v>
      </c>
      <c r="I957" s="3058" t="s">
        <v>3054</v>
      </c>
    </row>
    <row r="958" spans="1:9">
      <c r="A958" s="3059">
        <v>1168</v>
      </c>
      <c r="B958" s="3062" t="s">
        <v>3291</v>
      </c>
      <c r="C958" s="3062"/>
      <c r="D958" s="3062" t="s">
        <v>3550</v>
      </c>
      <c r="E958" s="3058">
        <v>12.72</v>
      </c>
      <c r="F958" s="3058">
        <v>100000</v>
      </c>
      <c r="G958" s="3059">
        <v>100000</v>
      </c>
      <c r="H958" s="3059" t="s">
        <v>3090</v>
      </c>
      <c r="I958" s="3058" t="s">
        <v>3054</v>
      </c>
    </row>
    <row r="959" spans="1:9">
      <c r="A959" s="3059">
        <v>1169</v>
      </c>
      <c r="B959" s="3062" t="s">
        <v>3291</v>
      </c>
      <c r="C959" s="3062"/>
      <c r="D959" s="3062" t="s">
        <v>3549</v>
      </c>
      <c r="E959" s="3058">
        <v>12.72</v>
      </c>
      <c r="F959" s="3058">
        <v>100000</v>
      </c>
      <c r="G959" s="3059">
        <v>100000</v>
      </c>
      <c r="H959" s="3059" t="s">
        <v>3090</v>
      </c>
      <c r="I959" s="3058" t="s">
        <v>3054</v>
      </c>
    </row>
    <row r="960" spans="1:9">
      <c r="A960" s="3059">
        <v>1170</v>
      </c>
      <c r="B960" s="3062" t="s">
        <v>3291</v>
      </c>
      <c r="C960" s="3062"/>
      <c r="D960" s="3062" t="s">
        <v>3548</v>
      </c>
      <c r="E960" s="3058">
        <v>12.72</v>
      </c>
      <c r="F960" s="3058">
        <v>100000</v>
      </c>
      <c r="G960" s="3059">
        <v>100000</v>
      </c>
      <c r="H960" s="3059" t="s">
        <v>3090</v>
      </c>
      <c r="I960" s="3058" t="s">
        <v>3054</v>
      </c>
    </row>
    <row r="961" spans="1:9">
      <c r="A961" s="3059">
        <v>1171</v>
      </c>
      <c r="B961" s="3062" t="s">
        <v>3291</v>
      </c>
      <c r="C961" s="3062"/>
      <c r="D961" s="3062" t="s">
        <v>3547</v>
      </c>
      <c r="E961" s="3058">
        <v>12.72</v>
      </c>
      <c r="F961" s="3058">
        <v>100000</v>
      </c>
      <c r="G961" s="3059">
        <v>100000</v>
      </c>
      <c r="H961" s="3059" t="s">
        <v>3090</v>
      </c>
      <c r="I961" s="3058" t="s">
        <v>3054</v>
      </c>
    </row>
    <row r="962" spans="1:9">
      <c r="A962" s="3059">
        <v>1172</v>
      </c>
      <c r="B962" s="3062" t="s">
        <v>3291</v>
      </c>
      <c r="C962" s="3062"/>
      <c r="D962" s="3062" t="s">
        <v>3546</v>
      </c>
      <c r="E962" s="3058">
        <v>12.72</v>
      </c>
      <c r="F962" s="3058">
        <v>100000</v>
      </c>
      <c r="G962" s="3059">
        <v>100000</v>
      </c>
      <c r="H962" s="3059" t="s">
        <v>3090</v>
      </c>
      <c r="I962" s="3058" t="s">
        <v>3054</v>
      </c>
    </row>
    <row r="963" spans="1:9">
      <c r="A963" s="3059">
        <v>1173</v>
      </c>
      <c r="B963" s="3062" t="s">
        <v>3291</v>
      </c>
      <c r="C963" s="3062"/>
      <c r="D963" s="3062" t="s">
        <v>3545</v>
      </c>
      <c r="E963" s="3058">
        <v>12.72</v>
      </c>
      <c r="F963" s="3058">
        <v>100000</v>
      </c>
      <c r="G963" s="3059">
        <v>100000</v>
      </c>
      <c r="H963" s="3059" t="s">
        <v>3090</v>
      </c>
      <c r="I963" s="3058" t="s">
        <v>3054</v>
      </c>
    </row>
    <row r="964" spans="1:9">
      <c r="A964" s="3059">
        <v>1174</v>
      </c>
      <c r="B964" s="3062" t="s">
        <v>3291</v>
      </c>
      <c r="C964" s="3062"/>
      <c r="D964" s="3062" t="s">
        <v>3544</v>
      </c>
      <c r="E964" s="3058">
        <v>12.72</v>
      </c>
      <c r="F964" s="3058">
        <v>100000</v>
      </c>
      <c r="G964" s="3059">
        <v>100000</v>
      </c>
      <c r="H964" s="3059" t="s">
        <v>3090</v>
      </c>
      <c r="I964" s="3058" t="s">
        <v>3054</v>
      </c>
    </row>
    <row r="965" spans="1:9">
      <c r="A965" s="3059">
        <v>1175</v>
      </c>
      <c r="B965" s="3062" t="s">
        <v>3291</v>
      </c>
      <c r="C965" s="3062"/>
      <c r="D965" s="3062" t="s">
        <v>3543</v>
      </c>
      <c r="E965" s="3058">
        <v>12.72</v>
      </c>
      <c r="F965" s="3058">
        <v>100000</v>
      </c>
      <c r="G965" s="3059">
        <v>100000</v>
      </c>
      <c r="H965" s="3059" t="s">
        <v>3090</v>
      </c>
      <c r="I965" s="3058" t="s">
        <v>3054</v>
      </c>
    </row>
    <row r="966" spans="1:9">
      <c r="A966" s="3059">
        <v>1176</v>
      </c>
      <c r="B966" s="3062" t="s">
        <v>3291</v>
      </c>
      <c r="C966" s="3062"/>
      <c r="D966" s="3062" t="s">
        <v>3542</v>
      </c>
      <c r="E966" s="3058">
        <v>12.72</v>
      </c>
      <c r="F966" s="3058">
        <v>100000</v>
      </c>
      <c r="G966" s="3059">
        <v>100000</v>
      </c>
      <c r="H966" s="3059" t="s">
        <v>3090</v>
      </c>
      <c r="I966" s="3058" t="s">
        <v>3054</v>
      </c>
    </row>
    <row r="967" spans="1:9">
      <c r="A967" s="3059">
        <v>1177</v>
      </c>
      <c r="B967" s="3062" t="s">
        <v>3291</v>
      </c>
      <c r="C967" s="3062"/>
      <c r="D967" s="3062" t="s">
        <v>3541</v>
      </c>
      <c r="E967" s="3058">
        <v>12.72</v>
      </c>
      <c r="F967" s="3058">
        <v>100000</v>
      </c>
      <c r="G967" s="3059">
        <v>100000</v>
      </c>
      <c r="H967" s="3059" t="s">
        <v>3090</v>
      </c>
      <c r="I967" s="3058" t="s">
        <v>3054</v>
      </c>
    </row>
    <row r="968" spans="1:9">
      <c r="A968" s="3059">
        <v>1178</v>
      </c>
      <c r="B968" s="3062" t="s">
        <v>3291</v>
      </c>
      <c r="C968" s="3062"/>
      <c r="D968" s="3062" t="s">
        <v>3540</v>
      </c>
      <c r="E968" s="3058">
        <v>12.72</v>
      </c>
      <c r="F968" s="3058">
        <v>100000</v>
      </c>
      <c r="G968" s="3059">
        <v>100000</v>
      </c>
      <c r="H968" s="3059" t="s">
        <v>3090</v>
      </c>
      <c r="I968" s="3058" t="s">
        <v>3054</v>
      </c>
    </row>
    <row r="969" spans="1:9">
      <c r="A969" s="3059">
        <v>1179</v>
      </c>
      <c r="B969" s="3062" t="s">
        <v>3291</v>
      </c>
      <c r="C969" s="3062"/>
      <c r="D969" s="3062" t="s">
        <v>3539</v>
      </c>
      <c r="E969" s="3058">
        <v>12.72</v>
      </c>
      <c r="F969" s="3058">
        <v>100000</v>
      </c>
      <c r="G969" s="3059">
        <v>100000</v>
      </c>
      <c r="H969" s="3059" t="s">
        <v>3090</v>
      </c>
      <c r="I969" s="3058" t="s">
        <v>3054</v>
      </c>
    </row>
    <row r="970" spans="1:9">
      <c r="A970" s="3059">
        <v>1180</v>
      </c>
      <c r="B970" s="3062" t="s">
        <v>3291</v>
      </c>
      <c r="C970" s="3062"/>
      <c r="D970" s="3062" t="s">
        <v>3538</v>
      </c>
      <c r="E970" s="3058">
        <v>12.72</v>
      </c>
      <c r="F970" s="3058">
        <v>100000</v>
      </c>
      <c r="G970" s="3059">
        <v>100000</v>
      </c>
      <c r="H970" s="3059" t="s">
        <v>3090</v>
      </c>
      <c r="I970" s="3058" t="s">
        <v>3054</v>
      </c>
    </row>
    <row r="971" spans="1:9">
      <c r="A971" s="3059">
        <v>1181</v>
      </c>
      <c r="B971" s="3062" t="s">
        <v>3291</v>
      </c>
      <c r="C971" s="3062"/>
      <c r="D971" s="3062" t="s">
        <v>3537</v>
      </c>
      <c r="E971" s="3058">
        <v>12.72</v>
      </c>
      <c r="F971" s="3058">
        <v>100000</v>
      </c>
      <c r="G971" s="3059">
        <v>100000</v>
      </c>
      <c r="H971" s="3059" t="s">
        <v>3090</v>
      </c>
      <c r="I971" s="3058" t="s">
        <v>3054</v>
      </c>
    </row>
    <row r="972" spans="1:9">
      <c r="A972" s="3059">
        <v>1182</v>
      </c>
      <c r="B972" s="3062" t="s">
        <v>3291</v>
      </c>
      <c r="C972" s="3062"/>
      <c r="D972" s="3062" t="s">
        <v>3536</v>
      </c>
      <c r="E972" s="3058">
        <v>12.72</v>
      </c>
      <c r="F972" s="3058">
        <v>100000</v>
      </c>
      <c r="G972" s="3059">
        <v>100000</v>
      </c>
      <c r="H972" s="3059" t="s">
        <v>3090</v>
      </c>
      <c r="I972" s="3058" t="s">
        <v>3054</v>
      </c>
    </row>
    <row r="973" spans="1:9">
      <c r="A973" s="3059">
        <v>1183</v>
      </c>
      <c r="B973" s="3062" t="s">
        <v>3291</v>
      </c>
      <c r="C973" s="3062"/>
      <c r="D973" s="3062" t="s">
        <v>3535</v>
      </c>
      <c r="E973" s="3058">
        <v>12.72</v>
      </c>
      <c r="F973" s="3058">
        <v>100000</v>
      </c>
      <c r="G973" s="3059">
        <v>100000</v>
      </c>
      <c r="H973" s="3059" t="s">
        <v>3090</v>
      </c>
      <c r="I973" s="3058" t="s">
        <v>3054</v>
      </c>
    </row>
    <row r="974" spans="1:9">
      <c r="A974" s="3059">
        <v>1184</v>
      </c>
      <c r="B974" s="3062" t="s">
        <v>3291</v>
      </c>
      <c r="C974" s="3062"/>
      <c r="D974" s="3062" t="s">
        <v>3534</v>
      </c>
      <c r="E974" s="3058">
        <v>12.72</v>
      </c>
      <c r="F974" s="3058">
        <v>100000</v>
      </c>
      <c r="G974" s="3059">
        <v>100000</v>
      </c>
      <c r="H974" s="3059" t="s">
        <v>3090</v>
      </c>
      <c r="I974" s="3058" t="s">
        <v>3054</v>
      </c>
    </row>
    <row r="975" spans="1:9">
      <c r="A975" s="3059">
        <v>1185</v>
      </c>
      <c r="B975" s="3062" t="s">
        <v>3291</v>
      </c>
      <c r="C975" s="3062"/>
      <c r="D975" s="3062" t="s">
        <v>3533</v>
      </c>
      <c r="E975" s="3058">
        <v>12.72</v>
      </c>
      <c r="F975" s="3058">
        <v>100000</v>
      </c>
      <c r="G975" s="3059">
        <v>100000</v>
      </c>
      <c r="H975" s="3059" t="s">
        <v>3090</v>
      </c>
      <c r="I975" s="3058" t="s">
        <v>3054</v>
      </c>
    </row>
    <row r="976" spans="1:9">
      <c r="A976" s="3059">
        <v>1186</v>
      </c>
      <c r="B976" s="3062" t="s">
        <v>3291</v>
      </c>
      <c r="C976" s="3062"/>
      <c r="D976" s="3062" t="s">
        <v>3532</v>
      </c>
      <c r="E976" s="3058">
        <v>12.72</v>
      </c>
      <c r="F976" s="3058">
        <v>100000</v>
      </c>
      <c r="G976" s="3059">
        <v>100000</v>
      </c>
      <c r="H976" s="3059" t="s">
        <v>3090</v>
      </c>
      <c r="I976" s="3058" t="s">
        <v>3054</v>
      </c>
    </row>
    <row r="977" spans="1:9">
      <c r="A977" s="3059">
        <v>1187</v>
      </c>
      <c r="B977" s="3062" t="s">
        <v>3291</v>
      </c>
      <c r="C977" s="3062"/>
      <c r="D977" s="3062" t="s">
        <v>3531</v>
      </c>
      <c r="E977" s="3058">
        <v>12.72</v>
      </c>
      <c r="F977" s="3058">
        <v>100000</v>
      </c>
      <c r="G977" s="3059">
        <v>100000</v>
      </c>
      <c r="H977" s="3059" t="s">
        <v>3090</v>
      </c>
      <c r="I977" s="3058" t="s">
        <v>3054</v>
      </c>
    </row>
    <row r="978" spans="1:9">
      <c r="A978" s="3059">
        <v>1188</v>
      </c>
      <c r="B978" s="3062" t="s">
        <v>3291</v>
      </c>
      <c r="C978" s="3062"/>
      <c r="D978" s="3062" t="s">
        <v>3530</v>
      </c>
      <c r="E978" s="3058">
        <v>12.72</v>
      </c>
      <c r="F978" s="3058">
        <v>100000</v>
      </c>
      <c r="G978" s="3059">
        <v>100000</v>
      </c>
      <c r="H978" s="3059" t="s">
        <v>3090</v>
      </c>
      <c r="I978" s="3058" t="s">
        <v>3054</v>
      </c>
    </row>
    <row r="979" spans="1:9">
      <c r="A979" s="3059">
        <v>1189</v>
      </c>
      <c r="B979" s="3062" t="s">
        <v>3291</v>
      </c>
      <c r="C979" s="3062"/>
      <c r="D979" s="3062" t="s">
        <v>3529</v>
      </c>
      <c r="E979" s="3058">
        <v>12.72</v>
      </c>
      <c r="F979" s="3058">
        <v>100000</v>
      </c>
      <c r="G979" s="3059">
        <v>100000</v>
      </c>
      <c r="H979" s="3059" t="s">
        <v>3090</v>
      </c>
      <c r="I979" s="3058" t="s">
        <v>3054</v>
      </c>
    </row>
    <row r="980" spans="1:9">
      <c r="A980" s="3059">
        <v>1190</v>
      </c>
      <c r="B980" s="3062" t="s">
        <v>3291</v>
      </c>
      <c r="C980" s="3062"/>
      <c r="D980" s="3062" t="s">
        <v>3528</v>
      </c>
      <c r="E980" s="3058">
        <v>12.72</v>
      </c>
      <c r="F980" s="3058">
        <v>100000</v>
      </c>
      <c r="G980" s="3059">
        <v>100000</v>
      </c>
      <c r="H980" s="3059" t="s">
        <v>3090</v>
      </c>
      <c r="I980" s="3058" t="s">
        <v>3054</v>
      </c>
    </row>
    <row r="981" spans="1:9">
      <c r="A981" s="3059">
        <v>1191</v>
      </c>
      <c r="B981" s="3062" t="s">
        <v>3291</v>
      </c>
      <c r="C981" s="3062"/>
      <c r="D981" s="3062" t="s">
        <v>3527</v>
      </c>
      <c r="E981" s="3058">
        <v>12.72</v>
      </c>
      <c r="F981" s="3058">
        <v>100000</v>
      </c>
      <c r="G981" s="3059">
        <v>100000</v>
      </c>
      <c r="H981" s="3059" t="s">
        <v>3090</v>
      </c>
      <c r="I981" s="3058" t="s">
        <v>3054</v>
      </c>
    </row>
    <row r="982" spans="1:9">
      <c r="A982" s="3059">
        <v>1192</v>
      </c>
      <c r="B982" s="3062" t="s">
        <v>3291</v>
      </c>
      <c r="C982" s="3062"/>
      <c r="D982" s="3062" t="s">
        <v>3526</v>
      </c>
      <c r="E982" s="3058">
        <v>12.72</v>
      </c>
      <c r="F982" s="3058">
        <v>100000</v>
      </c>
      <c r="G982" s="3059">
        <v>100000</v>
      </c>
      <c r="H982" s="3059" t="s">
        <v>3090</v>
      </c>
      <c r="I982" s="3058" t="s">
        <v>3054</v>
      </c>
    </row>
    <row r="983" spans="1:9">
      <c r="A983" s="3059">
        <v>1193</v>
      </c>
      <c r="B983" s="3062" t="s">
        <v>3291</v>
      </c>
      <c r="C983" s="3062"/>
      <c r="D983" s="3062" t="s">
        <v>3525</v>
      </c>
      <c r="E983" s="3058">
        <v>12.72</v>
      </c>
      <c r="F983" s="3058">
        <v>100000</v>
      </c>
      <c r="G983" s="3059">
        <v>100000</v>
      </c>
      <c r="H983" s="3059" t="s">
        <v>3090</v>
      </c>
      <c r="I983" s="3058" t="s">
        <v>3054</v>
      </c>
    </row>
    <row r="984" spans="1:9">
      <c r="A984" s="3059">
        <v>1194</v>
      </c>
      <c r="B984" s="3062" t="s">
        <v>3291</v>
      </c>
      <c r="C984" s="3062"/>
      <c r="D984" s="3062" t="s">
        <v>3524</v>
      </c>
      <c r="E984" s="3058">
        <v>12.72</v>
      </c>
      <c r="F984" s="3058">
        <v>100000</v>
      </c>
      <c r="G984" s="3059">
        <v>100000</v>
      </c>
      <c r="H984" s="3059" t="s">
        <v>3090</v>
      </c>
      <c r="I984" s="3058" t="s">
        <v>3054</v>
      </c>
    </row>
    <row r="985" spans="1:9">
      <c r="A985" s="3059">
        <v>1195</v>
      </c>
      <c r="B985" s="3062" t="s">
        <v>3291</v>
      </c>
      <c r="C985" s="3062"/>
      <c r="D985" s="3062" t="s">
        <v>3523</v>
      </c>
      <c r="E985" s="3058">
        <v>12.72</v>
      </c>
      <c r="F985" s="3058">
        <v>100000</v>
      </c>
      <c r="G985" s="3059">
        <v>100000</v>
      </c>
      <c r="H985" s="3059" t="s">
        <v>3090</v>
      </c>
      <c r="I985" s="3058" t="s">
        <v>3054</v>
      </c>
    </row>
    <row r="986" spans="1:9">
      <c r="A986" s="3059">
        <v>1196</v>
      </c>
      <c r="B986" s="3062" t="s">
        <v>3291</v>
      </c>
      <c r="C986" s="3062"/>
      <c r="D986" s="3062" t="s">
        <v>3522</v>
      </c>
      <c r="E986" s="3058">
        <v>12.72</v>
      </c>
      <c r="F986" s="3058">
        <v>100000</v>
      </c>
      <c r="G986" s="3059">
        <v>100000</v>
      </c>
      <c r="H986" s="3059" t="s">
        <v>3090</v>
      </c>
      <c r="I986" s="3058" t="s">
        <v>3054</v>
      </c>
    </row>
    <row r="987" spans="1:9">
      <c r="A987" s="3059">
        <v>1197</v>
      </c>
      <c r="B987" s="3062" t="s">
        <v>3291</v>
      </c>
      <c r="C987" s="3062"/>
      <c r="D987" s="3062" t="s">
        <v>3521</v>
      </c>
      <c r="E987" s="3058">
        <v>12.72</v>
      </c>
      <c r="F987" s="3058">
        <v>100000</v>
      </c>
      <c r="G987" s="3059">
        <v>100000</v>
      </c>
      <c r="H987" s="3059" t="s">
        <v>3090</v>
      </c>
      <c r="I987" s="3058" t="s">
        <v>3054</v>
      </c>
    </row>
    <row r="988" spans="1:9">
      <c r="A988" s="3059">
        <v>1198</v>
      </c>
      <c r="B988" s="3062" t="s">
        <v>3291</v>
      </c>
      <c r="C988" s="3062"/>
      <c r="D988" s="3062" t="s">
        <v>3520</v>
      </c>
      <c r="E988" s="3058">
        <v>12.72</v>
      </c>
      <c r="F988" s="3058">
        <v>100000</v>
      </c>
      <c r="G988" s="3059">
        <v>100000</v>
      </c>
      <c r="H988" s="3059" t="s">
        <v>3090</v>
      </c>
      <c r="I988" s="3058" t="s">
        <v>3054</v>
      </c>
    </row>
    <row r="989" spans="1:9">
      <c r="A989" s="3059">
        <v>1199</v>
      </c>
      <c r="B989" s="3062" t="s">
        <v>3291</v>
      </c>
      <c r="C989" s="3062"/>
      <c r="D989" s="3062" t="s">
        <v>3519</v>
      </c>
      <c r="E989" s="3058">
        <v>12.72</v>
      </c>
      <c r="F989" s="3058">
        <v>100000</v>
      </c>
      <c r="G989" s="3059">
        <v>100000</v>
      </c>
      <c r="H989" s="3059" t="s">
        <v>3090</v>
      </c>
      <c r="I989" s="3058" t="s">
        <v>3054</v>
      </c>
    </row>
    <row r="990" spans="1:9">
      <c r="A990" s="3059">
        <v>1200</v>
      </c>
      <c r="B990" s="3062" t="s">
        <v>3291</v>
      </c>
      <c r="C990" s="3062"/>
      <c r="D990" s="3062" t="s">
        <v>3518</v>
      </c>
      <c r="E990" s="3058">
        <v>12.72</v>
      </c>
      <c r="F990" s="3058">
        <v>100000</v>
      </c>
      <c r="G990" s="3059">
        <v>100000</v>
      </c>
      <c r="H990" s="3059" t="s">
        <v>3090</v>
      </c>
      <c r="I990" s="3058" t="s">
        <v>3054</v>
      </c>
    </row>
    <row r="991" spans="1:9">
      <c r="A991" s="3059">
        <v>1201</v>
      </c>
      <c r="B991" s="3062" t="s">
        <v>3291</v>
      </c>
      <c r="C991" s="3062"/>
      <c r="D991" s="3062" t="s">
        <v>3517</v>
      </c>
      <c r="E991" s="3058">
        <v>12.72</v>
      </c>
      <c r="F991" s="3058">
        <v>100000</v>
      </c>
      <c r="G991" s="3059">
        <v>100000</v>
      </c>
      <c r="H991" s="3059" t="s">
        <v>3090</v>
      </c>
      <c r="I991" s="3058" t="s">
        <v>3054</v>
      </c>
    </row>
    <row r="992" spans="1:9">
      <c r="A992" s="3059">
        <v>1202</v>
      </c>
      <c r="B992" s="3062" t="s">
        <v>3291</v>
      </c>
      <c r="C992" s="3062"/>
      <c r="D992" s="3062" t="s">
        <v>3516</v>
      </c>
      <c r="E992" s="3058">
        <v>12.72</v>
      </c>
      <c r="F992" s="3058">
        <v>100000</v>
      </c>
      <c r="G992" s="3059">
        <v>100000</v>
      </c>
      <c r="H992" s="3059" t="s">
        <v>3090</v>
      </c>
      <c r="I992" s="3058" t="s">
        <v>3054</v>
      </c>
    </row>
    <row r="993" spans="1:9">
      <c r="A993" s="3059">
        <v>1203</v>
      </c>
      <c r="B993" s="3062" t="s">
        <v>3291</v>
      </c>
      <c r="C993" s="3062"/>
      <c r="D993" s="3062" t="s">
        <v>3515</v>
      </c>
      <c r="E993" s="3058">
        <v>12.72</v>
      </c>
      <c r="F993" s="3058">
        <v>100000</v>
      </c>
      <c r="G993" s="3059">
        <v>100000</v>
      </c>
      <c r="H993" s="3059" t="s">
        <v>3090</v>
      </c>
      <c r="I993" s="3058" t="s">
        <v>3054</v>
      </c>
    </row>
    <row r="994" spans="1:9">
      <c r="A994" s="3059">
        <v>1204</v>
      </c>
      <c r="B994" s="3062" t="s">
        <v>3291</v>
      </c>
      <c r="C994" s="3062"/>
      <c r="D994" s="3062" t="s">
        <v>3514</v>
      </c>
      <c r="E994" s="3058">
        <v>12.72</v>
      </c>
      <c r="F994" s="3058">
        <v>100000</v>
      </c>
      <c r="G994" s="3059">
        <v>100000</v>
      </c>
      <c r="H994" s="3059" t="s">
        <v>3090</v>
      </c>
      <c r="I994" s="3058" t="s">
        <v>3054</v>
      </c>
    </row>
    <row r="995" spans="1:9">
      <c r="A995" s="3059">
        <v>1205</v>
      </c>
      <c r="B995" s="3062" t="s">
        <v>3291</v>
      </c>
      <c r="C995" s="3062"/>
      <c r="D995" s="3062" t="s">
        <v>3513</v>
      </c>
      <c r="E995" s="3058">
        <v>12.72</v>
      </c>
      <c r="F995" s="3058">
        <v>100000</v>
      </c>
      <c r="G995" s="3059">
        <v>100000</v>
      </c>
      <c r="H995" s="3059" t="s">
        <v>3090</v>
      </c>
      <c r="I995" s="3058" t="s">
        <v>3054</v>
      </c>
    </row>
    <row r="996" spans="1:9">
      <c r="A996" s="3059">
        <v>1206</v>
      </c>
      <c r="B996" s="3062" t="s">
        <v>3291</v>
      </c>
      <c r="C996" s="3062"/>
      <c r="D996" s="3062" t="s">
        <v>3512</v>
      </c>
      <c r="E996" s="3058">
        <v>12.72</v>
      </c>
      <c r="F996" s="3058">
        <v>100000</v>
      </c>
      <c r="G996" s="3059">
        <v>100000</v>
      </c>
      <c r="H996" s="3059" t="s">
        <v>3090</v>
      </c>
      <c r="I996" s="3058" t="s">
        <v>3054</v>
      </c>
    </row>
    <row r="997" spans="1:9">
      <c r="A997" s="3059">
        <v>1207</v>
      </c>
      <c r="B997" s="3062" t="s">
        <v>3291</v>
      </c>
      <c r="C997" s="3062"/>
      <c r="D997" s="3062" t="s">
        <v>3511</v>
      </c>
      <c r="E997" s="3058">
        <v>12.72</v>
      </c>
      <c r="F997" s="3058">
        <v>100000</v>
      </c>
      <c r="G997" s="3059">
        <v>100000</v>
      </c>
      <c r="H997" s="3059" t="s">
        <v>3090</v>
      </c>
      <c r="I997" s="3058" t="s">
        <v>3054</v>
      </c>
    </row>
    <row r="998" spans="1:9">
      <c r="A998" s="3059">
        <v>1208</v>
      </c>
      <c r="B998" s="3062" t="s">
        <v>3291</v>
      </c>
      <c r="C998" s="3062"/>
      <c r="D998" s="3062" t="s">
        <v>3510</v>
      </c>
      <c r="E998" s="3058">
        <v>13.78</v>
      </c>
      <c r="F998" s="3058">
        <v>100000</v>
      </c>
      <c r="G998" s="3059">
        <v>100000</v>
      </c>
      <c r="H998" s="3059" t="s">
        <v>3090</v>
      </c>
      <c r="I998" s="3058" t="s">
        <v>3054</v>
      </c>
    </row>
    <row r="999" spans="1:9">
      <c r="A999" s="3059">
        <v>1209</v>
      </c>
      <c r="B999" s="3062" t="s">
        <v>3291</v>
      </c>
      <c r="C999" s="3062"/>
      <c r="D999" s="3062" t="s">
        <v>3509</v>
      </c>
      <c r="E999" s="3058">
        <v>13.78</v>
      </c>
      <c r="F999" s="3058">
        <v>100000</v>
      </c>
      <c r="G999" s="3059">
        <v>100000</v>
      </c>
      <c r="H999" s="3059" t="s">
        <v>3090</v>
      </c>
      <c r="I999" s="3058" t="s">
        <v>3054</v>
      </c>
    </row>
    <row r="1000" spans="1:9">
      <c r="A1000" s="3059">
        <v>1210</v>
      </c>
      <c r="B1000" s="3062" t="s">
        <v>3291</v>
      </c>
      <c r="C1000" s="3062"/>
      <c r="D1000" s="3062" t="s">
        <v>3508</v>
      </c>
      <c r="E1000" s="3058">
        <v>12.72</v>
      </c>
      <c r="F1000" s="3058">
        <v>100000</v>
      </c>
      <c r="G1000" s="3059">
        <v>100000</v>
      </c>
      <c r="H1000" s="3059" t="s">
        <v>3090</v>
      </c>
      <c r="I1000" s="3058" t="s">
        <v>3054</v>
      </c>
    </row>
    <row r="1001" spans="1:9">
      <c r="A1001" s="3059">
        <v>1211</v>
      </c>
      <c r="B1001" s="3062" t="s">
        <v>3291</v>
      </c>
      <c r="C1001" s="3062"/>
      <c r="D1001" s="3062" t="s">
        <v>3507</v>
      </c>
      <c r="E1001" s="3058">
        <v>12.72</v>
      </c>
      <c r="F1001" s="3058">
        <v>100000</v>
      </c>
      <c r="G1001" s="3059">
        <v>100000</v>
      </c>
      <c r="H1001" s="3059" t="s">
        <v>3090</v>
      </c>
      <c r="I1001" s="3058" t="s">
        <v>3054</v>
      </c>
    </row>
    <row r="1002" spans="1:9">
      <c r="A1002" s="3059">
        <v>1212</v>
      </c>
      <c r="B1002" s="3062" t="s">
        <v>3291</v>
      </c>
      <c r="C1002" s="3062"/>
      <c r="D1002" s="3062" t="s">
        <v>3506</v>
      </c>
      <c r="E1002" s="3058">
        <v>12.72</v>
      </c>
      <c r="F1002" s="3058">
        <v>100000</v>
      </c>
      <c r="G1002" s="3059">
        <v>100000</v>
      </c>
      <c r="H1002" s="3059" t="s">
        <v>3090</v>
      </c>
      <c r="I1002" s="3058" t="s">
        <v>3054</v>
      </c>
    </row>
    <row r="1003" spans="1:9">
      <c r="A1003" s="3059">
        <v>1213</v>
      </c>
      <c r="B1003" s="3062" t="s">
        <v>3291</v>
      </c>
      <c r="C1003" s="3062"/>
      <c r="D1003" s="3062" t="s">
        <v>3505</v>
      </c>
      <c r="E1003" s="3058">
        <v>12.72</v>
      </c>
      <c r="F1003" s="3058">
        <v>100000</v>
      </c>
      <c r="G1003" s="3059">
        <v>100000</v>
      </c>
      <c r="H1003" s="3059" t="s">
        <v>3090</v>
      </c>
      <c r="I1003" s="3058" t="s">
        <v>3054</v>
      </c>
    </row>
    <row r="1004" spans="1:9">
      <c r="A1004" s="3059">
        <v>1214</v>
      </c>
      <c r="B1004" s="3062" t="s">
        <v>3291</v>
      </c>
      <c r="C1004" s="3062"/>
      <c r="D1004" s="3062" t="s">
        <v>3504</v>
      </c>
      <c r="E1004" s="3058">
        <v>12.72</v>
      </c>
      <c r="F1004" s="3058">
        <v>100000</v>
      </c>
      <c r="G1004" s="3059">
        <v>100000</v>
      </c>
      <c r="H1004" s="3059" t="s">
        <v>3090</v>
      </c>
      <c r="I1004" s="3058" t="s">
        <v>3054</v>
      </c>
    </row>
    <row r="1005" spans="1:9">
      <c r="A1005" s="3059">
        <v>1215</v>
      </c>
      <c r="B1005" s="3062" t="s">
        <v>3291</v>
      </c>
      <c r="C1005" s="3062"/>
      <c r="D1005" s="3062" t="s">
        <v>3503</v>
      </c>
      <c r="E1005" s="3058">
        <v>12.72</v>
      </c>
      <c r="F1005" s="3058">
        <v>100000</v>
      </c>
      <c r="G1005" s="3059">
        <v>100000</v>
      </c>
      <c r="H1005" s="3059" t="s">
        <v>3090</v>
      </c>
      <c r="I1005" s="3058" t="s">
        <v>3054</v>
      </c>
    </row>
    <row r="1006" spans="1:9">
      <c r="A1006" s="3059">
        <v>1216</v>
      </c>
      <c r="B1006" s="3062" t="s">
        <v>3291</v>
      </c>
      <c r="C1006" s="3062"/>
      <c r="D1006" s="3062" t="s">
        <v>3502</v>
      </c>
      <c r="E1006" s="3058">
        <v>12.72</v>
      </c>
      <c r="F1006" s="3058">
        <v>100000</v>
      </c>
      <c r="G1006" s="3059">
        <v>100000</v>
      </c>
      <c r="H1006" s="3059" t="s">
        <v>3090</v>
      </c>
      <c r="I1006" s="3058" t="s">
        <v>3054</v>
      </c>
    </row>
    <row r="1007" spans="1:9">
      <c r="A1007" s="3059">
        <v>1217</v>
      </c>
      <c r="B1007" s="3062" t="s">
        <v>3291</v>
      </c>
      <c r="C1007" s="3062"/>
      <c r="D1007" s="3062" t="s">
        <v>3501</v>
      </c>
      <c r="E1007" s="3058">
        <v>12.72</v>
      </c>
      <c r="F1007" s="3058">
        <v>100000</v>
      </c>
      <c r="G1007" s="3059">
        <v>100000</v>
      </c>
      <c r="H1007" s="3059" t="s">
        <v>3090</v>
      </c>
      <c r="I1007" s="3058" t="s">
        <v>3054</v>
      </c>
    </row>
    <row r="1008" spans="1:9">
      <c r="A1008" s="3059">
        <v>1218</v>
      </c>
      <c r="B1008" s="3062" t="s">
        <v>3291</v>
      </c>
      <c r="C1008" s="3062"/>
      <c r="D1008" s="3062" t="s">
        <v>3500</v>
      </c>
      <c r="E1008" s="3058">
        <v>12.72</v>
      </c>
      <c r="F1008" s="3058">
        <v>100000</v>
      </c>
      <c r="G1008" s="3059">
        <v>100000</v>
      </c>
      <c r="H1008" s="3059" t="s">
        <v>3090</v>
      </c>
      <c r="I1008" s="3058" t="s">
        <v>3054</v>
      </c>
    </row>
    <row r="1009" spans="1:9">
      <c r="A1009" s="3059">
        <v>1219</v>
      </c>
      <c r="B1009" s="3062" t="s">
        <v>3291</v>
      </c>
      <c r="C1009" s="3062"/>
      <c r="D1009" s="3062" t="s">
        <v>3499</v>
      </c>
      <c r="E1009" s="3058">
        <v>12.72</v>
      </c>
      <c r="F1009" s="3058">
        <v>100000</v>
      </c>
      <c r="G1009" s="3059">
        <v>100000</v>
      </c>
      <c r="H1009" s="3059" t="s">
        <v>3090</v>
      </c>
      <c r="I1009" s="3058" t="s">
        <v>3054</v>
      </c>
    </row>
    <row r="1010" spans="1:9">
      <c r="A1010" s="3059">
        <v>1220</v>
      </c>
      <c r="B1010" s="3062" t="s">
        <v>3291</v>
      </c>
      <c r="C1010" s="3062"/>
      <c r="D1010" s="3062" t="s">
        <v>3498</v>
      </c>
      <c r="E1010" s="3058">
        <v>12.72</v>
      </c>
      <c r="F1010" s="3058">
        <v>100000</v>
      </c>
      <c r="G1010" s="3059">
        <v>100000</v>
      </c>
      <c r="H1010" s="3059" t="s">
        <v>3090</v>
      </c>
      <c r="I1010" s="3058" t="s">
        <v>3054</v>
      </c>
    </row>
    <row r="1011" spans="1:9">
      <c r="A1011" s="3059">
        <v>1221</v>
      </c>
      <c r="B1011" s="3062" t="s">
        <v>3291</v>
      </c>
      <c r="C1011" s="3062"/>
      <c r="D1011" s="3062" t="s">
        <v>3497</v>
      </c>
      <c r="E1011" s="3058">
        <v>12.72</v>
      </c>
      <c r="F1011" s="3058">
        <v>100000</v>
      </c>
      <c r="G1011" s="3059">
        <v>100000</v>
      </c>
      <c r="H1011" s="3059" t="s">
        <v>3090</v>
      </c>
      <c r="I1011" s="3058" t="s">
        <v>3054</v>
      </c>
    </row>
    <row r="1012" spans="1:9">
      <c r="A1012" s="3059">
        <v>1222</v>
      </c>
      <c r="B1012" s="3062" t="s">
        <v>3291</v>
      </c>
      <c r="C1012" s="3062"/>
      <c r="D1012" s="3062" t="s">
        <v>3496</v>
      </c>
      <c r="E1012" s="3058">
        <v>12.72</v>
      </c>
      <c r="F1012" s="3058">
        <v>100000</v>
      </c>
      <c r="G1012" s="3059">
        <v>100000</v>
      </c>
      <c r="H1012" s="3059" t="s">
        <v>3090</v>
      </c>
      <c r="I1012" s="3058" t="s">
        <v>3054</v>
      </c>
    </row>
    <row r="1013" spans="1:9">
      <c r="A1013" s="3059">
        <v>1223</v>
      </c>
      <c r="B1013" s="3062" t="s">
        <v>3291</v>
      </c>
      <c r="C1013" s="3062"/>
      <c r="D1013" s="3062" t="s">
        <v>3495</v>
      </c>
      <c r="E1013" s="3058">
        <v>12.72</v>
      </c>
      <c r="F1013" s="3058">
        <v>100000</v>
      </c>
      <c r="G1013" s="3059">
        <v>100000</v>
      </c>
      <c r="H1013" s="3059" t="s">
        <v>3090</v>
      </c>
      <c r="I1013" s="3058" t="s">
        <v>3054</v>
      </c>
    </row>
    <row r="1014" spans="1:9">
      <c r="A1014" s="3059">
        <v>1224</v>
      </c>
      <c r="B1014" s="3062" t="s">
        <v>3291</v>
      </c>
      <c r="C1014" s="3062"/>
      <c r="D1014" s="3062" t="s">
        <v>3494</v>
      </c>
      <c r="E1014" s="3058">
        <v>12.72</v>
      </c>
      <c r="F1014" s="3058">
        <v>100000</v>
      </c>
      <c r="G1014" s="3059">
        <v>100000</v>
      </c>
      <c r="H1014" s="3059" t="s">
        <v>3090</v>
      </c>
      <c r="I1014" s="3058" t="s">
        <v>3054</v>
      </c>
    </row>
    <row r="1015" spans="1:9">
      <c r="A1015" s="3059">
        <v>1225</v>
      </c>
      <c r="B1015" s="3062" t="s">
        <v>3291</v>
      </c>
      <c r="C1015" s="3062"/>
      <c r="D1015" s="3062" t="s">
        <v>3493</v>
      </c>
      <c r="E1015" s="3058">
        <v>12.72</v>
      </c>
      <c r="F1015" s="3058">
        <v>100000</v>
      </c>
      <c r="G1015" s="3059">
        <v>100000</v>
      </c>
      <c r="H1015" s="3059" t="s">
        <v>3090</v>
      </c>
      <c r="I1015" s="3058" t="s">
        <v>3054</v>
      </c>
    </row>
    <row r="1016" spans="1:9">
      <c r="A1016" s="3059">
        <v>1226</v>
      </c>
      <c r="B1016" s="3062" t="s">
        <v>3291</v>
      </c>
      <c r="C1016" s="3062"/>
      <c r="D1016" s="3062" t="s">
        <v>3492</v>
      </c>
      <c r="E1016" s="3058">
        <v>12.72</v>
      </c>
      <c r="F1016" s="3058">
        <v>100000</v>
      </c>
      <c r="G1016" s="3059">
        <v>100000</v>
      </c>
      <c r="H1016" s="3059" t="s">
        <v>3090</v>
      </c>
      <c r="I1016" s="3058" t="s">
        <v>3054</v>
      </c>
    </row>
    <row r="1017" spans="1:9">
      <c r="A1017" s="3059">
        <v>1227</v>
      </c>
      <c r="B1017" s="3062" t="s">
        <v>3291</v>
      </c>
      <c r="C1017" s="3062"/>
      <c r="D1017" s="3062" t="s">
        <v>3491</v>
      </c>
      <c r="E1017" s="3058">
        <v>12.72</v>
      </c>
      <c r="F1017" s="3058">
        <v>100000</v>
      </c>
      <c r="G1017" s="3059">
        <v>100000</v>
      </c>
      <c r="H1017" s="3059" t="s">
        <v>3090</v>
      </c>
      <c r="I1017" s="3058" t="s">
        <v>3054</v>
      </c>
    </row>
    <row r="1018" spans="1:9">
      <c r="A1018" s="3059">
        <v>1228</v>
      </c>
      <c r="B1018" s="3062" t="s">
        <v>3291</v>
      </c>
      <c r="C1018" s="3062"/>
      <c r="D1018" s="3062" t="s">
        <v>3490</v>
      </c>
      <c r="E1018" s="3058">
        <v>12.72</v>
      </c>
      <c r="F1018" s="3058">
        <v>100000</v>
      </c>
      <c r="G1018" s="3059">
        <v>100000</v>
      </c>
      <c r="H1018" s="3059" t="s">
        <v>3090</v>
      </c>
      <c r="I1018" s="3058" t="s">
        <v>3054</v>
      </c>
    </row>
    <row r="1019" spans="1:9">
      <c r="A1019" s="3059">
        <v>1229</v>
      </c>
      <c r="B1019" s="3062" t="s">
        <v>3291</v>
      </c>
      <c r="C1019" s="3062"/>
      <c r="D1019" s="3062" t="s">
        <v>3489</v>
      </c>
      <c r="E1019" s="3058">
        <v>12.72</v>
      </c>
      <c r="F1019" s="3058">
        <v>100000</v>
      </c>
      <c r="G1019" s="3059">
        <v>100000</v>
      </c>
      <c r="H1019" s="3059" t="s">
        <v>3090</v>
      </c>
      <c r="I1019" s="3058" t="s">
        <v>3054</v>
      </c>
    </row>
    <row r="1020" spans="1:9">
      <c r="A1020" s="3059">
        <v>1230</v>
      </c>
      <c r="B1020" s="3062" t="s">
        <v>3291</v>
      </c>
      <c r="C1020" s="3062"/>
      <c r="D1020" s="3062" t="s">
        <v>3488</v>
      </c>
      <c r="E1020" s="3058">
        <v>12.72</v>
      </c>
      <c r="F1020" s="3058">
        <v>100000</v>
      </c>
      <c r="G1020" s="3059">
        <v>100000</v>
      </c>
      <c r="H1020" s="3059" t="s">
        <v>3090</v>
      </c>
      <c r="I1020" s="3058" t="s">
        <v>3054</v>
      </c>
    </row>
    <row r="1021" spans="1:9">
      <c r="A1021" s="3059">
        <v>1231</v>
      </c>
      <c r="B1021" s="3062" t="s">
        <v>3291</v>
      </c>
      <c r="C1021" s="3062"/>
      <c r="D1021" s="3062" t="s">
        <v>3487</v>
      </c>
      <c r="E1021" s="3058">
        <v>12.72</v>
      </c>
      <c r="F1021" s="3058">
        <v>100000</v>
      </c>
      <c r="G1021" s="3059">
        <v>100000</v>
      </c>
      <c r="H1021" s="3059" t="s">
        <v>3090</v>
      </c>
      <c r="I1021" s="3058" t="s">
        <v>3054</v>
      </c>
    </row>
    <row r="1022" spans="1:9">
      <c r="A1022" s="3059">
        <v>1232</v>
      </c>
      <c r="B1022" s="3062" t="s">
        <v>3291</v>
      </c>
      <c r="C1022" s="3062"/>
      <c r="D1022" s="3062" t="s">
        <v>3486</v>
      </c>
      <c r="E1022" s="3058">
        <v>12.72</v>
      </c>
      <c r="F1022" s="3058">
        <v>100000</v>
      </c>
      <c r="G1022" s="3059">
        <v>100000</v>
      </c>
      <c r="H1022" s="3059" t="s">
        <v>3090</v>
      </c>
      <c r="I1022" s="3058" t="s">
        <v>3054</v>
      </c>
    </row>
    <row r="1023" spans="1:9">
      <c r="A1023" s="3059">
        <v>1233</v>
      </c>
      <c r="B1023" s="3062" t="s">
        <v>3291</v>
      </c>
      <c r="C1023" s="3062"/>
      <c r="D1023" s="3062" t="s">
        <v>3485</v>
      </c>
      <c r="E1023" s="3058">
        <v>12.72</v>
      </c>
      <c r="F1023" s="3058">
        <v>100000</v>
      </c>
      <c r="G1023" s="3059">
        <v>100000</v>
      </c>
      <c r="H1023" s="3059" t="s">
        <v>3090</v>
      </c>
      <c r="I1023" s="3058" t="s">
        <v>3054</v>
      </c>
    </row>
    <row r="1024" spans="1:9">
      <c r="A1024" s="3059">
        <v>1234</v>
      </c>
      <c r="B1024" s="3062" t="s">
        <v>3291</v>
      </c>
      <c r="C1024" s="3062"/>
      <c r="D1024" s="3062" t="s">
        <v>3484</v>
      </c>
      <c r="E1024" s="3058">
        <v>12.72</v>
      </c>
      <c r="F1024" s="3058">
        <v>100000</v>
      </c>
      <c r="G1024" s="3059">
        <v>100000</v>
      </c>
      <c r="H1024" s="3059" t="s">
        <v>3090</v>
      </c>
      <c r="I1024" s="3058" t="s">
        <v>3054</v>
      </c>
    </row>
    <row r="1025" spans="1:9">
      <c r="A1025" s="3059">
        <v>1235</v>
      </c>
      <c r="B1025" s="3062" t="s">
        <v>3291</v>
      </c>
      <c r="C1025" s="3062"/>
      <c r="D1025" s="3062" t="s">
        <v>3483</v>
      </c>
      <c r="E1025" s="3058">
        <v>12.72</v>
      </c>
      <c r="F1025" s="3058">
        <v>100000</v>
      </c>
      <c r="G1025" s="3059">
        <v>100000</v>
      </c>
      <c r="H1025" s="3059" t="s">
        <v>3090</v>
      </c>
      <c r="I1025" s="3058" t="s">
        <v>3054</v>
      </c>
    </row>
    <row r="1026" spans="1:9">
      <c r="A1026" s="3059">
        <v>1236</v>
      </c>
      <c r="B1026" s="3062" t="s">
        <v>3291</v>
      </c>
      <c r="C1026" s="3062"/>
      <c r="D1026" s="3062" t="s">
        <v>3482</v>
      </c>
      <c r="E1026" s="3058">
        <v>12.72</v>
      </c>
      <c r="F1026" s="3058">
        <v>100000</v>
      </c>
      <c r="G1026" s="3059">
        <v>100000</v>
      </c>
      <c r="H1026" s="3059" t="s">
        <v>3090</v>
      </c>
      <c r="I1026" s="3058" t="s">
        <v>3054</v>
      </c>
    </row>
    <row r="1027" spans="1:9">
      <c r="A1027" s="3059">
        <v>1237</v>
      </c>
      <c r="B1027" s="3062" t="s">
        <v>3291</v>
      </c>
      <c r="C1027" s="3062"/>
      <c r="D1027" s="3062" t="s">
        <v>3481</v>
      </c>
      <c r="E1027" s="3058">
        <v>12.72</v>
      </c>
      <c r="F1027" s="3058">
        <v>100000</v>
      </c>
      <c r="G1027" s="3059">
        <v>100000</v>
      </c>
      <c r="H1027" s="3059" t="s">
        <v>3090</v>
      </c>
      <c r="I1027" s="3058" t="s">
        <v>3054</v>
      </c>
    </row>
    <row r="1028" spans="1:9">
      <c r="A1028" s="3059">
        <v>1238</v>
      </c>
      <c r="B1028" s="3062" t="s">
        <v>3291</v>
      </c>
      <c r="C1028" s="3062"/>
      <c r="D1028" s="3062" t="s">
        <v>3480</v>
      </c>
      <c r="E1028" s="3058">
        <v>12.72</v>
      </c>
      <c r="F1028" s="3058">
        <v>100000</v>
      </c>
      <c r="G1028" s="3059">
        <v>100000</v>
      </c>
      <c r="H1028" s="3059" t="s">
        <v>3090</v>
      </c>
      <c r="I1028" s="3058" t="s">
        <v>3054</v>
      </c>
    </row>
    <row r="1029" spans="1:9">
      <c r="A1029" s="3059">
        <v>1239</v>
      </c>
      <c r="B1029" s="3062" t="s">
        <v>3291</v>
      </c>
      <c r="C1029" s="3062"/>
      <c r="D1029" s="3062" t="s">
        <v>3479</v>
      </c>
      <c r="E1029" s="3058">
        <v>12.72</v>
      </c>
      <c r="F1029" s="3058">
        <v>100000</v>
      </c>
      <c r="G1029" s="3059">
        <v>100000</v>
      </c>
      <c r="H1029" s="3059" t="s">
        <v>3090</v>
      </c>
      <c r="I1029" s="3058" t="s">
        <v>3054</v>
      </c>
    </row>
    <row r="1030" spans="1:9">
      <c r="A1030" s="3059">
        <v>1240</v>
      </c>
      <c r="B1030" s="3062" t="s">
        <v>3291</v>
      </c>
      <c r="C1030" s="3062"/>
      <c r="D1030" s="3062" t="s">
        <v>3478</v>
      </c>
      <c r="E1030" s="3058">
        <v>12.72</v>
      </c>
      <c r="F1030" s="3058">
        <v>100000</v>
      </c>
      <c r="G1030" s="3059">
        <v>100000</v>
      </c>
      <c r="H1030" s="3059" t="s">
        <v>3090</v>
      </c>
      <c r="I1030" s="3058" t="s">
        <v>3054</v>
      </c>
    </row>
    <row r="1031" spans="1:9">
      <c r="A1031" s="3059">
        <v>1241</v>
      </c>
      <c r="B1031" s="3062" t="s">
        <v>3291</v>
      </c>
      <c r="C1031" s="3062"/>
      <c r="D1031" s="3062" t="s">
        <v>3477</v>
      </c>
      <c r="E1031" s="3058">
        <v>12.72</v>
      </c>
      <c r="F1031" s="3058">
        <v>100000</v>
      </c>
      <c r="G1031" s="3059">
        <v>100000</v>
      </c>
      <c r="H1031" s="3059" t="s">
        <v>3090</v>
      </c>
      <c r="I1031" s="3058" t="s">
        <v>3054</v>
      </c>
    </row>
    <row r="1032" spans="1:9">
      <c r="A1032" s="3059">
        <v>1242</v>
      </c>
      <c r="B1032" s="3062" t="s">
        <v>3291</v>
      </c>
      <c r="C1032" s="3062"/>
      <c r="D1032" s="3062" t="s">
        <v>3476</v>
      </c>
      <c r="E1032" s="3058">
        <v>12.72</v>
      </c>
      <c r="F1032" s="3058">
        <v>100000</v>
      </c>
      <c r="G1032" s="3059">
        <v>100000</v>
      </c>
      <c r="H1032" s="3059" t="s">
        <v>3090</v>
      </c>
      <c r="I1032" s="3058" t="s">
        <v>3054</v>
      </c>
    </row>
    <row r="1033" spans="1:9">
      <c r="A1033" s="3059">
        <v>1243</v>
      </c>
      <c r="B1033" s="3062" t="s">
        <v>3291</v>
      </c>
      <c r="C1033" s="3062"/>
      <c r="D1033" s="3062" t="s">
        <v>3475</v>
      </c>
      <c r="E1033" s="3058">
        <v>12.72</v>
      </c>
      <c r="F1033" s="3058">
        <v>100000</v>
      </c>
      <c r="G1033" s="3059">
        <v>100000</v>
      </c>
      <c r="H1033" s="3059" t="s">
        <v>3090</v>
      </c>
      <c r="I1033" s="3058" t="s">
        <v>3054</v>
      </c>
    </row>
    <row r="1034" spans="1:9">
      <c r="A1034" s="3059">
        <v>1244</v>
      </c>
      <c r="B1034" s="3062" t="s">
        <v>3291</v>
      </c>
      <c r="C1034" s="3062"/>
      <c r="D1034" s="3062" t="s">
        <v>3474</v>
      </c>
      <c r="E1034" s="3058">
        <v>12.72</v>
      </c>
      <c r="F1034" s="3058">
        <v>100000</v>
      </c>
      <c r="G1034" s="3059">
        <v>100000</v>
      </c>
      <c r="H1034" s="3059" t="s">
        <v>3090</v>
      </c>
      <c r="I1034" s="3058" t="s">
        <v>3054</v>
      </c>
    </row>
    <row r="1035" spans="1:9">
      <c r="A1035" s="3059">
        <v>1245</v>
      </c>
      <c r="B1035" s="3062" t="s">
        <v>3291</v>
      </c>
      <c r="C1035" s="3062"/>
      <c r="D1035" s="3062" t="s">
        <v>3473</v>
      </c>
      <c r="E1035" s="3058">
        <v>12.72</v>
      </c>
      <c r="F1035" s="3058">
        <v>100000</v>
      </c>
      <c r="G1035" s="3059">
        <v>100000</v>
      </c>
      <c r="H1035" s="3059" t="s">
        <v>3090</v>
      </c>
      <c r="I1035" s="3058" t="s">
        <v>3054</v>
      </c>
    </row>
    <row r="1036" spans="1:9">
      <c r="A1036" s="3059">
        <v>1246</v>
      </c>
      <c r="B1036" s="3062" t="s">
        <v>3291</v>
      </c>
      <c r="C1036" s="3062"/>
      <c r="D1036" s="3062" t="s">
        <v>3472</v>
      </c>
      <c r="E1036" s="3058">
        <v>12.72</v>
      </c>
      <c r="F1036" s="3058">
        <v>100000</v>
      </c>
      <c r="G1036" s="3059">
        <v>100000</v>
      </c>
      <c r="H1036" s="3059" t="s">
        <v>3090</v>
      </c>
      <c r="I1036" s="3058" t="s">
        <v>3054</v>
      </c>
    </row>
    <row r="1037" spans="1:9">
      <c r="A1037" s="3059">
        <v>1247</v>
      </c>
      <c r="B1037" s="3062" t="s">
        <v>3291</v>
      </c>
      <c r="C1037" s="3062"/>
      <c r="D1037" s="3062" t="s">
        <v>3471</v>
      </c>
      <c r="E1037" s="3058">
        <v>12.72</v>
      </c>
      <c r="F1037" s="3058">
        <v>100000</v>
      </c>
      <c r="G1037" s="3059">
        <v>100000</v>
      </c>
      <c r="H1037" s="3059" t="s">
        <v>3090</v>
      </c>
      <c r="I1037" s="3058" t="s">
        <v>3054</v>
      </c>
    </row>
    <row r="1038" spans="1:9">
      <c r="A1038" s="3059">
        <v>1248</v>
      </c>
      <c r="B1038" s="3062" t="s">
        <v>3291</v>
      </c>
      <c r="C1038" s="3062"/>
      <c r="D1038" s="3062" t="s">
        <v>3470</v>
      </c>
      <c r="E1038" s="3058">
        <v>12.72</v>
      </c>
      <c r="F1038" s="3058">
        <v>100000</v>
      </c>
      <c r="G1038" s="3059">
        <v>100000</v>
      </c>
      <c r="H1038" s="3059" t="s">
        <v>3090</v>
      </c>
      <c r="I1038" s="3058" t="s">
        <v>3054</v>
      </c>
    </row>
    <row r="1039" spans="1:9">
      <c r="A1039" s="3059">
        <v>1249</v>
      </c>
      <c r="B1039" s="3062" t="s">
        <v>3291</v>
      </c>
      <c r="C1039" s="3062"/>
      <c r="D1039" s="3062" t="s">
        <v>3469</v>
      </c>
      <c r="E1039" s="3058">
        <v>12.72</v>
      </c>
      <c r="F1039" s="3058">
        <v>100000</v>
      </c>
      <c r="G1039" s="3059">
        <v>100000</v>
      </c>
      <c r="H1039" s="3059" t="s">
        <v>3090</v>
      </c>
      <c r="I1039" s="3058" t="s">
        <v>3054</v>
      </c>
    </row>
    <row r="1040" spans="1:9">
      <c r="A1040" s="3059">
        <v>1250</v>
      </c>
      <c r="B1040" s="3062" t="s">
        <v>3291</v>
      </c>
      <c r="C1040" s="3062"/>
      <c r="D1040" s="3062" t="s">
        <v>3468</v>
      </c>
      <c r="E1040" s="3058">
        <v>13.78</v>
      </c>
      <c r="F1040" s="3058">
        <v>100000</v>
      </c>
      <c r="G1040" s="3059">
        <v>100000</v>
      </c>
      <c r="H1040" s="3059" t="s">
        <v>3090</v>
      </c>
      <c r="I1040" s="3058" t="s">
        <v>3054</v>
      </c>
    </row>
    <row r="1041" spans="1:9">
      <c r="A1041" s="3059">
        <v>1251</v>
      </c>
      <c r="B1041" s="3062" t="s">
        <v>3291</v>
      </c>
      <c r="C1041" s="3062"/>
      <c r="D1041" s="3062" t="s">
        <v>3467</v>
      </c>
      <c r="E1041" s="3058">
        <v>13.78</v>
      </c>
      <c r="F1041" s="3058">
        <v>100000</v>
      </c>
      <c r="G1041" s="3059">
        <v>100000</v>
      </c>
      <c r="H1041" s="3059" t="s">
        <v>3090</v>
      </c>
      <c r="I1041" s="3058" t="s">
        <v>3054</v>
      </c>
    </row>
    <row r="1042" spans="1:9">
      <c r="A1042" s="3059">
        <v>1252</v>
      </c>
      <c r="B1042" s="3062" t="s">
        <v>3291</v>
      </c>
      <c r="C1042" s="3062"/>
      <c r="D1042" s="3062" t="s">
        <v>3466</v>
      </c>
      <c r="E1042" s="3058">
        <v>12.72</v>
      </c>
      <c r="F1042" s="3058">
        <v>100000</v>
      </c>
      <c r="G1042" s="3059">
        <v>100000</v>
      </c>
      <c r="H1042" s="3059" t="s">
        <v>3090</v>
      </c>
      <c r="I1042" s="3058" t="s">
        <v>3054</v>
      </c>
    </row>
    <row r="1043" spans="1:9">
      <c r="A1043" s="3059">
        <v>1253</v>
      </c>
      <c r="B1043" s="3062" t="s">
        <v>3291</v>
      </c>
      <c r="C1043" s="3062"/>
      <c r="D1043" s="3062" t="s">
        <v>3465</v>
      </c>
      <c r="E1043" s="3058">
        <v>12.72</v>
      </c>
      <c r="F1043" s="3058">
        <v>100000</v>
      </c>
      <c r="G1043" s="3059">
        <v>100000</v>
      </c>
      <c r="H1043" s="3059" t="s">
        <v>3090</v>
      </c>
      <c r="I1043" s="3058" t="s">
        <v>3054</v>
      </c>
    </row>
    <row r="1044" spans="1:9">
      <c r="A1044" s="3059">
        <v>1254</v>
      </c>
      <c r="B1044" s="3062" t="s">
        <v>3291</v>
      </c>
      <c r="C1044" s="3062"/>
      <c r="D1044" s="3062" t="s">
        <v>3464</v>
      </c>
      <c r="E1044" s="3058">
        <v>12.72</v>
      </c>
      <c r="F1044" s="3058">
        <v>100000</v>
      </c>
      <c r="G1044" s="3059">
        <v>100000</v>
      </c>
      <c r="H1044" s="3059" t="s">
        <v>3090</v>
      </c>
      <c r="I1044" s="3058" t="s">
        <v>3054</v>
      </c>
    </row>
    <row r="1045" spans="1:9">
      <c r="A1045" s="3059">
        <v>1255</v>
      </c>
      <c r="B1045" s="3062" t="s">
        <v>3291</v>
      </c>
      <c r="C1045" s="3062"/>
      <c r="D1045" s="3062" t="s">
        <v>3463</v>
      </c>
      <c r="E1045" s="3058">
        <v>12.72</v>
      </c>
      <c r="F1045" s="3058">
        <v>100000</v>
      </c>
      <c r="G1045" s="3059">
        <v>100000</v>
      </c>
      <c r="H1045" s="3059" t="s">
        <v>3090</v>
      </c>
      <c r="I1045" s="3058" t="s">
        <v>3054</v>
      </c>
    </row>
    <row r="1046" spans="1:9">
      <c r="A1046" s="3059">
        <v>1256</v>
      </c>
      <c r="B1046" s="3062" t="s">
        <v>3291</v>
      </c>
      <c r="C1046" s="3062"/>
      <c r="D1046" s="3062" t="s">
        <v>3462</v>
      </c>
      <c r="E1046" s="3058">
        <v>12.72</v>
      </c>
      <c r="F1046" s="3058">
        <v>100000</v>
      </c>
      <c r="G1046" s="3059">
        <v>100000</v>
      </c>
      <c r="H1046" s="3059" t="s">
        <v>3090</v>
      </c>
      <c r="I1046" s="3058" t="s">
        <v>3054</v>
      </c>
    </row>
    <row r="1047" spans="1:9">
      <c r="A1047" s="3059">
        <v>1257</v>
      </c>
      <c r="B1047" s="3062" t="s">
        <v>3291</v>
      </c>
      <c r="C1047" s="3062"/>
      <c r="D1047" s="3062" t="s">
        <v>3461</v>
      </c>
      <c r="E1047" s="3058">
        <v>12.72</v>
      </c>
      <c r="F1047" s="3058">
        <v>100000</v>
      </c>
      <c r="G1047" s="3059">
        <v>100000</v>
      </c>
      <c r="H1047" s="3059" t="s">
        <v>3090</v>
      </c>
      <c r="I1047" s="3058" t="s">
        <v>3054</v>
      </c>
    </row>
    <row r="1048" spans="1:9">
      <c r="A1048" s="3059">
        <v>1258</v>
      </c>
      <c r="B1048" s="3062" t="s">
        <v>3291</v>
      </c>
      <c r="C1048" s="3062"/>
      <c r="D1048" s="3062" t="s">
        <v>3460</v>
      </c>
      <c r="E1048" s="3058">
        <v>12.72</v>
      </c>
      <c r="F1048" s="3058">
        <v>100000</v>
      </c>
      <c r="G1048" s="3059">
        <v>100000</v>
      </c>
      <c r="H1048" s="3059" t="s">
        <v>3090</v>
      </c>
      <c r="I1048" s="3058" t="s">
        <v>3054</v>
      </c>
    </row>
    <row r="1049" spans="1:9">
      <c r="A1049" s="3059">
        <v>1259</v>
      </c>
      <c r="B1049" s="3062" t="s">
        <v>3291</v>
      </c>
      <c r="C1049" s="3062"/>
      <c r="D1049" s="3062" t="s">
        <v>3459</v>
      </c>
      <c r="E1049" s="3058">
        <v>12.72</v>
      </c>
      <c r="F1049" s="3058">
        <v>100000</v>
      </c>
      <c r="G1049" s="3059">
        <v>100000</v>
      </c>
      <c r="H1049" s="3059" t="s">
        <v>3090</v>
      </c>
      <c r="I1049" s="3058" t="s">
        <v>3054</v>
      </c>
    </row>
    <row r="1050" spans="1:9">
      <c r="A1050" s="3059">
        <v>1260</v>
      </c>
      <c r="B1050" s="3062" t="s">
        <v>3291</v>
      </c>
      <c r="C1050" s="3062"/>
      <c r="D1050" s="3062" t="s">
        <v>3458</v>
      </c>
      <c r="E1050" s="3058">
        <v>12.72</v>
      </c>
      <c r="F1050" s="3058">
        <v>100000</v>
      </c>
      <c r="G1050" s="3059">
        <v>100000</v>
      </c>
      <c r="H1050" s="3059" t="s">
        <v>3090</v>
      </c>
      <c r="I1050" s="3058" t="s">
        <v>3054</v>
      </c>
    </row>
    <row r="1051" spans="1:9">
      <c r="A1051" s="3059">
        <v>1261</v>
      </c>
      <c r="B1051" s="3062" t="s">
        <v>3291</v>
      </c>
      <c r="C1051" s="3062"/>
      <c r="D1051" s="3062" t="s">
        <v>3457</v>
      </c>
      <c r="E1051" s="3058">
        <v>12.72</v>
      </c>
      <c r="F1051" s="3058">
        <v>100000</v>
      </c>
      <c r="G1051" s="3059">
        <v>100000</v>
      </c>
      <c r="H1051" s="3059" t="s">
        <v>3090</v>
      </c>
      <c r="I1051" s="3058" t="s">
        <v>3054</v>
      </c>
    </row>
    <row r="1052" spans="1:9">
      <c r="A1052" s="3059">
        <v>1262</v>
      </c>
      <c r="B1052" s="3062" t="s">
        <v>3291</v>
      </c>
      <c r="C1052" s="3062"/>
      <c r="D1052" s="3062" t="s">
        <v>3456</v>
      </c>
      <c r="E1052" s="3058">
        <v>12.72</v>
      </c>
      <c r="F1052" s="3058">
        <v>100000</v>
      </c>
      <c r="G1052" s="3059">
        <v>100000</v>
      </c>
      <c r="H1052" s="3059" t="s">
        <v>3090</v>
      </c>
      <c r="I1052" s="3058" t="s">
        <v>3054</v>
      </c>
    </row>
    <row r="1053" spans="1:9">
      <c r="A1053" s="3059">
        <v>1263</v>
      </c>
      <c r="B1053" s="3062" t="s">
        <v>3291</v>
      </c>
      <c r="C1053" s="3062"/>
      <c r="D1053" s="3062" t="s">
        <v>3455</v>
      </c>
      <c r="E1053" s="3058">
        <v>12.72</v>
      </c>
      <c r="F1053" s="3058">
        <v>100000</v>
      </c>
      <c r="G1053" s="3059">
        <v>100000</v>
      </c>
      <c r="H1053" s="3059" t="s">
        <v>3090</v>
      </c>
      <c r="I1053" s="3058" t="s">
        <v>3054</v>
      </c>
    </row>
    <row r="1054" spans="1:9">
      <c r="A1054" s="3059">
        <v>1264</v>
      </c>
      <c r="B1054" s="3062" t="s">
        <v>3291</v>
      </c>
      <c r="C1054" s="3062"/>
      <c r="D1054" s="3062" t="s">
        <v>3454</v>
      </c>
      <c r="E1054" s="3058">
        <v>12.72</v>
      </c>
      <c r="F1054" s="3058">
        <v>100000</v>
      </c>
      <c r="G1054" s="3059">
        <v>100000</v>
      </c>
      <c r="H1054" s="3059" t="s">
        <v>3090</v>
      </c>
      <c r="I1054" s="3058" t="s">
        <v>3054</v>
      </c>
    </row>
    <row r="1055" spans="1:9">
      <c r="A1055" s="3059">
        <v>1265</v>
      </c>
      <c r="B1055" s="3062" t="s">
        <v>3291</v>
      </c>
      <c r="C1055" s="3062"/>
      <c r="D1055" s="3062" t="s">
        <v>3453</v>
      </c>
      <c r="E1055" s="3058">
        <v>12.72</v>
      </c>
      <c r="F1055" s="3058">
        <v>100000</v>
      </c>
      <c r="G1055" s="3059">
        <v>100000</v>
      </c>
      <c r="H1055" s="3059" t="s">
        <v>3090</v>
      </c>
      <c r="I1055" s="3058" t="s">
        <v>3054</v>
      </c>
    </row>
    <row r="1056" spans="1:9">
      <c r="A1056" s="3059">
        <v>1266</v>
      </c>
      <c r="B1056" s="3062" t="s">
        <v>3291</v>
      </c>
      <c r="C1056" s="3062"/>
      <c r="D1056" s="3062" t="s">
        <v>3452</v>
      </c>
      <c r="E1056" s="3058">
        <v>12.72</v>
      </c>
      <c r="F1056" s="3058">
        <v>100000</v>
      </c>
      <c r="G1056" s="3059">
        <v>100000</v>
      </c>
      <c r="H1056" s="3059" t="s">
        <v>3090</v>
      </c>
      <c r="I1056" s="3058" t="s">
        <v>3054</v>
      </c>
    </row>
    <row r="1057" spans="1:9">
      <c r="A1057" s="3059">
        <v>1267</v>
      </c>
      <c r="B1057" s="3062" t="s">
        <v>3291</v>
      </c>
      <c r="C1057" s="3062"/>
      <c r="D1057" s="3062" t="s">
        <v>3451</v>
      </c>
      <c r="E1057" s="3058">
        <v>12.72</v>
      </c>
      <c r="F1057" s="3058">
        <v>100000</v>
      </c>
      <c r="G1057" s="3059">
        <v>100000</v>
      </c>
      <c r="H1057" s="3059" t="s">
        <v>3090</v>
      </c>
      <c r="I1057" s="3058" t="s">
        <v>3054</v>
      </c>
    </row>
    <row r="1058" spans="1:9">
      <c r="A1058" s="3059">
        <v>1268</v>
      </c>
      <c r="B1058" s="3062" t="s">
        <v>3291</v>
      </c>
      <c r="C1058" s="3062"/>
      <c r="D1058" s="3062" t="s">
        <v>3450</v>
      </c>
      <c r="E1058" s="3058">
        <v>12.72</v>
      </c>
      <c r="F1058" s="3058">
        <v>100000</v>
      </c>
      <c r="G1058" s="3059">
        <v>100000</v>
      </c>
      <c r="H1058" s="3059" t="s">
        <v>3090</v>
      </c>
      <c r="I1058" s="3058" t="s">
        <v>3054</v>
      </c>
    </row>
    <row r="1059" spans="1:9">
      <c r="A1059" s="3059">
        <v>1269</v>
      </c>
      <c r="B1059" s="3062" t="s">
        <v>3291</v>
      </c>
      <c r="C1059" s="3062"/>
      <c r="D1059" s="3062" t="s">
        <v>3449</v>
      </c>
      <c r="E1059" s="3058">
        <v>12.72</v>
      </c>
      <c r="F1059" s="3058">
        <v>100000</v>
      </c>
      <c r="G1059" s="3059">
        <v>100000</v>
      </c>
      <c r="H1059" s="3059" t="s">
        <v>3090</v>
      </c>
      <c r="I1059" s="3058" t="s">
        <v>3054</v>
      </c>
    </row>
    <row r="1060" spans="1:9">
      <c r="A1060" s="3059">
        <v>1270</v>
      </c>
      <c r="B1060" s="3062" t="s">
        <v>3291</v>
      </c>
      <c r="C1060" s="3062"/>
      <c r="D1060" s="3062" t="s">
        <v>3448</v>
      </c>
      <c r="E1060" s="3058">
        <v>12.72</v>
      </c>
      <c r="F1060" s="3058">
        <v>100000</v>
      </c>
      <c r="G1060" s="3059">
        <v>100000</v>
      </c>
      <c r="H1060" s="3059" t="s">
        <v>3090</v>
      </c>
      <c r="I1060" s="3058" t="s">
        <v>3054</v>
      </c>
    </row>
    <row r="1061" spans="1:9">
      <c r="A1061" s="3059">
        <v>1271</v>
      </c>
      <c r="B1061" s="3062" t="s">
        <v>3291</v>
      </c>
      <c r="C1061" s="3062"/>
      <c r="D1061" s="3062" t="s">
        <v>3447</v>
      </c>
      <c r="E1061" s="3058">
        <v>12.72</v>
      </c>
      <c r="F1061" s="3058">
        <v>100000</v>
      </c>
      <c r="G1061" s="3059">
        <v>100000</v>
      </c>
      <c r="H1061" s="3059" t="s">
        <v>3090</v>
      </c>
      <c r="I1061" s="3058" t="s">
        <v>3054</v>
      </c>
    </row>
    <row r="1062" spans="1:9">
      <c r="A1062" s="3059">
        <v>1272</v>
      </c>
      <c r="B1062" s="3062" t="s">
        <v>3291</v>
      </c>
      <c r="C1062" s="3062"/>
      <c r="D1062" s="3062" t="s">
        <v>3446</v>
      </c>
      <c r="E1062" s="3058">
        <v>12.72</v>
      </c>
      <c r="F1062" s="3058">
        <v>100000</v>
      </c>
      <c r="G1062" s="3059">
        <v>100000</v>
      </c>
      <c r="H1062" s="3059" t="s">
        <v>3090</v>
      </c>
      <c r="I1062" s="3058" t="s">
        <v>3054</v>
      </c>
    </row>
    <row r="1063" spans="1:9">
      <c r="A1063" s="3059">
        <v>1273</v>
      </c>
      <c r="B1063" s="3062" t="s">
        <v>3291</v>
      </c>
      <c r="C1063" s="3062"/>
      <c r="D1063" s="3062" t="s">
        <v>3445</v>
      </c>
      <c r="E1063" s="3058">
        <v>12.72</v>
      </c>
      <c r="F1063" s="3058">
        <v>100000</v>
      </c>
      <c r="G1063" s="3059">
        <v>100000</v>
      </c>
      <c r="H1063" s="3059" t="s">
        <v>3090</v>
      </c>
      <c r="I1063" s="3058" t="s">
        <v>3054</v>
      </c>
    </row>
    <row r="1064" spans="1:9">
      <c r="A1064" s="3059">
        <v>1274</v>
      </c>
      <c r="B1064" s="3062" t="s">
        <v>3291</v>
      </c>
      <c r="C1064" s="3062"/>
      <c r="D1064" s="3062" t="s">
        <v>3444</v>
      </c>
      <c r="E1064" s="3058">
        <v>12.72</v>
      </c>
      <c r="F1064" s="3058">
        <v>100000</v>
      </c>
      <c r="G1064" s="3059">
        <v>100000</v>
      </c>
      <c r="H1064" s="3059" t="s">
        <v>3090</v>
      </c>
      <c r="I1064" s="3058" t="s">
        <v>3054</v>
      </c>
    </row>
    <row r="1065" spans="1:9">
      <c r="A1065" s="3059">
        <v>1275</v>
      </c>
      <c r="B1065" s="3062" t="s">
        <v>3291</v>
      </c>
      <c r="C1065" s="3062"/>
      <c r="D1065" s="3062" t="s">
        <v>3443</v>
      </c>
      <c r="E1065" s="3058">
        <v>12.72</v>
      </c>
      <c r="F1065" s="3058">
        <v>100000</v>
      </c>
      <c r="G1065" s="3059">
        <v>100000</v>
      </c>
      <c r="H1065" s="3059" t="s">
        <v>3090</v>
      </c>
      <c r="I1065" s="3058" t="s">
        <v>3054</v>
      </c>
    </row>
    <row r="1066" spans="1:9">
      <c r="A1066" s="3059">
        <v>1276</v>
      </c>
      <c r="B1066" s="3062" t="s">
        <v>3291</v>
      </c>
      <c r="C1066" s="3062"/>
      <c r="D1066" s="3062" t="s">
        <v>3442</v>
      </c>
      <c r="E1066" s="3058">
        <v>12.72</v>
      </c>
      <c r="F1066" s="3058">
        <v>100000</v>
      </c>
      <c r="G1066" s="3059">
        <v>100000</v>
      </c>
      <c r="H1066" s="3059" t="s">
        <v>3090</v>
      </c>
      <c r="I1066" s="3058" t="s">
        <v>3054</v>
      </c>
    </row>
    <row r="1067" spans="1:9">
      <c r="A1067" s="3059">
        <v>1277</v>
      </c>
      <c r="B1067" s="3062" t="s">
        <v>3291</v>
      </c>
      <c r="C1067" s="3062"/>
      <c r="D1067" s="3062" t="s">
        <v>3441</v>
      </c>
      <c r="E1067" s="3058">
        <v>12.72</v>
      </c>
      <c r="F1067" s="3058">
        <v>100000</v>
      </c>
      <c r="G1067" s="3059">
        <v>100000</v>
      </c>
      <c r="H1067" s="3059" t="s">
        <v>3090</v>
      </c>
      <c r="I1067" s="3058" t="s">
        <v>3054</v>
      </c>
    </row>
    <row r="1068" spans="1:9">
      <c r="A1068" s="3059">
        <v>1278</v>
      </c>
      <c r="B1068" s="3062" t="s">
        <v>3291</v>
      </c>
      <c r="C1068" s="3062"/>
      <c r="D1068" s="3062" t="s">
        <v>3440</v>
      </c>
      <c r="E1068" s="3058">
        <v>12.72</v>
      </c>
      <c r="F1068" s="3058">
        <v>100000</v>
      </c>
      <c r="G1068" s="3059">
        <v>100000</v>
      </c>
      <c r="H1068" s="3059" t="s">
        <v>3090</v>
      </c>
      <c r="I1068" s="3058" t="s">
        <v>3054</v>
      </c>
    </row>
    <row r="1069" spans="1:9">
      <c r="A1069" s="3059">
        <v>1279</v>
      </c>
      <c r="B1069" s="3062" t="s">
        <v>3291</v>
      </c>
      <c r="C1069" s="3062"/>
      <c r="D1069" s="3062" t="s">
        <v>3439</v>
      </c>
      <c r="E1069" s="3058">
        <v>12.72</v>
      </c>
      <c r="F1069" s="3058">
        <v>100000</v>
      </c>
      <c r="G1069" s="3059">
        <v>100000</v>
      </c>
      <c r="H1069" s="3059" t="s">
        <v>3090</v>
      </c>
      <c r="I1069" s="3058" t="s">
        <v>3054</v>
      </c>
    </row>
    <row r="1070" spans="1:9">
      <c r="A1070" s="3059">
        <v>1280</v>
      </c>
      <c r="B1070" s="3062" t="s">
        <v>3291</v>
      </c>
      <c r="C1070" s="3062"/>
      <c r="D1070" s="3062" t="s">
        <v>3438</v>
      </c>
      <c r="E1070" s="3058">
        <v>12.72</v>
      </c>
      <c r="F1070" s="3058">
        <v>100000</v>
      </c>
      <c r="G1070" s="3059">
        <v>100000</v>
      </c>
      <c r="H1070" s="3059" t="s">
        <v>3090</v>
      </c>
      <c r="I1070" s="3058" t="s">
        <v>3054</v>
      </c>
    </row>
    <row r="1071" spans="1:9">
      <c r="A1071" s="3059">
        <v>1281</v>
      </c>
      <c r="B1071" s="3062" t="s">
        <v>3291</v>
      </c>
      <c r="C1071" s="3062"/>
      <c r="D1071" s="3062" t="s">
        <v>3437</v>
      </c>
      <c r="E1071" s="3058">
        <v>12.72</v>
      </c>
      <c r="F1071" s="3058">
        <v>100000</v>
      </c>
      <c r="G1071" s="3059">
        <v>100000</v>
      </c>
      <c r="H1071" s="3059" t="s">
        <v>3090</v>
      </c>
      <c r="I1071" s="3058" t="s">
        <v>3054</v>
      </c>
    </row>
    <row r="1072" spans="1:9">
      <c r="A1072" s="3059">
        <v>1282</v>
      </c>
      <c r="B1072" s="3062" t="s">
        <v>3291</v>
      </c>
      <c r="C1072" s="3062"/>
      <c r="D1072" s="3062" t="s">
        <v>3436</v>
      </c>
      <c r="E1072" s="3058">
        <v>12.72</v>
      </c>
      <c r="F1072" s="3058">
        <v>100000</v>
      </c>
      <c r="G1072" s="3059">
        <v>100000</v>
      </c>
      <c r="H1072" s="3059" t="s">
        <v>3090</v>
      </c>
      <c r="I1072" s="3058" t="s">
        <v>3054</v>
      </c>
    </row>
    <row r="1073" spans="1:9">
      <c r="A1073" s="3059">
        <v>1283</v>
      </c>
      <c r="B1073" s="3062" t="s">
        <v>3291</v>
      </c>
      <c r="C1073" s="3062"/>
      <c r="D1073" s="3062" t="s">
        <v>3435</v>
      </c>
      <c r="E1073" s="3058">
        <v>12.72</v>
      </c>
      <c r="F1073" s="3058">
        <v>100000</v>
      </c>
      <c r="G1073" s="3059">
        <v>100000</v>
      </c>
      <c r="H1073" s="3059" t="s">
        <v>3090</v>
      </c>
      <c r="I1073" s="3058" t="s">
        <v>3054</v>
      </c>
    </row>
    <row r="1074" spans="1:9">
      <c r="A1074" s="3059">
        <v>1284</v>
      </c>
      <c r="B1074" s="3062" t="s">
        <v>3291</v>
      </c>
      <c r="C1074" s="3062"/>
      <c r="D1074" s="3062" t="s">
        <v>3434</v>
      </c>
      <c r="E1074" s="3058">
        <v>12.72</v>
      </c>
      <c r="F1074" s="3058">
        <v>100000</v>
      </c>
      <c r="G1074" s="3059">
        <v>100000</v>
      </c>
      <c r="H1074" s="3059" t="s">
        <v>3090</v>
      </c>
      <c r="I1074" s="3058" t="s">
        <v>3054</v>
      </c>
    </row>
    <row r="1075" spans="1:9">
      <c r="A1075" s="3059">
        <v>1285</v>
      </c>
      <c r="B1075" s="3062" t="s">
        <v>3291</v>
      </c>
      <c r="C1075" s="3062"/>
      <c r="D1075" s="3062" t="s">
        <v>3433</v>
      </c>
      <c r="E1075" s="3058">
        <v>12.72</v>
      </c>
      <c r="F1075" s="3058">
        <v>100000</v>
      </c>
      <c r="G1075" s="3059">
        <v>100000</v>
      </c>
      <c r="H1075" s="3059" t="s">
        <v>3090</v>
      </c>
      <c r="I1075" s="3058" t="s">
        <v>3054</v>
      </c>
    </row>
    <row r="1076" spans="1:9">
      <c r="A1076" s="3059">
        <v>1286</v>
      </c>
      <c r="B1076" s="3062" t="s">
        <v>3291</v>
      </c>
      <c r="C1076" s="3062"/>
      <c r="D1076" s="3062" t="s">
        <v>3432</v>
      </c>
      <c r="E1076" s="3058">
        <v>12.72</v>
      </c>
      <c r="F1076" s="3058">
        <v>100000</v>
      </c>
      <c r="G1076" s="3059">
        <v>100000</v>
      </c>
      <c r="H1076" s="3059" t="s">
        <v>3090</v>
      </c>
      <c r="I1076" s="3058" t="s">
        <v>3054</v>
      </c>
    </row>
    <row r="1077" spans="1:9">
      <c r="A1077" s="3059">
        <v>1287</v>
      </c>
      <c r="B1077" s="3062" t="s">
        <v>3291</v>
      </c>
      <c r="C1077" s="3062"/>
      <c r="D1077" s="3062" t="s">
        <v>3431</v>
      </c>
      <c r="E1077" s="3058">
        <v>12.72</v>
      </c>
      <c r="F1077" s="3058">
        <v>100000</v>
      </c>
      <c r="G1077" s="3059">
        <v>100000</v>
      </c>
      <c r="H1077" s="3059" t="s">
        <v>3090</v>
      </c>
      <c r="I1077" s="3058" t="s">
        <v>3054</v>
      </c>
    </row>
    <row r="1078" spans="1:9">
      <c r="A1078" s="3059">
        <v>1288</v>
      </c>
      <c r="B1078" s="3062" t="s">
        <v>3291</v>
      </c>
      <c r="C1078" s="3062"/>
      <c r="D1078" s="3062" t="s">
        <v>3430</v>
      </c>
      <c r="E1078" s="3058">
        <v>12.72</v>
      </c>
      <c r="F1078" s="3058">
        <v>100000</v>
      </c>
      <c r="G1078" s="3059">
        <v>100000</v>
      </c>
      <c r="H1078" s="3059" t="s">
        <v>3090</v>
      </c>
      <c r="I1078" s="3058" t="s">
        <v>3054</v>
      </c>
    </row>
    <row r="1079" spans="1:9">
      <c r="A1079" s="3059">
        <v>1289</v>
      </c>
      <c r="B1079" s="3062" t="s">
        <v>3291</v>
      </c>
      <c r="C1079" s="3062"/>
      <c r="D1079" s="3062" t="s">
        <v>3429</v>
      </c>
      <c r="E1079" s="3058">
        <v>12.72</v>
      </c>
      <c r="F1079" s="3058">
        <v>100000</v>
      </c>
      <c r="G1079" s="3059">
        <v>100000</v>
      </c>
      <c r="H1079" s="3059" t="s">
        <v>3090</v>
      </c>
      <c r="I1079" s="3058" t="s">
        <v>3054</v>
      </c>
    </row>
    <row r="1080" spans="1:9">
      <c r="A1080" s="3059">
        <v>1290</v>
      </c>
      <c r="B1080" s="3062" t="s">
        <v>3291</v>
      </c>
      <c r="C1080" s="3062"/>
      <c r="D1080" s="3062" t="s">
        <v>3428</v>
      </c>
      <c r="E1080" s="3058">
        <v>12.72</v>
      </c>
      <c r="F1080" s="3058">
        <v>100000</v>
      </c>
      <c r="G1080" s="3059">
        <v>100000</v>
      </c>
      <c r="H1080" s="3059" t="s">
        <v>3090</v>
      </c>
      <c r="I1080" s="3058" t="s">
        <v>3054</v>
      </c>
    </row>
    <row r="1081" spans="1:9">
      <c r="A1081" s="3059">
        <v>1291</v>
      </c>
      <c r="B1081" s="3062" t="s">
        <v>3291</v>
      </c>
      <c r="C1081" s="3062"/>
      <c r="D1081" s="3062" t="s">
        <v>3427</v>
      </c>
      <c r="E1081" s="3058">
        <v>12.72</v>
      </c>
      <c r="F1081" s="3058">
        <v>100000</v>
      </c>
      <c r="G1081" s="3059">
        <v>100000</v>
      </c>
      <c r="H1081" s="3059" t="s">
        <v>3090</v>
      </c>
      <c r="I1081" s="3058" t="s">
        <v>3054</v>
      </c>
    </row>
    <row r="1082" spans="1:9">
      <c r="A1082" s="3059">
        <v>1292</v>
      </c>
      <c r="B1082" s="3062" t="s">
        <v>3291</v>
      </c>
      <c r="C1082" s="3062"/>
      <c r="D1082" s="3062" t="s">
        <v>3426</v>
      </c>
      <c r="E1082" s="3058">
        <v>13.78</v>
      </c>
      <c r="F1082" s="3058">
        <v>100000</v>
      </c>
      <c r="G1082" s="3059">
        <v>100000</v>
      </c>
      <c r="H1082" s="3059" t="s">
        <v>3090</v>
      </c>
      <c r="I1082" s="3058" t="s">
        <v>3054</v>
      </c>
    </row>
    <row r="1083" spans="1:9">
      <c r="A1083" s="3059">
        <v>1293</v>
      </c>
      <c r="B1083" s="3062" t="s">
        <v>3291</v>
      </c>
      <c r="C1083" s="3062"/>
      <c r="D1083" s="3062" t="s">
        <v>3425</v>
      </c>
      <c r="E1083" s="3058">
        <v>12.72</v>
      </c>
      <c r="F1083" s="3058">
        <v>100000</v>
      </c>
      <c r="G1083" s="3059">
        <v>100000</v>
      </c>
      <c r="H1083" s="3059" t="s">
        <v>3090</v>
      </c>
      <c r="I1083" s="3058" t="s">
        <v>3054</v>
      </c>
    </row>
    <row r="1084" spans="1:9">
      <c r="A1084" s="3059">
        <v>1294</v>
      </c>
      <c r="B1084" s="3062" t="s">
        <v>3291</v>
      </c>
      <c r="C1084" s="3062"/>
      <c r="D1084" s="3062" t="s">
        <v>3424</v>
      </c>
      <c r="E1084" s="3058">
        <v>13.78</v>
      </c>
      <c r="F1084" s="3058">
        <v>100000</v>
      </c>
      <c r="G1084" s="3059">
        <v>100000</v>
      </c>
      <c r="H1084" s="3059" t="s">
        <v>3090</v>
      </c>
      <c r="I1084" s="3058" t="s">
        <v>3054</v>
      </c>
    </row>
    <row r="1085" spans="1:9">
      <c r="A1085" s="3059">
        <v>1295</v>
      </c>
      <c r="B1085" s="3062" t="s">
        <v>3291</v>
      </c>
      <c r="C1085" s="3062"/>
      <c r="D1085" s="3062" t="s">
        <v>3423</v>
      </c>
      <c r="E1085" s="3058">
        <v>12.72</v>
      </c>
      <c r="F1085" s="3058">
        <v>100000</v>
      </c>
      <c r="G1085" s="3059">
        <v>100000</v>
      </c>
      <c r="H1085" s="3059" t="s">
        <v>3090</v>
      </c>
      <c r="I1085" s="3058" t="s">
        <v>3054</v>
      </c>
    </row>
    <row r="1086" spans="1:9">
      <c r="A1086" s="3059">
        <v>1296</v>
      </c>
      <c r="B1086" s="3062" t="s">
        <v>3291</v>
      </c>
      <c r="C1086" s="3062"/>
      <c r="D1086" s="3062" t="s">
        <v>3422</v>
      </c>
      <c r="E1086" s="3058">
        <v>12.72</v>
      </c>
      <c r="F1086" s="3058">
        <v>100000</v>
      </c>
      <c r="G1086" s="3059">
        <v>100000</v>
      </c>
      <c r="H1086" s="3059" t="s">
        <v>3090</v>
      </c>
      <c r="I1086" s="3058" t="s">
        <v>3054</v>
      </c>
    </row>
    <row r="1087" spans="1:9">
      <c r="A1087" s="3059">
        <v>1297</v>
      </c>
      <c r="B1087" s="3062" t="s">
        <v>3291</v>
      </c>
      <c r="C1087" s="3062"/>
      <c r="D1087" s="3062" t="s">
        <v>3421</v>
      </c>
      <c r="E1087" s="3058">
        <v>13.78</v>
      </c>
      <c r="F1087" s="3058">
        <v>100000</v>
      </c>
      <c r="G1087" s="3059">
        <v>100000</v>
      </c>
      <c r="H1087" s="3059" t="s">
        <v>3090</v>
      </c>
      <c r="I1087" s="3058" t="s">
        <v>3054</v>
      </c>
    </row>
    <row r="1088" spans="1:9">
      <c r="A1088" s="3059">
        <v>1298</v>
      </c>
      <c r="B1088" s="3062" t="s">
        <v>3291</v>
      </c>
      <c r="C1088" s="3062"/>
      <c r="D1088" s="3062" t="s">
        <v>3420</v>
      </c>
      <c r="E1088" s="3058">
        <v>12.72</v>
      </c>
      <c r="F1088" s="3058">
        <v>100000</v>
      </c>
      <c r="G1088" s="3059">
        <v>100000</v>
      </c>
      <c r="H1088" s="3059" t="s">
        <v>3090</v>
      </c>
      <c r="I1088" s="3058" t="s">
        <v>3054</v>
      </c>
    </row>
    <row r="1089" spans="1:9">
      <c r="A1089" s="3059">
        <v>1299</v>
      </c>
      <c r="B1089" s="3062" t="s">
        <v>3291</v>
      </c>
      <c r="C1089" s="3062"/>
      <c r="D1089" s="3062" t="s">
        <v>3419</v>
      </c>
      <c r="E1089" s="3058">
        <v>12.72</v>
      </c>
      <c r="F1089" s="3058">
        <v>100000</v>
      </c>
      <c r="G1089" s="3059">
        <v>100000</v>
      </c>
      <c r="H1089" s="3059" t="s">
        <v>3090</v>
      </c>
      <c r="I1089" s="3058" t="s">
        <v>3054</v>
      </c>
    </row>
    <row r="1090" spans="1:9">
      <c r="A1090" s="3059">
        <v>1300</v>
      </c>
      <c r="B1090" s="3062" t="s">
        <v>3291</v>
      </c>
      <c r="C1090" s="3062"/>
      <c r="D1090" s="3062" t="s">
        <v>3418</v>
      </c>
      <c r="E1090" s="3058">
        <v>12.72</v>
      </c>
      <c r="F1090" s="3058">
        <v>100000</v>
      </c>
      <c r="G1090" s="3059">
        <v>100000</v>
      </c>
      <c r="H1090" s="3059" t="s">
        <v>3090</v>
      </c>
      <c r="I1090" s="3058" t="s">
        <v>3054</v>
      </c>
    </row>
    <row r="1091" spans="1:9">
      <c r="A1091" s="3059">
        <v>1301</v>
      </c>
      <c r="B1091" s="3062" t="s">
        <v>3291</v>
      </c>
      <c r="C1091" s="3062"/>
      <c r="D1091" s="3062" t="s">
        <v>3417</v>
      </c>
      <c r="E1091" s="3058">
        <v>12.72</v>
      </c>
      <c r="F1091" s="3058">
        <v>100000</v>
      </c>
      <c r="G1091" s="3059">
        <v>100000</v>
      </c>
      <c r="H1091" s="3059" t="s">
        <v>3090</v>
      </c>
      <c r="I1091" s="3058" t="s">
        <v>3054</v>
      </c>
    </row>
    <row r="1092" spans="1:9">
      <c r="A1092" s="3059">
        <v>1302</v>
      </c>
      <c r="B1092" s="3062" t="s">
        <v>3291</v>
      </c>
      <c r="C1092" s="3062"/>
      <c r="D1092" s="3062" t="s">
        <v>3416</v>
      </c>
      <c r="E1092" s="3058">
        <v>12.72</v>
      </c>
      <c r="F1092" s="3058">
        <v>100000</v>
      </c>
      <c r="G1092" s="3059">
        <v>100000</v>
      </c>
      <c r="H1092" s="3059" t="s">
        <v>3090</v>
      </c>
      <c r="I1092" s="3058" t="s">
        <v>3054</v>
      </c>
    </row>
    <row r="1093" spans="1:9">
      <c r="A1093" s="3059">
        <v>1303</v>
      </c>
      <c r="B1093" s="3062" t="s">
        <v>3291</v>
      </c>
      <c r="C1093" s="3062"/>
      <c r="D1093" s="3062" t="s">
        <v>3415</v>
      </c>
      <c r="E1093" s="3058">
        <v>13.78</v>
      </c>
      <c r="F1093" s="3058">
        <v>100000</v>
      </c>
      <c r="G1093" s="3059">
        <v>100000</v>
      </c>
      <c r="H1093" s="3059" t="s">
        <v>3090</v>
      </c>
      <c r="I1093" s="3058" t="s">
        <v>3054</v>
      </c>
    </row>
    <row r="1094" spans="1:9">
      <c r="A1094" s="3059">
        <v>1304</v>
      </c>
      <c r="B1094" s="3062" t="s">
        <v>3291</v>
      </c>
      <c r="C1094" s="3062"/>
      <c r="D1094" s="3062" t="s">
        <v>3414</v>
      </c>
      <c r="E1094" s="3058">
        <v>12.72</v>
      </c>
      <c r="F1094" s="3058">
        <v>100000</v>
      </c>
      <c r="G1094" s="3059">
        <v>100000</v>
      </c>
      <c r="H1094" s="3059" t="s">
        <v>3090</v>
      </c>
      <c r="I1094" s="3058" t="s">
        <v>3054</v>
      </c>
    </row>
    <row r="1095" spans="1:9">
      <c r="A1095" s="3059">
        <v>1305</v>
      </c>
      <c r="B1095" s="3062" t="s">
        <v>3291</v>
      </c>
      <c r="C1095" s="3062"/>
      <c r="D1095" s="3062" t="s">
        <v>3413</v>
      </c>
      <c r="E1095" s="3058">
        <v>12.72</v>
      </c>
      <c r="F1095" s="3058">
        <v>100000</v>
      </c>
      <c r="G1095" s="3059">
        <v>100000</v>
      </c>
      <c r="H1095" s="3059" t="s">
        <v>3090</v>
      </c>
      <c r="I1095" s="3058" t="s">
        <v>3054</v>
      </c>
    </row>
    <row r="1096" spans="1:9">
      <c r="A1096" s="3059">
        <v>1306</v>
      </c>
      <c r="B1096" s="3062" t="s">
        <v>3291</v>
      </c>
      <c r="C1096" s="3062"/>
      <c r="D1096" s="3062" t="s">
        <v>3412</v>
      </c>
      <c r="E1096" s="3058">
        <v>13.78</v>
      </c>
      <c r="F1096" s="3058">
        <v>100000</v>
      </c>
      <c r="G1096" s="3059">
        <v>100000</v>
      </c>
      <c r="H1096" s="3059" t="s">
        <v>3090</v>
      </c>
      <c r="I1096" s="3058" t="s">
        <v>3054</v>
      </c>
    </row>
    <row r="1097" spans="1:9">
      <c r="A1097" s="3059">
        <v>1307</v>
      </c>
      <c r="B1097" s="3062" t="s">
        <v>3291</v>
      </c>
      <c r="C1097" s="3062"/>
      <c r="D1097" s="3062" t="s">
        <v>3411</v>
      </c>
      <c r="E1097" s="3058">
        <v>12.72</v>
      </c>
      <c r="F1097" s="3058">
        <v>100000</v>
      </c>
      <c r="G1097" s="3059">
        <v>100000</v>
      </c>
      <c r="H1097" s="3059" t="s">
        <v>3090</v>
      </c>
      <c r="I1097" s="3058" t="s">
        <v>3054</v>
      </c>
    </row>
    <row r="1098" spans="1:9">
      <c r="A1098" s="3059">
        <v>1308</v>
      </c>
      <c r="B1098" s="3062" t="s">
        <v>3291</v>
      </c>
      <c r="C1098" s="3062"/>
      <c r="D1098" s="3062" t="s">
        <v>3410</v>
      </c>
      <c r="E1098" s="3058">
        <v>12.72</v>
      </c>
      <c r="F1098" s="3058">
        <v>100000</v>
      </c>
      <c r="G1098" s="3059">
        <v>100000</v>
      </c>
      <c r="H1098" s="3059" t="s">
        <v>3090</v>
      </c>
      <c r="I1098" s="3058" t="s">
        <v>3054</v>
      </c>
    </row>
    <row r="1099" spans="1:9">
      <c r="A1099" s="3059">
        <v>1309</v>
      </c>
      <c r="B1099" s="3062" t="s">
        <v>3291</v>
      </c>
      <c r="C1099" s="3062"/>
      <c r="D1099" s="3062" t="s">
        <v>3409</v>
      </c>
      <c r="E1099" s="3058">
        <v>13.78</v>
      </c>
      <c r="F1099" s="3058">
        <v>100000</v>
      </c>
      <c r="G1099" s="3059">
        <v>100000</v>
      </c>
      <c r="H1099" s="3059" t="s">
        <v>3090</v>
      </c>
      <c r="I1099" s="3058" t="s">
        <v>3054</v>
      </c>
    </row>
    <row r="1100" spans="1:9">
      <c r="A1100" s="3059">
        <v>1310</v>
      </c>
      <c r="B1100" s="3062" t="s">
        <v>3291</v>
      </c>
      <c r="C1100" s="3062"/>
      <c r="D1100" s="3062" t="s">
        <v>3408</v>
      </c>
      <c r="E1100" s="3058">
        <v>12.72</v>
      </c>
      <c r="F1100" s="3058">
        <v>100000</v>
      </c>
      <c r="G1100" s="3059">
        <v>100000</v>
      </c>
      <c r="H1100" s="3059" t="s">
        <v>3090</v>
      </c>
      <c r="I1100" s="3058" t="s">
        <v>3054</v>
      </c>
    </row>
    <row r="1101" spans="1:9">
      <c r="A1101" s="3059">
        <v>1311</v>
      </c>
      <c r="B1101" s="3062" t="s">
        <v>3291</v>
      </c>
      <c r="C1101" s="3062"/>
      <c r="D1101" s="3062" t="s">
        <v>3407</v>
      </c>
      <c r="E1101" s="3058">
        <v>12.72</v>
      </c>
      <c r="F1101" s="3058">
        <v>100000</v>
      </c>
      <c r="G1101" s="3059">
        <v>100000</v>
      </c>
      <c r="H1101" s="3059" t="s">
        <v>3090</v>
      </c>
      <c r="I1101" s="3058" t="s">
        <v>3054</v>
      </c>
    </row>
    <row r="1102" spans="1:9">
      <c r="A1102" s="3059">
        <v>1312</v>
      </c>
      <c r="B1102" s="3062" t="s">
        <v>3291</v>
      </c>
      <c r="C1102" s="3062"/>
      <c r="D1102" s="3062" t="s">
        <v>3406</v>
      </c>
      <c r="E1102" s="3058">
        <v>13.78</v>
      </c>
      <c r="F1102" s="3058">
        <v>100000</v>
      </c>
      <c r="G1102" s="3059">
        <v>100000</v>
      </c>
      <c r="H1102" s="3059" t="s">
        <v>3090</v>
      </c>
      <c r="I1102" s="3058" t="s">
        <v>3054</v>
      </c>
    </row>
    <row r="1103" spans="1:9">
      <c r="A1103" s="3059">
        <v>1313</v>
      </c>
      <c r="B1103" s="3062" t="s">
        <v>3291</v>
      </c>
      <c r="C1103" s="3062"/>
      <c r="D1103" s="3062" t="s">
        <v>3405</v>
      </c>
      <c r="E1103" s="3058">
        <v>12.72</v>
      </c>
      <c r="F1103" s="3058">
        <v>100000</v>
      </c>
      <c r="G1103" s="3059">
        <v>100000</v>
      </c>
      <c r="H1103" s="3059" t="s">
        <v>3090</v>
      </c>
      <c r="I1103" s="3058" t="s">
        <v>3054</v>
      </c>
    </row>
    <row r="1104" spans="1:9">
      <c r="A1104" s="3059">
        <v>1314</v>
      </c>
      <c r="B1104" s="3062" t="s">
        <v>3291</v>
      </c>
      <c r="C1104" s="3062"/>
      <c r="D1104" s="3062" t="s">
        <v>3404</v>
      </c>
      <c r="E1104" s="3058">
        <v>12.72</v>
      </c>
      <c r="F1104" s="3058">
        <v>100000</v>
      </c>
      <c r="G1104" s="3059">
        <v>100000</v>
      </c>
      <c r="H1104" s="3059" t="s">
        <v>3090</v>
      </c>
      <c r="I1104" s="3058" t="s">
        <v>3054</v>
      </c>
    </row>
    <row r="1105" spans="1:9">
      <c r="A1105" s="3059">
        <v>1315</v>
      </c>
      <c r="B1105" s="3062" t="s">
        <v>3291</v>
      </c>
      <c r="C1105" s="3062"/>
      <c r="D1105" s="3062" t="s">
        <v>3403</v>
      </c>
      <c r="E1105" s="3058">
        <v>13.78</v>
      </c>
      <c r="F1105" s="3058">
        <v>100000</v>
      </c>
      <c r="G1105" s="3059">
        <v>100000</v>
      </c>
      <c r="H1105" s="3059" t="s">
        <v>3090</v>
      </c>
      <c r="I1105" s="3058" t="s">
        <v>3054</v>
      </c>
    </row>
    <row r="1106" spans="1:9">
      <c r="A1106" s="3059">
        <v>1316</v>
      </c>
      <c r="B1106" s="3062" t="s">
        <v>3291</v>
      </c>
      <c r="C1106" s="3062"/>
      <c r="D1106" s="3062" t="s">
        <v>3402</v>
      </c>
      <c r="E1106" s="3058">
        <v>13.78</v>
      </c>
      <c r="F1106" s="3058">
        <v>100000</v>
      </c>
      <c r="G1106" s="3059">
        <v>100000</v>
      </c>
      <c r="H1106" s="3059" t="s">
        <v>3090</v>
      </c>
      <c r="I1106" s="3058" t="s">
        <v>3054</v>
      </c>
    </row>
    <row r="1107" spans="1:9">
      <c r="A1107" s="3059">
        <v>1317</v>
      </c>
      <c r="B1107" s="3062" t="s">
        <v>3291</v>
      </c>
      <c r="C1107" s="3062"/>
      <c r="D1107" s="3062" t="s">
        <v>3401</v>
      </c>
      <c r="E1107" s="3058">
        <v>13.78</v>
      </c>
      <c r="F1107" s="3058">
        <v>100000</v>
      </c>
      <c r="G1107" s="3059">
        <v>100000</v>
      </c>
      <c r="H1107" s="3059" t="s">
        <v>3090</v>
      </c>
      <c r="I1107" s="3058" t="s">
        <v>3054</v>
      </c>
    </row>
    <row r="1108" spans="1:9">
      <c r="A1108" s="3059">
        <v>1318</v>
      </c>
      <c r="B1108" s="3062" t="s">
        <v>3291</v>
      </c>
      <c r="C1108" s="3062"/>
      <c r="D1108" s="3062" t="s">
        <v>3400</v>
      </c>
      <c r="E1108" s="3058">
        <v>12.72</v>
      </c>
      <c r="F1108" s="3058">
        <v>100000</v>
      </c>
      <c r="G1108" s="3059">
        <v>100000</v>
      </c>
      <c r="H1108" s="3059" t="s">
        <v>3090</v>
      </c>
      <c r="I1108" s="3058" t="s">
        <v>3054</v>
      </c>
    </row>
    <row r="1109" spans="1:9">
      <c r="A1109" s="3059">
        <v>1319</v>
      </c>
      <c r="B1109" s="3062" t="s">
        <v>3291</v>
      </c>
      <c r="C1109" s="3062"/>
      <c r="D1109" s="3062" t="s">
        <v>3399</v>
      </c>
      <c r="E1109" s="3058">
        <v>12.72</v>
      </c>
      <c r="F1109" s="3058">
        <v>100000</v>
      </c>
      <c r="G1109" s="3059">
        <v>100000</v>
      </c>
      <c r="H1109" s="3059" t="s">
        <v>3090</v>
      </c>
      <c r="I1109" s="3058" t="s">
        <v>3054</v>
      </c>
    </row>
    <row r="1110" spans="1:9">
      <c r="A1110" s="3059">
        <v>1320</v>
      </c>
      <c r="B1110" s="3062" t="s">
        <v>3291</v>
      </c>
      <c r="C1110" s="3062"/>
      <c r="D1110" s="3062" t="s">
        <v>3398</v>
      </c>
      <c r="E1110" s="3058">
        <v>12.72</v>
      </c>
      <c r="F1110" s="3058">
        <v>100000</v>
      </c>
      <c r="G1110" s="3059">
        <v>100000</v>
      </c>
      <c r="H1110" s="3059" t="s">
        <v>3090</v>
      </c>
      <c r="I1110" s="3058" t="s">
        <v>3054</v>
      </c>
    </row>
    <row r="1111" spans="1:9">
      <c r="A1111" s="3059">
        <v>1321</v>
      </c>
      <c r="B1111" s="3062" t="s">
        <v>3291</v>
      </c>
      <c r="C1111" s="3062"/>
      <c r="D1111" s="3062" t="s">
        <v>3397</v>
      </c>
      <c r="E1111" s="3058">
        <v>12.72</v>
      </c>
      <c r="F1111" s="3058">
        <v>100000</v>
      </c>
      <c r="G1111" s="3059">
        <v>100000</v>
      </c>
      <c r="H1111" s="3059" t="s">
        <v>3090</v>
      </c>
      <c r="I1111" s="3058" t="s">
        <v>3054</v>
      </c>
    </row>
    <row r="1112" spans="1:9">
      <c r="A1112" s="3059">
        <v>1322</v>
      </c>
      <c r="B1112" s="3062" t="s">
        <v>3291</v>
      </c>
      <c r="C1112" s="3062"/>
      <c r="D1112" s="3062" t="s">
        <v>3396</v>
      </c>
      <c r="E1112" s="3058">
        <v>12.72</v>
      </c>
      <c r="F1112" s="3058">
        <v>100000</v>
      </c>
      <c r="G1112" s="3059">
        <v>100000</v>
      </c>
      <c r="H1112" s="3059" t="s">
        <v>3090</v>
      </c>
      <c r="I1112" s="3058" t="s">
        <v>3054</v>
      </c>
    </row>
    <row r="1113" spans="1:9">
      <c r="A1113" s="3059">
        <v>1323</v>
      </c>
      <c r="B1113" s="3062" t="s">
        <v>3291</v>
      </c>
      <c r="C1113" s="3062"/>
      <c r="D1113" s="3062" t="s">
        <v>3395</v>
      </c>
      <c r="E1113" s="3058">
        <v>12.72</v>
      </c>
      <c r="F1113" s="3058">
        <v>100000</v>
      </c>
      <c r="G1113" s="3059">
        <v>100000</v>
      </c>
      <c r="H1113" s="3059" t="s">
        <v>3090</v>
      </c>
      <c r="I1113" s="3058" t="s">
        <v>3054</v>
      </c>
    </row>
    <row r="1114" spans="1:9">
      <c r="A1114" s="3059">
        <v>1324</v>
      </c>
      <c r="B1114" s="3062" t="s">
        <v>3291</v>
      </c>
      <c r="C1114" s="3062"/>
      <c r="D1114" s="3062" t="s">
        <v>3394</v>
      </c>
      <c r="E1114" s="3058">
        <v>12.72</v>
      </c>
      <c r="F1114" s="3058">
        <v>100000</v>
      </c>
      <c r="G1114" s="3059">
        <v>100000</v>
      </c>
      <c r="H1114" s="3059" t="s">
        <v>3090</v>
      </c>
      <c r="I1114" s="3058" t="s">
        <v>3054</v>
      </c>
    </row>
    <row r="1115" spans="1:9">
      <c r="A1115" s="3059">
        <v>1325</v>
      </c>
      <c r="B1115" s="3062" t="s">
        <v>3291</v>
      </c>
      <c r="C1115" s="3062"/>
      <c r="D1115" s="3062" t="s">
        <v>3393</v>
      </c>
      <c r="E1115" s="3058">
        <v>12.72</v>
      </c>
      <c r="F1115" s="3058">
        <v>100000</v>
      </c>
      <c r="G1115" s="3059">
        <v>100000</v>
      </c>
      <c r="H1115" s="3059" t="s">
        <v>3090</v>
      </c>
      <c r="I1115" s="3058" t="s">
        <v>3054</v>
      </c>
    </row>
    <row r="1116" spans="1:9">
      <c r="A1116" s="3059">
        <v>1326</v>
      </c>
      <c r="B1116" s="3062" t="s">
        <v>3291</v>
      </c>
      <c r="C1116" s="3062"/>
      <c r="D1116" s="3062" t="s">
        <v>3392</v>
      </c>
      <c r="E1116" s="3058">
        <v>12.72</v>
      </c>
      <c r="F1116" s="3058">
        <v>100000</v>
      </c>
      <c r="G1116" s="3059">
        <v>100000</v>
      </c>
      <c r="H1116" s="3059" t="s">
        <v>3090</v>
      </c>
      <c r="I1116" s="3058" t="s">
        <v>3054</v>
      </c>
    </row>
    <row r="1117" spans="1:9">
      <c r="A1117" s="3059">
        <v>1327</v>
      </c>
      <c r="B1117" s="3062" t="s">
        <v>3291</v>
      </c>
      <c r="C1117" s="3062"/>
      <c r="D1117" s="3062" t="s">
        <v>3391</v>
      </c>
      <c r="E1117" s="3058">
        <v>12.72</v>
      </c>
      <c r="F1117" s="3058">
        <v>100000</v>
      </c>
      <c r="G1117" s="3059">
        <v>100000</v>
      </c>
      <c r="H1117" s="3059" t="s">
        <v>3090</v>
      </c>
      <c r="I1117" s="3058" t="s">
        <v>3054</v>
      </c>
    </row>
    <row r="1118" spans="1:9">
      <c r="A1118" s="3059">
        <v>1328</v>
      </c>
      <c r="B1118" s="3062" t="s">
        <v>3291</v>
      </c>
      <c r="C1118" s="3062"/>
      <c r="D1118" s="3062" t="s">
        <v>3390</v>
      </c>
      <c r="E1118" s="3058">
        <v>12.72</v>
      </c>
      <c r="F1118" s="3058">
        <v>100000</v>
      </c>
      <c r="G1118" s="3059">
        <v>100000</v>
      </c>
      <c r="H1118" s="3059" t="s">
        <v>3090</v>
      </c>
      <c r="I1118" s="3058" t="s">
        <v>3054</v>
      </c>
    </row>
    <row r="1119" spans="1:9">
      <c r="A1119" s="3059">
        <v>1329</v>
      </c>
      <c r="B1119" s="3062" t="s">
        <v>3291</v>
      </c>
      <c r="C1119" s="3062"/>
      <c r="D1119" s="3062" t="s">
        <v>3389</v>
      </c>
      <c r="E1119" s="3058">
        <v>9.4600000000000009</v>
      </c>
      <c r="F1119" s="3058">
        <v>100000</v>
      </c>
      <c r="G1119" s="3059">
        <v>100000</v>
      </c>
      <c r="H1119" s="3059" t="s">
        <v>3090</v>
      </c>
      <c r="I1119" s="3058" t="s">
        <v>3054</v>
      </c>
    </row>
    <row r="1120" spans="1:9">
      <c r="A1120" s="3059">
        <v>1330</v>
      </c>
      <c r="B1120" s="3062" t="s">
        <v>3291</v>
      </c>
      <c r="C1120" s="3062"/>
      <c r="D1120" s="3062" t="s">
        <v>3388</v>
      </c>
      <c r="E1120" s="3058">
        <v>12.72</v>
      </c>
      <c r="F1120" s="3058">
        <v>100000</v>
      </c>
      <c r="G1120" s="3059">
        <v>100000</v>
      </c>
      <c r="H1120" s="3059" t="s">
        <v>3090</v>
      </c>
      <c r="I1120" s="3058" t="s">
        <v>3054</v>
      </c>
    </row>
    <row r="1121" spans="1:9">
      <c r="A1121" s="3059">
        <v>1331</v>
      </c>
      <c r="B1121" s="3062" t="s">
        <v>3291</v>
      </c>
      <c r="C1121" s="3062"/>
      <c r="D1121" s="3062" t="s">
        <v>3387</v>
      </c>
      <c r="E1121" s="3058">
        <v>12.72</v>
      </c>
      <c r="F1121" s="3058">
        <v>100000</v>
      </c>
      <c r="G1121" s="3059">
        <v>100000</v>
      </c>
      <c r="H1121" s="3059" t="s">
        <v>3090</v>
      </c>
      <c r="I1121" s="3058" t="s">
        <v>3054</v>
      </c>
    </row>
    <row r="1122" spans="1:9">
      <c r="A1122" s="3059">
        <v>1332</v>
      </c>
      <c r="B1122" s="3062" t="s">
        <v>3291</v>
      </c>
      <c r="C1122" s="3062"/>
      <c r="D1122" s="3062" t="s">
        <v>3386</v>
      </c>
      <c r="E1122" s="3058">
        <v>13.78</v>
      </c>
      <c r="F1122" s="3058">
        <v>100000</v>
      </c>
      <c r="G1122" s="3059">
        <v>100000</v>
      </c>
      <c r="H1122" s="3059" t="s">
        <v>3090</v>
      </c>
      <c r="I1122" s="3058" t="s">
        <v>3054</v>
      </c>
    </row>
    <row r="1123" spans="1:9">
      <c r="A1123" s="3059">
        <v>1333</v>
      </c>
      <c r="B1123" s="3062" t="s">
        <v>3291</v>
      </c>
      <c r="C1123" s="3062"/>
      <c r="D1123" s="3062" t="s">
        <v>3385</v>
      </c>
      <c r="E1123" s="3058">
        <v>12.72</v>
      </c>
      <c r="F1123" s="3058">
        <v>100000</v>
      </c>
      <c r="G1123" s="3059">
        <v>100000</v>
      </c>
      <c r="H1123" s="3059" t="s">
        <v>3090</v>
      </c>
      <c r="I1123" s="3058" t="s">
        <v>3054</v>
      </c>
    </row>
    <row r="1124" spans="1:9">
      <c r="A1124" s="3059">
        <v>1334</v>
      </c>
      <c r="B1124" s="3062" t="s">
        <v>3291</v>
      </c>
      <c r="C1124" s="3062"/>
      <c r="D1124" s="3062" t="s">
        <v>3384</v>
      </c>
      <c r="E1124" s="3058">
        <v>9.4600000000000009</v>
      </c>
      <c r="F1124" s="3058">
        <v>100000</v>
      </c>
      <c r="G1124" s="3059">
        <v>100000</v>
      </c>
      <c r="H1124" s="3059" t="s">
        <v>3090</v>
      </c>
      <c r="I1124" s="3058" t="s">
        <v>3054</v>
      </c>
    </row>
    <row r="1125" spans="1:9">
      <c r="A1125" s="3059">
        <v>1335</v>
      </c>
      <c r="B1125" s="3062" t="s">
        <v>3291</v>
      </c>
      <c r="C1125" s="3062"/>
      <c r="D1125" s="3062" t="s">
        <v>3383</v>
      </c>
      <c r="E1125" s="3058">
        <v>12.72</v>
      </c>
      <c r="F1125" s="3058">
        <v>100000</v>
      </c>
      <c r="G1125" s="3059">
        <v>100000</v>
      </c>
      <c r="H1125" s="3059" t="s">
        <v>3090</v>
      </c>
      <c r="I1125" s="3058" t="s">
        <v>3054</v>
      </c>
    </row>
    <row r="1126" spans="1:9">
      <c r="A1126" s="3059">
        <v>1336</v>
      </c>
      <c r="B1126" s="3062" t="s">
        <v>3291</v>
      </c>
      <c r="C1126" s="3062"/>
      <c r="D1126" s="3062" t="s">
        <v>3382</v>
      </c>
      <c r="E1126" s="3058">
        <v>9.4600000000000009</v>
      </c>
      <c r="F1126" s="3058">
        <v>100000</v>
      </c>
      <c r="G1126" s="3059">
        <v>100000</v>
      </c>
      <c r="H1126" s="3059" t="s">
        <v>3090</v>
      </c>
      <c r="I1126" s="3058" t="s">
        <v>3054</v>
      </c>
    </row>
    <row r="1127" spans="1:9">
      <c r="A1127" s="3059">
        <v>1337</v>
      </c>
      <c r="B1127" s="3062" t="s">
        <v>3291</v>
      </c>
      <c r="C1127" s="3062"/>
      <c r="D1127" s="3062" t="s">
        <v>3381</v>
      </c>
      <c r="E1127" s="3058">
        <v>12.72</v>
      </c>
      <c r="F1127" s="3058">
        <v>100000</v>
      </c>
      <c r="G1127" s="3059">
        <v>100000</v>
      </c>
      <c r="H1127" s="3059" t="s">
        <v>3090</v>
      </c>
      <c r="I1127" s="3058" t="s">
        <v>3054</v>
      </c>
    </row>
    <row r="1128" spans="1:9">
      <c r="A1128" s="3059">
        <v>1338</v>
      </c>
      <c r="B1128" s="3062" t="s">
        <v>3291</v>
      </c>
      <c r="C1128" s="3062"/>
      <c r="D1128" s="3062" t="s">
        <v>3380</v>
      </c>
      <c r="E1128" s="3058">
        <v>12.72</v>
      </c>
      <c r="F1128" s="3058">
        <v>100000</v>
      </c>
      <c r="G1128" s="3059">
        <v>100000</v>
      </c>
      <c r="H1128" s="3059" t="s">
        <v>3090</v>
      </c>
      <c r="I1128" s="3058" t="s">
        <v>3054</v>
      </c>
    </row>
    <row r="1129" spans="1:9">
      <c r="A1129" s="3059">
        <v>1339</v>
      </c>
      <c r="B1129" s="3062" t="s">
        <v>3291</v>
      </c>
      <c r="C1129" s="3062"/>
      <c r="D1129" s="3062" t="s">
        <v>3379</v>
      </c>
      <c r="E1129" s="3058">
        <v>12.72</v>
      </c>
      <c r="F1129" s="3058">
        <v>100000</v>
      </c>
      <c r="G1129" s="3059">
        <v>100000</v>
      </c>
      <c r="H1129" s="3059" t="s">
        <v>3090</v>
      </c>
      <c r="I1129" s="3058" t="s">
        <v>3054</v>
      </c>
    </row>
    <row r="1130" spans="1:9">
      <c r="A1130" s="3059">
        <v>1340</v>
      </c>
      <c r="B1130" s="3062" t="s">
        <v>3291</v>
      </c>
      <c r="C1130" s="3062"/>
      <c r="D1130" s="3062" t="s">
        <v>3378</v>
      </c>
      <c r="E1130" s="3058">
        <v>12.72</v>
      </c>
      <c r="F1130" s="3058">
        <v>100000</v>
      </c>
      <c r="G1130" s="3059">
        <v>100000</v>
      </c>
      <c r="H1130" s="3059" t="s">
        <v>3090</v>
      </c>
      <c r="I1130" s="3058" t="s">
        <v>3054</v>
      </c>
    </row>
    <row r="1131" spans="1:9">
      <c r="A1131" s="3059">
        <v>1341</v>
      </c>
      <c r="B1131" s="3062" t="s">
        <v>3291</v>
      </c>
      <c r="C1131" s="3062"/>
      <c r="D1131" s="3062" t="s">
        <v>3377</v>
      </c>
      <c r="E1131" s="3058">
        <v>13.78</v>
      </c>
      <c r="F1131" s="3058">
        <v>100000</v>
      </c>
      <c r="G1131" s="3059">
        <v>100000</v>
      </c>
      <c r="H1131" s="3059" t="s">
        <v>3090</v>
      </c>
      <c r="I1131" s="3058" t="s">
        <v>3054</v>
      </c>
    </row>
    <row r="1132" spans="1:9">
      <c r="A1132" s="3059">
        <v>1342</v>
      </c>
      <c r="B1132" s="3062" t="s">
        <v>3291</v>
      </c>
      <c r="C1132" s="3062"/>
      <c r="D1132" s="3062" t="s">
        <v>3376</v>
      </c>
      <c r="E1132" s="3058">
        <v>12.72</v>
      </c>
      <c r="F1132" s="3058">
        <v>100000</v>
      </c>
      <c r="G1132" s="3059">
        <v>100000</v>
      </c>
      <c r="H1132" s="3059" t="s">
        <v>3090</v>
      </c>
      <c r="I1132" s="3058" t="s">
        <v>3054</v>
      </c>
    </row>
    <row r="1133" spans="1:9">
      <c r="A1133" s="3059">
        <v>1343</v>
      </c>
      <c r="B1133" s="3062" t="s">
        <v>3291</v>
      </c>
      <c r="C1133" s="3062"/>
      <c r="D1133" s="3062" t="s">
        <v>3375</v>
      </c>
      <c r="E1133" s="3058">
        <v>12.72</v>
      </c>
      <c r="F1133" s="3058">
        <v>100000</v>
      </c>
      <c r="G1133" s="3059">
        <v>100000</v>
      </c>
      <c r="H1133" s="3059" t="s">
        <v>3090</v>
      </c>
      <c r="I1133" s="3058" t="s">
        <v>3054</v>
      </c>
    </row>
    <row r="1134" spans="1:9">
      <c r="A1134" s="3059">
        <v>1344</v>
      </c>
      <c r="B1134" s="3062" t="s">
        <v>3291</v>
      </c>
      <c r="C1134" s="3062"/>
      <c r="D1134" s="3062" t="s">
        <v>3374</v>
      </c>
      <c r="E1134" s="3058">
        <v>12.72</v>
      </c>
      <c r="F1134" s="3058">
        <v>100000</v>
      </c>
      <c r="G1134" s="3059">
        <v>100000</v>
      </c>
      <c r="H1134" s="3059" t="s">
        <v>3090</v>
      </c>
      <c r="I1134" s="3058" t="s">
        <v>3054</v>
      </c>
    </row>
    <row r="1135" spans="1:9">
      <c r="A1135" s="3059">
        <v>1345</v>
      </c>
      <c r="B1135" s="3062" t="s">
        <v>3291</v>
      </c>
      <c r="C1135" s="3062"/>
      <c r="D1135" s="3062" t="s">
        <v>3373</v>
      </c>
      <c r="E1135" s="3058">
        <v>12.72</v>
      </c>
      <c r="F1135" s="3058">
        <v>100000</v>
      </c>
      <c r="G1135" s="3059">
        <v>100000</v>
      </c>
      <c r="H1135" s="3059" t="s">
        <v>3090</v>
      </c>
      <c r="I1135" s="3058" t="s">
        <v>3054</v>
      </c>
    </row>
    <row r="1136" spans="1:9">
      <c r="A1136" s="3059">
        <v>1346</v>
      </c>
      <c r="B1136" s="3062" t="s">
        <v>3291</v>
      </c>
      <c r="C1136" s="3062"/>
      <c r="D1136" s="3062" t="s">
        <v>3372</v>
      </c>
      <c r="E1136" s="3058">
        <v>13.78</v>
      </c>
      <c r="F1136" s="3058">
        <v>100000</v>
      </c>
      <c r="G1136" s="3059">
        <v>100000</v>
      </c>
      <c r="H1136" s="3059" t="s">
        <v>3090</v>
      </c>
      <c r="I1136" s="3058" t="s">
        <v>3054</v>
      </c>
    </row>
    <row r="1137" spans="1:9">
      <c r="A1137" s="3059">
        <v>1347</v>
      </c>
      <c r="B1137" s="3062" t="s">
        <v>3291</v>
      </c>
      <c r="C1137" s="3062"/>
      <c r="D1137" s="3062" t="s">
        <v>3371</v>
      </c>
      <c r="E1137" s="3058">
        <v>12.72</v>
      </c>
      <c r="F1137" s="3058">
        <v>100000</v>
      </c>
      <c r="G1137" s="3059">
        <v>100000</v>
      </c>
      <c r="H1137" s="3059" t="s">
        <v>3090</v>
      </c>
      <c r="I1137" s="3058" t="s">
        <v>3054</v>
      </c>
    </row>
    <row r="1138" spans="1:9">
      <c r="A1138" s="3059">
        <v>1348</v>
      </c>
      <c r="B1138" s="3062" t="s">
        <v>3291</v>
      </c>
      <c r="C1138" s="3062"/>
      <c r="D1138" s="3062" t="s">
        <v>3370</v>
      </c>
      <c r="E1138" s="3058">
        <v>12.72</v>
      </c>
      <c r="F1138" s="3058">
        <v>100000</v>
      </c>
      <c r="G1138" s="3059">
        <v>100000</v>
      </c>
      <c r="H1138" s="3059" t="s">
        <v>3090</v>
      </c>
      <c r="I1138" s="3058" t="s">
        <v>3054</v>
      </c>
    </row>
    <row r="1139" spans="1:9">
      <c r="A1139" s="3059">
        <v>1349</v>
      </c>
      <c r="B1139" s="3062" t="s">
        <v>3291</v>
      </c>
      <c r="C1139" s="3062"/>
      <c r="D1139" s="3062" t="s">
        <v>3369</v>
      </c>
      <c r="E1139" s="3058">
        <v>12.72</v>
      </c>
      <c r="F1139" s="3058">
        <v>100000</v>
      </c>
      <c r="G1139" s="3059">
        <v>100000</v>
      </c>
      <c r="H1139" s="3059" t="s">
        <v>3090</v>
      </c>
      <c r="I1139" s="3058" t="s">
        <v>3054</v>
      </c>
    </row>
    <row r="1140" spans="1:9">
      <c r="A1140" s="3059">
        <v>1350</v>
      </c>
      <c r="B1140" s="3062" t="s">
        <v>3291</v>
      </c>
      <c r="C1140" s="3062"/>
      <c r="D1140" s="3062" t="s">
        <v>3368</v>
      </c>
      <c r="E1140" s="3058">
        <v>9.4600000000000009</v>
      </c>
      <c r="F1140" s="3058">
        <v>100000</v>
      </c>
      <c r="G1140" s="3059">
        <v>100000</v>
      </c>
      <c r="H1140" s="3059" t="s">
        <v>3090</v>
      </c>
      <c r="I1140" s="3058" t="s">
        <v>3054</v>
      </c>
    </row>
    <row r="1141" spans="1:9">
      <c r="A1141" s="3059">
        <v>1351</v>
      </c>
      <c r="B1141" s="3062" t="s">
        <v>3291</v>
      </c>
      <c r="C1141" s="3062"/>
      <c r="D1141" s="3062" t="s">
        <v>3367</v>
      </c>
      <c r="E1141" s="3058">
        <v>13.78</v>
      </c>
      <c r="F1141" s="3058">
        <v>100000</v>
      </c>
      <c r="G1141" s="3059">
        <v>100000</v>
      </c>
      <c r="H1141" s="3059" t="s">
        <v>3090</v>
      </c>
      <c r="I1141" s="3058" t="s">
        <v>3054</v>
      </c>
    </row>
    <row r="1142" spans="1:9">
      <c r="A1142" s="3059">
        <v>1352</v>
      </c>
      <c r="B1142" s="3062" t="s">
        <v>3291</v>
      </c>
      <c r="C1142" s="3062"/>
      <c r="D1142" s="3062" t="s">
        <v>3366</v>
      </c>
      <c r="E1142" s="3058">
        <v>12.72</v>
      </c>
      <c r="F1142" s="3058">
        <v>100000</v>
      </c>
      <c r="G1142" s="3059">
        <v>100000</v>
      </c>
      <c r="H1142" s="3059" t="s">
        <v>3090</v>
      </c>
      <c r="I1142" s="3058" t="s">
        <v>3054</v>
      </c>
    </row>
    <row r="1143" spans="1:9">
      <c r="A1143" s="3059">
        <v>1353</v>
      </c>
      <c r="B1143" s="3062" t="s">
        <v>3291</v>
      </c>
      <c r="C1143" s="3062"/>
      <c r="D1143" s="3062" t="s">
        <v>3365</v>
      </c>
      <c r="E1143" s="3058">
        <v>12.72</v>
      </c>
      <c r="F1143" s="3058">
        <v>100000</v>
      </c>
      <c r="G1143" s="3059">
        <v>100000</v>
      </c>
      <c r="H1143" s="3059" t="s">
        <v>3090</v>
      </c>
      <c r="I1143" s="3058" t="s">
        <v>3054</v>
      </c>
    </row>
    <row r="1144" spans="1:9">
      <c r="A1144" s="3059">
        <v>1354</v>
      </c>
      <c r="B1144" s="3062" t="s">
        <v>3291</v>
      </c>
      <c r="C1144" s="3062"/>
      <c r="D1144" s="3062" t="s">
        <v>3364</v>
      </c>
      <c r="E1144" s="3058">
        <v>12.72</v>
      </c>
      <c r="F1144" s="3058">
        <v>100000</v>
      </c>
      <c r="G1144" s="3059">
        <v>100000</v>
      </c>
      <c r="H1144" s="3059" t="s">
        <v>3090</v>
      </c>
      <c r="I1144" s="3058" t="s">
        <v>3054</v>
      </c>
    </row>
    <row r="1145" spans="1:9">
      <c r="A1145" s="3059">
        <v>1355</v>
      </c>
      <c r="B1145" s="3062" t="s">
        <v>3291</v>
      </c>
      <c r="C1145" s="3062"/>
      <c r="D1145" s="3062" t="s">
        <v>3363</v>
      </c>
      <c r="E1145" s="3058">
        <v>12.72</v>
      </c>
      <c r="F1145" s="3058">
        <v>100000</v>
      </c>
      <c r="G1145" s="3059">
        <v>100000</v>
      </c>
      <c r="H1145" s="3059" t="s">
        <v>3090</v>
      </c>
      <c r="I1145" s="3058" t="s">
        <v>3054</v>
      </c>
    </row>
    <row r="1146" spans="1:9">
      <c r="A1146" s="3059">
        <v>1356</v>
      </c>
      <c r="B1146" s="3062" t="s">
        <v>3291</v>
      </c>
      <c r="C1146" s="3062"/>
      <c r="D1146" s="3062" t="s">
        <v>3362</v>
      </c>
      <c r="E1146" s="3058">
        <v>13.78</v>
      </c>
      <c r="F1146" s="3058">
        <v>100000</v>
      </c>
      <c r="G1146" s="3059">
        <v>100000</v>
      </c>
      <c r="H1146" s="3059" t="s">
        <v>3090</v>
      </c>
      <c r="I1146" s="3058" t="s">
        <v>3054</v>
      </c>
    </row>
    <row r="1147" spans="1:9">
      <c r="A1147" s="3059">
        <v>1357</v>
      </c>
      <c r="B1147" s="3062" t="s">
        <v>3291</v>
      </c>
      <c r="C1147" s="3062"/>
      <c r="D1147" s="3062" t="s">
        <v>3361</v>
      </c>
      <c r="E1147" s="3058">
        <v>12.72</v>
      </c>
      <c r="F1147" s="3058">
        <v>100000</v>
      </c>
      <c r="G1147" s="3059">
        <v>100000</v>
      </c>
      <c r="H1147" s="3059" t="s">
        <v>3090</v>
      </c>
      <c r="I1147" s="3058" t="s">
        <v>3054</v>
      </c>
    </row>
    <row r="1148" spans="1:9">
      <c r="A1148" s="3059">
        <v>1358</v>
      </c>
      <c r="B1148" s="3062" t="s">
        <v>3291</v>
      </c>
      <c r="C1148" s="3062"/>
      <c r="D1148" s="3062" t="s">
        <v>3360</v>
      </c>
      <c r="E1148" s="3058">
        <v>12.72</v>
      </c>
      <c r="F1148" s="3058">
        <v>100000</v>
      </c>
      <c r="G1148" s="3059">
        <v>100000</v>
      </c>
      <c r="H1148" s="3059" t="s">
        <v>3090</v>
      </c>
      <c r="I1148" s="3058" t="s">
        <v>3054</v>
      </c>
    </row>
    <row r="1149" spans="1:9">
      <c r="A1149" s="3059">
        <v>1359</v>
      </c>
      <c r="B1149" s="3062" t="s">
        <v>3291</v>
      </c>
      <c r="C1149" s="3062"/>
      <c r="D1149" s="3062" t="s">
        <v>3359</v>
      </c>
      <c r="E1149" s="3058">
        <v>12.72</v>
      </c>
      <c r="F1149" s="3058">
        <v>100000</v>
      </c>
      <c r="G1149" s="3059">
        <v>100000</v>
      </c>
      <c r="H1149" s="3059" t="s">
        <v>3090</v>
      </c>
      <c r="I1149" s="3058" t="s">
        <v>3054</v>
      </c>
    </row>
    <row r="1150" spans="1:9">
      <c r="A1150" s="3059">
        <v>1360</v>
      </c>
      <c r="B1150" s="3062" t="s">
        <v>3291</v>
      </c>
      <c r="C1150" s="3062"/>
      <c r="D1150" s="3062" t="s">
        <v>3358</v>
      </c>
      <c r="E1150" s="3058">
        <v>12.72</v>
      </c>
      <c r="F1150" s="3058">
        <v>100000</v>
      </c>
      <c r="G1150" s="3059">
        <v>100000</v>
      </c>
      <c r="H1150" s="3059" t="s">
        <v>3090</v>
      </c>
      <c r="I1150" s="3058" t="s">
        <v>3054</v>
      </c>
    </row>
    <row r="1151" spans="1:9">
      <c r="A1151" s="3059">
        <v>1361</v>
      </c>
      <c r="B1151" s="3062" t="s">
        <v>3291</v>
      </c>
      <c r="C1151" s="3062"/>
      <c r="D1151" s="3062" t="s">
        <v>3357</v>
      </c>
      <c r="E1151" s="3058">
        <v>13.78</v>
      </c>
      <c r="F1151" s="3058">
        <v>100000</v>
      </c>
      <c r="G1151" s="3059">
        <v>100000</v>
      </c>
      <c r="H1151" s="3059" t="s">
        <v>3090</v>
      </c>
      <c r="I1151" s="3058" t="s">
        <v>3054</v>
      </c>
    </row>
    <row r="1152" spans="1:9">
      <c r="A1152" s="3059">
        <v>1362</v>
      </c>
      <c r="B1152" s="3062" t="s">
        <v>3291</v>
      </c>
      <c r="C1152" s="3062"/>
      <c r="D1152" s="3062" t="s">
        <v>3356</v>
      </c>
      <c r="E1152" s="3058">
        <v>12.72</v>
      </c>
      <c r="F1152" s="3058">
        <v>100000</v>
      </c>
      <c r="G1152" s="3059">
        <v>100000</v>
      </c>
      <c r="H1152" s="3059" t="s">
        <v>3090</v>
      </c>
      <c r="I1152" s="3058" t="s">
        <v>3054</v>
      </c>
    </row>
    <row r="1153" spans="1:9">
      <c r="A1153" s="3059">
        <v>1363</v>
      </c>
      <c r="B1153" s="3062" t="s">
        <v>3291</v>
      </c>
      <c r="C1153" s="3062"/>
      <c r="D1153" s="3062" t="s">
        <v>3355</v>
      </c>
      <c r="E1153" s="3058">
        <v>12.72</v>
      </c>
      <c r="F1153" s="3058">
        <v>100000</v>
      </c>
      <c r="G1153" s="3059">
        <v>100000</v>
      </c>
      <c r="H1153" s="3059" t="s">
        <v>3090</v>
      </c>
      <c r="I1153" s="3058" t="s">
        <v>3054</v>
      </c>
    </row>
    <row r="1154" spans="1:9">
      <c r="A1154" s="3059">
        <v>1364</v>
      </c>
      <c r="B1154" s="3062" t="s">
        <v>3291</v>
      </c>
      <c r="C1154" s="3062"/>
      <c r="D1154" s="3062" t="s">
        <v>3354</v>
      </c>
      <c r="E1154" s="3058">
        <v>12.72</v>
      </c>
      <c r="F1154" s="3058">
        <v>100000</v>
      </c>
      <c r="G1154" s="3059">
        <v>100000</v>
      </c>
      <c r="H1154" s="3059" t="s">
        <v>3090</v>
      </c>
      <c r="I1154" s="3058" t="s">
        <v>3054</v>
      </c>
    </row>
    <row r="1155" spans="1:9">
      <c r="A1155" s="3059">
        <v>1365</v>
      </c>
      <c r="B1155" s="3062" t="s">
        <v>3291</v>
      </c>
      <c r="C1155" s="3062"/>
      <c r="D1155" s="3062" t="s">
        <v>3353</v>
      </c>
      <c r="E1155" s="3058">
        <v>12.72</v>
      </c>
      <c r="F1155" s="3058">
        <v>100000</v>
      </c>
      <c r="G1155" s="3059">
        <v>100000</v>
      </c>
      <c r="H1155" s="3059" t="s">
        <v>3090</v>
      </c>
      <c r="I1155" s="3058" t="s">
        <v>3054</v>
      </c>
    </row>
    <row r="1156" spans="1:9">
      <c r="A1156" s="3059">
        <v>1366</v>
      </c>
      <c r="B1156" s="3062" t="s">
        <v>3291</v>
      </c>
      <c r="C1156" s="3062"/>
      <c r="D1156" s="3062" t="s">
        <v>3352</v>
      </c>
      <c r="E1156" s="3058">
        <v>12.72</v>
      </c>
      <c r="F1156" s="3058">
        <v>100000</v>
      </c>
      <c r="G1156" s="3059">
        <v>100000</v>
      </c>
      <c r="H1156" s="3059" t="s">
        <v>3090</v>
      </c>
      <c r="I1156" s="3058" t="s">
        <v>3054</v>
      </c>
    </row>
    <row r="1157" spans="1:9">
      <c r="A1157" s="3059">
        <v>1367</v>
      </c>
      <c r="B1157" s="3062" t="s">
        <v>3291</v>
      </c>
      <c r="C1157" s="3062"/>
      <c r="D1157" s="3062" t="s">
        <v>3351</v>
      </c>
      <c r="E1157" s="3058">
        <v>13.78</v>
      </c>
      <c r="F1157" s="3058">
        <v>100000</v>
      </c>
      <c r="G1157" s="3059">
        <v>100000</v>
      </c>
      <c r="H1157" s="3059" t="s">
        <v>3090</v>
      </c>
      <c r="I1157" s="3058" t="s">
        <v>3054</v>
      </c>
    </row>
    <row r="1158" spans="1:9">
      <c r="A1158" s="3059">
        <v>1368</v>
      </c>
      <c r="B1158" s="3062" t="s">
        <v>3291</v>
      </c>
      <c r="C1158" s="3062"/>
      <c r="D1158" s="3062" t="s">
        <v>3350</v>
      </c>
      <c r="E1158" s="3058">
        <v>13.78</v>
      </c>
      <c r="F1158" s="3058">
        <v>100000</v>
      </c>
      <c r="G1158" s="3059">
        <v>100000</v>
      </c>
      <c r="H1158" s="3059" t="s">
        <v>3090</v>
      </c>
      <c r="I1158" s="3058" t="s">
        <v>3054</v>
      </c>
    </row>
    <row r="1159" spans="1:9">
      <c r="A1159" s="3059">
        <v>1369</v>
      </c>
      <c r="B1159" s="3062" t="s">
        <v>3291</v>
      </c>
      <c r="C1159" s="3062"/>
      <c r="D1159" s="3062" t="s">
        <v>3349</v>
      </c>
      <c r="E1159" s="3058">
        <v>13.78</v>
      </c>
      <c r="F1159" s="3058">
        <v>100000</v>
      </c>
      <c r="G1159" s="3059">
        <v>100000</v>
      </c>
      <c r="H1159" s="3059" t="s">
        <v>3090</v>
      </c>
      <c r="I1159" s="3058" t="s">
        <v>3054</v>
      </c>
    </row>
    <row r="1160" spans="1:9">
      <c r="A1160" s="3059">
        <v>1370</v>
      </c>
      <c r="B1160" s="3062" t="s">
        <v>3291</v>
      </c>
      <c r="C1160" s="3062"/>
      <c r="D1160" s="3062" t="s">
        <v>3348</v>
      </c>
      <c r="E1160" s="3058">
        <v>13.78</v>
      </c>
      <c r="F1160" s="3058">
        <v>100000</v>
      </c>
      <c r="G1160" s="3059">
        <v>100000</v>
      </c>
      <c r="H1160" s="3059" t="s">
        <v>3090</v>
      </c>
      <c r="I1160" s="3058" t="s">
        <v>3054</v>
      </c>
    </row>
    <row r="1161" spans="1:9">
      <c r="A1161" s="3059">
        <v>1371</v>
      </c>
      <c r="B1161" s="3062" t="s">
        <v>3291</v>
      </c>
      <c r="C1161" s="3062"/>
      <c r="D1161" s="3062" t="s">
        <v>3347</v>
      </c>
      <c r="E1161" s="3058">
        <v>13.78</v>
      </c>
      <c r="F1161" s="3058">
        <v>100000</v>
      </c>
      <c r="G1161" s="3059">
        <v>100000</v>
      </c>
      <c r="H1161" s="3059" t="s">
        <v>3090</v>
      </c>
      <c r="I1161" s="3058" t="s">
        <v>3054</v>
      </c>
    </row>
    <row r="1162" spans="1:9">
      <c r="A1162" s="3059">
        <v>1372</v>
      </c>
      <c r="B1162" s="3062" t="s">
        <v>3291</v>
      </c>
      <c r="C1162" s="3062"/>
      <c r="D1162" s="3062" t="s">
        <v>3346</v>
      </c>
      <c r="E1162" s="3058">
        <v>12.72</v>
      </c>
      <c r="F1162" s="3058">
        <v>100000</v>
      </c>
      <c r="G1162" s="3059">
        <v>100000</v>
      </c>
      <c r="H1162" s="3059" t="s">
        <v>3090</v>
      </c>
      <c r="I1162" s="3058" t="s">
        <v>3054</v>
      </c>
    </row>
    <row r="1163" spans="1:9">
      <c r="A1163" s="3059">
        <v>1373</v>
      </c>
      <c r="B1163" s="3062" t="s">
        <v>3291</v>
      </c>
      <c r="C1163" s="3062"/>
      <c r="D1163" s="3062" t="s">
        <v>3345</v>
      </c>
      <c r="E1163" s="3058">
        <v>12.72</v>
      </c>
      <c r="F1163" s="3058">
        <v>100000</v>
      </c>
      <c r="G1163" s="3059">
        <v>100000</v>
      </c>
      <c r="H1163" s="3059" t="s">
        <v>3090</v>
      </c>
      <c r="I1163" s="3058" t="s">
        <v>3054</v>
      </c>
    </row>
    <row r="1164" spans="1:9">
      <c r="A1164" s="3059">
        <v>1374</v>
      </c>
      <c r="B1164" s="3062" t="s">
        <v>3291</v>
      </c>
      <c r="C1164" s="3062"/>
      <c r="D1164" s="3062" t="s">
        <v>3344</v>
      </c>
      <c r="E1164" s="3058">
        <v>12.72</v>
      </c>
      <c r="F1164" s="3058">
        <v>100000</v>
      </c>
      <c r="G1164" s="3059">
        <v>100000</v>
      </c>
      <c r="H1164" s="3059" t="s">
        <v>3090</v>
      </c>
      <c r="I1164" s="3058" t="s">
        <v>3054</v>
      </c>
    </row>
    <row r="1165" spans="1:9">
      <c r="A1165" s="3059">
        <v>1375</v>
      </c>
      <c r="B1165" s="3062" t="s">
        <v>3291</v>
      </c>
      <c r="C1165" s="3062"/>
      <c r="D1165" s="3062" t="s">
        <v>3343</v>
      </c>
      <c r="E1165" s="3058">
        <v>12.72</v>
      </c>
      <c r="F1165" s="3058">
        <v>100000</v>
      </c>
      <c r="G1165" s="3059">
        <v>100000</v>
      </c>
      <c r="H1165" s="3059" t="s">
        <v>3090</v>
      </c>
      <c r="I1165" s="3058" t="s">
        <v>3054</v>
      </c>
    </row>
    <row r="1166" spans="1:9">
      <c r="A1166" s="3059">
        <v>1376</v>
      </c>
      <c r="B1166" s="3062" t="s">
        <v>3291</v>
      </c>
      <c r="C1166" s="3062"/>
      <c r="D1166" s="3062" t="s">
        <v>3342</v>
      </c>
      <c r="E1166" s="3058">
        <v>12.72</v>
      </c>
      <c r="F1166" s="3058">
        <v>100000</v>
      </c>
      <c r="G1166" s="3059">
        <v>100000</v>
      </c>
      <c r="H1166" s="3059" t="s">
        <v>3090</v>
      </c>
      <c r="I1166" s="3058" t="s">
        <v>3054</v>
      </c>
    </row>
    <row r="1167" spans="1:9">
      <c r="A1167" s="3059">
        <v>1377</v>
      </c>
      <c r="B1167" s="3062" t="s">
        <v>3291</v>
      </c>
      <c r="C1167" s="3062"/>
      <c r="D1167" s="3062" t="s">
        <v>3341</v>
      </c>
      <c r="E1167" s="3058">
        <v>12.72</v>
      </c>
      <c r="F1167" s="3058">
        <v>100000</v>
      </c>
      <c r="G1167" s="3059">
        <v>100000</v>
      </c>
      <c r="H1167" s="3059" t="s">
        <v>3090</v>
      </c>
      <c r="I1167" s="3058" t="s">
        <v>3054</v>
      </c>
    </row>
    <row r="1168" spans="1:9">
      <c r="A1168" s="3059">
        <v>1378</v>
      </c>
      <c r="B1168" s="3062" t="s">
        <v>3291</v>
      </c>
      <c r="C1168" s="3062"/>
      <c r="D1168" s="3062" t="s">
        <v>3340</v>
      </c>
      <c r="E1168" s="3058">
        <v>12.72</v>
      </c>
      <c r="F1168" s="3058">
        <v>100000</v>
      </c>
      <c r="G1168" s="3059">
        <v>100000</v>
      </c>
      <c r="H1168" s="3059" t="s">
        <v>3090</v>
      </c>
      <c r="I1168" s="3058" t="s">
        <v>3054</v>
      </c>
    </row>
    <row r="1169" spans="1:9">
      <c r="A1169" s="3059">
        <v>1379</v>
      </c>
      <c r="B1169" s="3062" t="s">
        <v>3291</v>
      </c>
      <c r="C1169" s="3062"/>
      <c r="D1169" s="3062" t="s">
        <v>3339</v>
      </c>
      <c r="E1169" s="3058">
        <v>12.72</v>
      </c>
      <c r="F1169" s="3058">
        <v>100000</v>
      </c>
      <c r="G1169" s="3059">
        <v>100000</v>
      </c>
      <c r="H1169" s="3059" t="s">
        <v>3090</v>
      </c>
      <c r="I1169" s="3058" t="s">
        <v>3054</v>
      </c>
    </row>
    <row r="1170" spans="1:9">
      <c r="A1170" s="3059">
        <v>1380</v>
      </c>
      <c r="B1170" s="3062" t="s">
        <v>3291</v>
      </c>
      <c r="C1170" s="3062"/>
      <c r="D1170" s="3062" t="s">
        <v>3338</v>
      </c>
      <c r="E1170" s="3058">
        <v>12.72</v>
      </c>
      <c r="F1170" s="3058">
        <v>100000</v>
      </c>
      <c r="G1170" s="3059">
        <v>100000</v>
      </c>
      <c r="H1170" s="3059" t="s">
        <v>3090</v>
      </c>
      <c r="I1170" s="3058" t="s">
        <v>3054</v>
      </c>
    </row>
    <row r="1171" spans="1:9">
      <c r="A1171" s="3059">
        <v>1381</v>
      </c>
      <c r="B1171" s="3062" t="s">
        <v>3291</v>
      </c>
      <c r="C1171" s="3062"/>
      <c r="D1171" s="3062" t="s">
        <v>3337</v>
      </c>
      <c r="E1171" s="3058">
        <v>12.72</v>
      </c>
      <c r="F1171" s="3058">
        <v>100000</v>
      </c>
      <c r="G1171" s="3059">
        <v>100000</v>
      </c>
      <c r="H1171" s="3059" t="s">
        <v>3090</v>
      </c>
      <c r="I1171" s="3058" t="s">
        <v>3054</v>
      </c>
    </row>
    <row r="1172" spans="1:9">
      <c r="A1172" s="3059">
        <v>1382</v>
      </c>
      <c r="B1172" s="3062" t="s">
        <v>3291</v>
      </c>
      <c r="C1172" s="3062"/>
      <c r="D1172" s="3062" t="s">
        <v>3336</v>
      </c>
      <c r="E1172" s="3058">
        <v>13.78</v>
      </c>
      <c r="F1172" s="3058">
        <v>100000</v>
      </c>
      <c r="G1172" s="3059">
        <v>100000</v>
      </c>
      <c r="H1172" s="3059" t="s">
        <v>3090</v>
      </c>
      <c r="I1172" s="3058" t="s">
        <v>3054</v>
      </c>
    </row>
    <row r="1173" spans="1:9">
      <c r="A1173" s="3059">
        <v>1383</v>
      </c>
      <c r="B1173" s="3062" t="s">
        <v>3291</v>
      </c>
      <c r="C1173" s="3062"/>
      <c r="D1173" s="3062" t="s">
        <v>3335</v>
      </c>
      <c r="E1173" s="3058">
        <v>12.72</v>
      </c>
      <c r="F1173" s="3058">
        <v>100000</v>
      </c>
      <c r="G1173" s="3059">
        <v>100000</v>
      </c>
      <c r="H1173" s="3059" t="s">
        <v>3090</v>
      </c>
      <c r="I1173" s="3058" t="s">
        <v>3054</v>
      </c>
    </row>
    <row r="1174" spans="1:9">
      <c r="A1174" s="3059">
        <v>1384</v>
      </c>
      <c r="B1174" s="3062" t="s">
        <v>3291</v>
      </c>
      <c r="C1174" s="3062"/>
      <c r="D1174" s="3062" t="s">
        <v>3334</v>
      </c>
      <c r="E1174" s="3058">
        <v>12.72</v>
      </c>
      <c r="F1174" s="3058">
        <v>100000</v>
      </c>
      <c r="G1174" s="3059">
        <v>100000</v>
      </c>
      <c r="H1174" s="3059" t="s">
        <v>3090</v>
      </c>
      <c r="I1174" s="3058" t="s">
        <v>3054</v>
      </c>
    </row>
    <row r="1175" spans="1:9">
      <c r="A1175" s="3059">
        <v>1385</v>
      </c>
      <c r="B1175" s="3062" t="s">
        <v>3291</v>
      </c>
      <c r="C1175" s="3062"/>
      <c r="D1175" s="3062" t="s">
        <v>3333</v>
      </c>
      <c r="E1175" s="3058">
        <v>12.72</v>
      </c>
      <c r="F1175" s="3058">
        <v>100000</v>
      </c>
      <c r="G1175" s="3059">
        <v>100000</v>
      </c>
      <c r="H1175" s="3059" t="s">
        <v>3090</v>
      </c>
      <c r="I1175" s="3058" t="s">
        <v>3054</v>
      </c>
    </row>
    <row r="1176" spans="1:9">
      <c r="A1176" s="3059">
        <v>1386</v>
      </c>
      <c r="B1176" s="3062" t="s">
        <v>3291</v>
      </c>
      <c r="C1176" s="3062"/>
      <c r="D1176" s="3062" t="s">
        <v>3332</v>
      </c>
      <c r="E1176" s="3058">
        <v>12.72</v>
      </c>
      <c r="F1176" s="3058">
        <v>100000</v>
      </c>
      <c r="G1176" s="3059">
        <v>100000</v>
      </c>
      <c r="H1176" s="3059" t="s">
        <v>3090</v>
      </c>
      <c r="I1176" s="3058" t="s">
        <v>3054</v>
      </c>
    </row>
    <row r="1177" spans="1:9">
      <c r="A1177" s="3059">
        <v>1387</v>
      </c>
      <c r="B1177" s="3062" t="s">
        <v>3291</v>
      </c>
      <c r="C1177" s="3062"/>
      <c r="D1177" s="3062" t="s">
        <v>3331</v>
      </c>
      <c r="E1177" s="3058">
        <v>13.78</v>
      </c>
      <c r="F1177" s="3058">
        <v>100000</v>
      </c>
      <c r="G1177" s="3059">
        <v>100000</v>
      </c>
      <c r="H1177" s="3059" t="s">
        <v>3090</v>
      </c>
      <c r="I1177" s="3058" t="s">
        <v>3054</v>
      </c>
    </row>
    <row r="1178" spans="1:9">
      <c r="A1178" s="3059">
        <v>1388</v>
      </c>
      <c r="B1178" s="3062" t="s">
        <v>3291</v>
      </c>
      <c r="C1178" s="3062"/>
      <c r="D1178" s="3062" t="s">
        <v>3330</v>
      </c>
      <c r="E1178" s="3058">
        <v>13.78</v>
      </c>
      <c r="F1178" s="3058">
        <v>100000</v>
      </c>
      <c r="G1178" s="3059">
        <v>100000</v>
      </c>
      <c r="H1178" s="3059" t="s">
        <v>3090</v>
      </c>
      <c r="I1178" s="3058" t="s">
        <v>3054</v>
      </c>
    </row>
    <row r="1179" spans="1:9">
      <c r="A1179" s="3059">
        <v>1389</v>
      </c>
      <c r="B1179" s="3062" t="s">
        <v>3291</v>
      </c>
      <c r="C1179" s="3062"/>
      <c r="D1179" s="3062" t="s">
        <v>3329</v>
      </c>
      <c r="E1179" s="3058">
        <v>13.78</v>
      </c>
      <c r="F1179" s="3058">
        <v>100000</v>
      </c>
      <c r="G1179" s="3059">
        <v>100000</v>
      </c>
      <c r="H1179" s="3059" t="s">
        <v>3090</v>
      </c>
      <c r="I1179" s="3058" t="s">
        <v>3054</v>
      </c>
    </row>
    <row r="1180" spans="1:9">
      <c r="A1180" s="3059">
        <v>1390</v>
      </c>
      <c r="B1180" s="3062" t="s">
        <v>3291</v>
      </c>
      <c r="C1180" s="3062"/>
      <c r="D1180" s="3062" t="s">
        <v>3328</v>
      </c>
      <c r="E1180" s="3058">
        <v>13.78</v>
      </c>
      <c r="F1180" s="3058">
        <v>100000</v>
      </c>
      <c r="G1180" s="3059">
        <v>100000</v>
      </c>
      <c r="H1180" s="3059" t="s">
        <v>3090</v>
      </c>
      <c r="I1180" s="3058" t="s">
        <v>3054</v>
      </c>
    </row>
    <row r="1181" spans="1:9">
      <c r="A1181" s="3059">
        <v>1391</v>
      </c>
      <c r="B1181" s="3062" t="s">
        <v>3291</v>
      </c>
      <c r="C1181" s="3062"/>
      <c r="D1181" s="3062" t="s">
        <v>3327</v>
      </c>
      <c r="E1181" s="3058">
        <v>13.78</v>
      </c>
      <c r="F1181" s="3058">
        <v>100000</v>
      </c>
      <c r="G1181" s="3059">
        <v>100000</v>
      </c>
      <c r="H1181" s="3059" t="s">
        <v>3090</v>
      </c>
      <c r="I1181" s="3058" t="s">
        <v>3054</v>
      </c>
    </row>
    <row r="1182" spans="1:9">
      <c r="A1182" s="3059">
        <v>1392</v>
      </c>
      <c r="B1182" s="3062" t="s">
        <v>3291</v>
      </c>
      <c r="C1182" s="3062"/>
      <c r="D1182" s="3062" t="s">
        <v>3326</v>
      </c>
      <c r="E1182" s="3058">
        <v>13.78</v>
      </c>
      <c r="F1182" s="3058">
        <v>100000</v>
      </c>
      <c r="G1182" s="3059">
        <v>100000</v>
      </c>
      <c r="H1182" s="3059" t="s">
        <v>3090</v>
      </c>
      <c r="I1182" s="3058" t="s">
        <v>3054</v>
      </c>
    </row>
    <row r="1183" spans="1:9">
      <c r="A1183" s="3059">
        <v>1393</v>
      </c>
      <c r="B1183" s="3062" t="s">
        <v>3291</v>
      </c>
      <c r="C1183" s="3062"/>
      <c r="D1183" s="3062" t="s">
        <v>3325</v>
      </c>
      <c r="E1183" s="3058">
        <v>13.78</v>
      </c>
      <c r="F1183" s="3058">
        <v>100000</v>
      </c>
      <c r="G1183" s="3059">
        <v>100000</v>
      </c>
      <c r="H1183" s="3059" t="s">
        <v>3090</v>
      </c>
      <c r="I1183" s="3058" t="s">
        <v>3054</v>
      </c>
    </row>
    <row r="1184" spans="1:9">
      <c r="A1184" s="3059">
        <v>1394</v>
      </c>
      <c r="B1184" s="3062" t="s">
        <v>3291</v>
      </c>
      <c r="C1184" s="3062"/>
      <c r="D1184" s="3062" t="s">
        <v>3324</v>
      </c>
      <c r="E1184" s="3058">
        <v>12.72</v>
      </c>
      <c r="F1184" s="3058">
        <v>100000</v>
      </c>
      <c r="G1184" s="3059">
        <v>100000</v>
      </c>
      <c r="H1184" s="3059" t="s">
        <v>3090</v>
      </c>
      <c r="I1184" s="3058" t="s">
        <v>3054</v>
      </c>
    </row>
    <row r="1185" spans="1:9">
      <c r="A1185" s="3059">
        <v>1395</v>
      </c>
      <c r="B1185" s="3062" t="s">
        <v>3291</v>
      </c>
      <c r="C1185" s="3062"/>
      <c r="D1185" s="3062" t="s">
        <v>3323</v>
      </c>
      <c r="E1185" s="3058">
        <v>12.72</v>
      </c>
      <c r="F1185" s="3058">
        <v>100000</v>
      </c>
      <c r="G1185" s="3059">
        <v>100000</v>
      </c>
      <c r="H1185" s="3059" t="s">
        <v>3090</v>
      </c>
      <c r="I1185" s="3058" t="s">
        <v>3054</v>
      </c>
    </row>
    <row r="1186" spans="1:9">
      <c r="A1186" s="3059">
        <v>1396</v>
      </c>
      <c r="B1186" s="3062" t="s">
        <v>3291</v>
      </c>
      <c r="C1186" s="3062"/>
      <c r="D1186" s="3062" t="s">
        <v>3322</v>
      </c>
      <c r="E1186" s="3058">
        <v>12.72</v>
      </c>
      <c r="F1186" s="3058">
        <v>100000</v>
      </c>
      <c r="G1186" s="3059">
        <v>100000</v>
      </c>
      <c r="H1186" s="3059" t="s">
        <v>3090</v>
      </c>
      <c r="I1186" s="3058" t="s">
        <v>3054</v>
      </c>
    </row>
    <row r="1187" spans="1:9">
      <c r="A1187" s="3059">
        <v>1397</v>
      </c>
      <c r="B1187" s="3062" t="s">
        <v>3291</v>
      </c>
      <c r="C1187" s="3062"/>
      <c r="D1187" s="3062" t="s">
        <v>3321</v>
      </c>
      <c r="E1187" s="3058">
        <v>12.72</v>
      </c>
      <c r="F1187" s="3058">
        <v>100000</v>
      </c>
      <c r="G1187" s="3059">
        <v>100000</v>
      </c>
      <c r="H1187" s="3059" t="s">
        <v>3090</v>
      </c>
      <c r="I1187" s="3058" t="s">
        <v>3054</v>
      </c>
    </row>
    <row r="1188" spans="1:9">
      <c r="A1188" s="3059">
        <v>1398</v>
      </c>
      <c r="B1188" s="3062" t="s">
        <v>3291</v>
      </c>
      <c r="C1188" s="3062"/>
      <c r="D1188" s="3062" t="s">
        <v>3320</v>
      </c>
      <c r="E1188" s="3058">
        <v>12.72</v>
      </c>
      <c r="F1188" s="3058">
        <v>100000</v>
      </c>
      <c r="G1188" s="3059">
        <v>100000</v>
      </c>
      <c r="H1188" s="3059" t="s">
        <v>3090</v>
      </c>
      <c r="I1188" s="3058" t="s">
        <v>3054</v>
      </c>
    </row>
    <row r="1189" spans="1:9">
      <c r="A1189" s="3059">
        <v>1399</v>
      </c>
      <c r="B1189" s="3062" t="s">
        <v>3291</v>
      </c>
      <c r="C1189" s="3062"/>
      <c r="D1189" s="3062" t="s">
        <v>3319</v>
      </c>
      <c r="E1189" s="3058">
        <v>12.72</v>
      </c>
      <c r="F1189" s="3058">
        <v>100000</v>
      </c>
      <c r="G1189" s="3059">
        <v>100000</v>
      </c>
      <c r="H1189" s="3059" t="s">
        <v>3090</v>
      </c>
      <c r="I1189" s="3058" t="s">
        <v>3054</v>
      </c>
    </row>
    <row r="1190" spans="1:9">
      <c r="A1190" s="3059">
        <v>1400</v>
      </c>
      <c r="B1190" s="3062" t="s">
        <v>3291</v>
      </c>
      <c r="C1190" s="3062"/>
      <c r="D1190" s="3062" t="s">
        <v>3318</v>
      </c>
      <c r="E1190" s="3058">
        <v>9.4600000000000009</v>
      </c>
      <c r="F1190" s="3058">
        <v>100000</v>
      </c>
      <c r="G1190" s="3059">
        <v>100000</v>
      </c>
      <c r="H1190" s="3059" t="s">
        <v>3090</v>
      </c>
      <c r="I1190" s="3058" t="s">
        <v>3054</v>
      </c>
    </row>
    <row r="1191" spans="1:9">
      <c r="A1191" s="3059">
        <v>1401</v>
      </c>
      <c r="B1191" s="3062" t="s">
        <v>3291</v>
      </c>
      <c r="C1191" s="3062"/>
      <c r="D1191" s="3062" t="s">
        <v>3317</v>
      </c>
      <c r="E1191" s="3058">
        <v>13.78</v>
      </c>
      <c r="F1191" s="3058">
        <v>100000</v>
      </c>
      <c r="G1191" s="3059">
        <v>100000</v>
      </c>
      <c r="H1191" s="3059" t="s">
        <v>3090</v>
      </c>
      <c r="I1191" s="3058" t="s">
        <v>3054</v>
      </c>
    </row>
    <row r="1192" spans="1:9">
      <c r="A1192" s="3059">
        <v>1402</v>
      </c>
      <c r="B1192" s="3062" t="s">
        <v>3291</v>
      </c>
      <c r="C1192" s="3062"/>
      <c r="D1192" s="3062" t="s">
        <v>3316</v>
      </c>
      <c r="E1192" s="3058">
        <v>13.78</v>
      </c>
      <c r="F1192" s="3058">
        <v>100000</v>
      </c>
      <c r="G1192" s="3059">
        <v>100000</v>
      </c>
      <c r="H1192" s="3059" t="s">
        <v>3090</v>
      </c>
      <c r="I1192" s="3058" t="s">
        <v>3054</v>
      </c>
    </row>
    <row r="1193" spans="1:9">
      <c r="A1193" s="3059">
        <v>1403</v>
      </c>
      <c r="B1193" s="3062" t="s">
        <v>3291</v>
      </c>
      <c r="C1193" s="3062"/>
      <c r="D1193" s="3062" t="s">
        <v>3315</v>
      </c>
      <c r="E1193" s="3058">
        <v>12.72</v>
      </c>
      <c r="F1193" s="3058">
        <v>100000</v>
      </c>
      <c r="G1193" s="3059">
        <v>100000</v>
      </c>
      <c r="H1193" s="3059" t="s">
        <v>3090</v>
      </c>
      <c r="I1193" s="3058" t="s">
        <v>3054</v>
      </c>
    </row>
    <row r="1194" spans="1:9">
      <c r="A1194" s="3059">
        <v>1404</v>
      </c>
      <c r="B1194" s="3062" t="s">
        <v>3291</v>
      </c>
      <c r="C1194" s="3062"/>
      <c r="D1194" s="3062" t="s">
        <v>3314</v>
      </c>
      <c r="E1194" s="3058">
        <v>13.78</v>
      </c>
      <c r="F1194" s="3058">
        <v>100000</v>
      </c>
      <c r="G1194" s="3059">
        <v>100000</v>
      </c>
      <c r="H1194" s="3059" t="s">
        <v>3090</v>
      </c>
      <c r="I1194" s="3058" t="s">
        <v>3054</v>
      </c>
    </row>
    <row r="1195" spans="1:9">
      <c r="A1195" s="3059">
        <v>1405</v>
      </c>
      <c r="B1195" s="3062" t="s">
        <v>3291</v>
      </c>
      <c r="C1195" s="3062"/>
      <c r="D1195" s="3062" t="s">
        <v>3313</v>
      </c>
      <c r="E1195" s="3058">
        <v>12.72</v>
      </c>
      <c r="F1195" s="3058">
        <v>100000</v>
      </c>
      <c r="G1195" s="3059">
        <v>100000</v>
      </c>
      <c r="H1195" s="3059" t="s">
        <v>3090</v>
      </c>
      <c r="I1195" s="3058" t="s">
        <v>3054</v>
      </c>
    </row>
    <row r="1196" spans="1:9">
      <c r="A1196" s="3059">
        <v>1406</v>
      </c>
      <c r="B1196" s="3062" t="s">
        <v>3291</v>
      </c>
      <c r="C1196" s="3062"/>
      <c r="D1196" s="3062" t="s">
        <v>3312</v>
      </c>
      <c r="E1196" s="3058">
        <v>12.72</v>
      </c>
      <c r="F1196" s="3058">
        <v>100000</v>
      </c>
      <c r="G1196" s="3059">
        <v>100000</v>
      </c>
      <c r="H1196" s="3059" t="s">
        <v>3090</v>
      </c>
      <c r="I1196" s="3058" t="s">
        <v>3054</v>
      </c>
    </row>
    <row r="1197" spans="1:9">
      <c r="A1197" s="3059">
        <v>1407</v>
      </c>
      <c r="B1197" s="3062" t="s">
        <v>3291</v>
      </c>
      <c r="C1197" s="3062"/>
      <c r="D1197" s="3062" t="s">
        <v>3311</v>
      </c>
      <c r="E1197" s="3058">
        <v>13.78</v>
      </c>
      <c r="F1197" s="3058">
        <v>100000</v>
      </c>
      <c r="G1197" s="3059">
        <v>100000</v>
      </c>
      <c r="H1197" s="3059" t="s">
        <v>3090</v>
      </c>
      <c r="I1197" s="3058" t="s">
        <v>3054</v>
      </c>
    </row>
    <row r="1198" spans="1:9">
      <c r="A1198" s="3059">
        <v>1408</v>
      </c>
      <c r="B1198" s="3062" t="s">
        <v>3291</v>
      </c>
      <c r="C1198" s="3062"/>
      <c r="D1198" s="3062" t="s">
        <v>3310</v>
      </c>
      <c r="E1198" s="3058">
        <v>12.72</v>
      </c>
      <c r="F1198" s="3058">
        <v>100000</v>
      </c>
      <c r="G1198" s="3059">
        <v>100000</v>
      </c>
      <c r="H1198" s="3059" t="s">
        <v>3090</v>
      </c>
      <c r="I1198" s="3058" t="s">
        <v>3054</v>
      </c>
    </row>
    <row r="1199" spans="1:9">
      <c r="A1199" s="3059">
        <v>1409</v>
      </c>
      <c r="B1199" s="3062" t="s">
        <v>3291</v>
      </c>
      <c r="C1199" s="3062"/>
      <c r="D1199" s="3062" t="s">
        <v>3309</v>
      </c>
      <c r="E1199" s="3058">
        <v>12.72</v>
      </c>
      <c r="F1199" s="3058">
        <v>100000</v>
      </c>
      <c r="G1199" s="3059">
        <v>100000</v>
      </c>
      <c r="H1199" s="3059" t="s">
        <v>3090</v>
      </c>
      <c r="I1199" s="3058" t="s">
        <v>3054</v>
      </c>
    </row>
    <row r="1200" spans="1:9">
      <c r="A1200" s="3059">
        <v>1410</v>
      </c>
      <c r="B1200" s="3062" t="s">
        <v>3291</v>
      </c>
      <c r="C1200" s="3062"/>
      <c r="D1200" s="3062" t="s">
        <v>3308</v>
      </c>
      <c r="E1200" s="3058">
        <v>13.78</v>
      </c>
      <c r="F1200" s="3058">
        <v>100000</v>
      </c>
      <c r="G1200" s="3059">
        <v>100000</v>
      </c>
      <c r="H1200" s="3059" t="s">
        <v>3090</v>
      </c>
      <c r="I1200" s="3058" t="s">
        <v>3054</v>
      </c>
    </row>
    <row r="1201" spans="1:9">
      <c r="A1201" s="3059">
        <v>1411</v>
      </c>
      <c r="B1201" s="3062" t="s">
        <v>3291</v>
      </c>
      <c r="C1201" s="3062"/>
      <c r="D1201" s="3062" t="s">
        <v>3307</v>
      </c>
      <c r="E1201" s="3058">
        <v>12.72</v>
      </c>
      <c r="F1201" s="3058">
        <v>100000</v>
      </c>
      <c r="G1201" s="3059">
        <v>100000</v>
      </c>
      <c r="H1201" s="3059" t="s">
        <v>3090</v>
      </c>
      <c r="I1201" s="3058" t="s">
        <v>3054</v>
      </c>
    </row>
    <row r="1202" spans="1:9">
      <c r="A1202" s="3059">
        <v>1412</v>
      </c>
      <c r="B1202" s="3062" t="s">
        <v>3291</v>
      </c>
      <c r="C1202" s="3062"/>
      <c r="D1202" s="3062" t="s">
        <v>3306</v>
      </c>
      <c r="E1202" s="3058">
        <v>12.72</v>
      </c>
      <c r="F1202" s="3058">
        <v>100000</v>
      </c>
      <c r="G1202" s="3059">
        <v>100000</v>
      </c>
      <c r="H1202" s="3059" t="s">
        <v>3090</v>
      </c>
      <c r="I1202" s="3058" t="s">
        <v>3054</v>
      </c>
    </row>
    <row r="1203" spans="1:9">
      <c r="A1203" s="3059">
        <v>1413</v>
      </c>
      <c r="B1203" s="3062" t="s">
        <v>3291</v>
      </c>
      <c r="C1203" s="3062"/>
      <c r="D1203" s="3062" t="s">
        <v>3305</v>
      </c>
      <c r="E1203" s="3058">
        <v>13.78</v>
      </c>
      <c r="F1203" s="3058">
        <v>100000</v>
      </c>
      <c r="G1203" s="3059">
        <v>100000</v>
      </c>
      <c r="H1203" s="3059" t="s">
        <v>3090</v>
      </c>
      <c r="I1203" s="3058" t="s">
        <v>3054</v>
      </c>
    </row>
    <row r="1204" spans="1:9">
      <c r="A1204" s="3059">
        <v>1414</v>
      </c>
      <c r="B1204" s="3062" t="s">
        <v>3291</v>
      </c>
      <c r="C1204" s="3062"/>
      <c r="D1204" s="3062" t="s">
        <v>3304</v>
      </c>
      <c r="E1204" s="3058">
        <v>12.72</v>
      </c>
      <c r="F1204" s="3058">
        <v>100000</v>
      </c>
      <c r="G1204" s="3059">
        <v>100000</v>
      </c>
      <c r="H1204" s="3059" t="s">
        <v>3090</v>
      </c>
      <c r="I1204" s="3058" t="s">
        <v>3054</v>
      </c>
    </row>
    <row r="1205" spans="1:9">
      <c r="A1205" s="3059">
        <v>1415</v>
      </c>
      <c r="B1205" s="3062" t="s">
        <v>3291</v>
      </c>
      <c r="C1205" s="3062"/>
      <c r="D1205" s="3062" t="s">
        <v>3303</v>
      </c>
      <c r="E1205" s="3058">
        <v>12.72</v>
      </c>
      <c r="F1205" s="3058">
        <v>100000</v>
      </c>
      <c r="G1205" s="3059">
        <v>100000</v>
      </c>
      <c r="H1205" s="3059" t="s">
        <v>3090</v>
      </c>
      <c r="I1205" s="3058" t="s">
        <v>3054</v>
      </c>
    </row>
    <row r="1206" spans="1:9">
      <c r="A1206" s="3059">
        <v>1416</v>
      </c>
      <c r="B1206" s="3062" t="s">
        <v>3291</v>
      </c>
      <c r="C1206" s="3062"/>
      <c r="D1206" s="3062" t="s">
        <v>3302</v>
      </c>
      <c r="E1206" s="3058">
        <v>13.78</v>
      </c>
      <c r="F1206" s="3058">
        <v>100000</v>
      </c>
      <c r="G1206" s="3059">
        <v>100000</v>
      </c>
      <c r="H1206" s="3059" t="s">
        <v>3090</v>
      </c>
      <c r="I1206" s="3058" t="s">
        <v>3054</v>
      </c>
    </row>
    <row r="1207" spans="1:9">
      <c r="A1207" s="3059">
        <v>1417</v>
      </c>
      <c r="B1207" s="3062" t="s">
        <v>3291</v>
      </c>
      <c r="C1207" s="3062"/>
      <c r="D1207" s="3062" t="s">
        <v>3301</v>
      </c>
      <c r="E1207" s="3058">
        <v>12.72</v>
      </c>
      <c r="F1207" s="3058">
        <v>100000</v>
      </c>
      <c r="G1207" s="3059">
        <v>100000</v>
      </c>
      <c r="H1207" s="3059" t="s">
        <v>3090</v>
      </c>
      <c r="I1207" s="3058" t="s">
        <v>3054</v>
      </c>
    </row>
    <row r="1208" spans="1:9">
      <c r="A1208" s="3059">
        <v>1418</v>
      </c>
      <c r="B1208" s="3062" t="s">
        <v>3291</v>
      </c>
      <c r="C1208" s="3062"/>
      <c r="D1208" s="3062" t="s">
        <v>3300</v>
      </c>
      <c r="E1208" s="3058">
        <v>12.72</v>
      </c>
      <c r="F1208" s="3058">
        <v>100000</v>
      </c>
      <c r="G1208" s="3059">
        <v>100000</v>
      </c>
      <c r="H1208" s="3059" t="s">
        <v>3090</v>
      </c>
      <c r="I1208" s="3058" t="s">
        <v>3054</v>
      </c>
    </row>
    <row r="1209" spans="1:9">
      <c r="A1209" s="3059">
        <v>1419</v>
      </c>
      <c r="B1209" s="3062" t="s">
        <v>3291</v>
      </c>
      <c r="C1209" s="3062"/>
      <c r="D1209" s="3062" t="s">
        <v>3299</v>
      </c>
      <c r="E1209" s="3058">
        <v>12.72</v>
      </c>
      <c r="F1209" s="3058">
        <v>100000</v>
      </c>
      <c r="G1209" s="3059">
        <v>100000</v>
      </c>
      <c r="H1209" s="3059" t="s">
        <v>3090</v>
      </c>
      <c r="I1209" s="3058" t="s">
        <v>3054</v>
      </c>
    </row>
    <row r="1210" spans="1:9">
      <c r="A1210" s="3059">
        <v>1420</v>
      </c>
      <c r="B1210" s="3062" t="s">
        <v>3291</v>
      </c>
      <c r="C1210" s="3062"/>
      <c r="D1210" s="3062" t="s">
        <v>3298</v>
      </c>
      <c r="E1210" s="3058">
        <v>12.72</v>
      </c>
      <c r="F1210" s="3058">
        <v>100000</v>
      </c>
      <c r="G1210" s="3059">
        <v>100000</v>
      </c>
      <c r="H1210" s="3059" t="s">
        <v>3090</v>
      </c>
      <c r="I1210" s="3058" t="s">
        <v>3054</v>
      </c>
    </row>
    <row r="1211" spans="1:9">
      <c r="A1211" s="3059">
        <v>1421</v>
      </c>
      <c r="B1211" s="3062" t="s">
        <v>3291</v>
      </c>
      <c r="C1211" s="3062"/>
      <c r="D1211" s="3062" t="s">
        <v>3297</v>
      </c>
      <c r="E1211" s="3058">
        <v>12.72</v>
      </c>
      <c r="F1211" s="3058">
        <v>100000</v>
      </c>
      <c r="G1211" s="3059">
        <v>100000</v>
      </c>
      <c r="H1211" s="3059" t="s">
        <v>3090</v>
      </c>
      <c r="I1211" s="3058" t="s">
        <v>3054</v>
      </c>
    </row>
    <row r="1212" spans="1:9">
      <c r="A1212" s="3059">
        <v>1422</v>
      </c>
      <c r="B1212" s="3062" t="s">
        <v>3291</v>
      </c>
      <c r="C1212" s="3062"/>
      <c r="D1212" s="3062" t="s">
        <v>3296</v>
      </c>
      <c r="E1212" s="3058">
        <v>13.78</v>
      </c>
      <c r="F1212" s="3058">
        <v>100000</v>
      </c>
      <c r="G1212" s="3059">
        <v>100000</v>
      </c>
      <c r="H1212" s="3059" t="s">
        <v>3090</v>
      </c>
      <c r="I1212" s="3058" t="s">
        <v>3054</v>
      </c>
    </row>
    <row r="1213" spans="1:9">
      <c r="A1213" s="3059">
        <v>1423</v>
      </c>
      <c r="B1213" s="3062" t="s">
        <v>3291</v>
      </c>
      <c r="C1213" s="3062"/>
      <c r="D1213" s="3062" t="s">
        <v>3295</v>
      </c>
      <c r="E1213" s="3058">
        <v>12.72</v>
      </c>
      <c r="F1213" s="3058">
        <v>100000</v>
      </c>
      <c r="G1213" s="3059">
        <v>100000</v>
      </c>
      <c r="H1213" s="3059" t="s">
        <v>3090</v>
      </c>
      <c r="I1213" s="3058" t="s">
        <v>3054</v>
      </c>
    </row>
    <row r="1214" spans="1:9">
      <c r="A1214" s="3059">
        <v>1424</v>
      </c>
      <c r="B1214" s="3062" t="s">
        <v>3291</v>
      </c>
      <c r="C1214" s="3062"/>
      <c r="D1214" s="3062" t="s">
        <v>3294</v>
      </c>
      <c r="E1214" s="3058">
        <v>12.72</v>
      </c>
      <c r="F1214" s="3058">
        <v>100000</v>
      </c>
      <c r="G1214" s="3059">
        <v>100000</v>
      </c>
      <c r="H1214" s="3059" t="s">
        <v>3090</v>
      </c>
      <c r="I1214" s="3058" t="s">
        <v>3054</v>
      </c>
    </row>
    <row r="1215" spans="1:9">
      <c r="A1215" s="3059">
        <v>1425</v>
      </c>
      <c r="B1215" s="3062" t="s">
        <v>3291</v>
      </c>
      <c r="C1215" s="3062"/>
      <c r="D1215" s="3062" t="s">
        <v>3293</v>
      </c>
      <c r="E1215" s="3058">
        <v>12.72</v>
      </c>
      <c r="F1215" s="3058">
        <v>100000</v>
      </c>
      <c r="G1215" s="3059">
        <v>100000</v>
      </c>
      <c r="H1215" s="3059" t="s">
        <v>3090</v>
      </c>
      <c r="I1215" s="3058" t="s">
        <v>3054</v>
      </c>
    </row>
    <row r="1216" spans="1:9">
      <c r="A1216" s="3059">
        <v>1426</v>
      </c>
      <c r="B1216" s="3062" t="s">
        <v>3291</v>
      </c>
      <c r="C1216" s="3062"/>
      <c r="D1216" s="3062" t="s">
        <v>3292</v>
      </c>
      <c r="E1216" s="3058">
        <v>12.72</v>
      </c>
      <c r="F1216" s="3058">
        <v>100000</v>
      </c>
      <c r="G1216" s="3059">
        <v>100000</v>
      </c>
      <c r="H1216" s="3059" t="s">
        <v>3090</v>
      </c>
      <c r="I1216" s="3058" t="s">
        <v>3054</v>
      </c>
    </row>
    <row r="1217" spans="1:9">
      <c r="A1217" s="3059">
        <v>1427</v>
      </c>
      <c r="B1217" s="3062" t="s">
        <v>3291</v>
      </c>
      <c r="C1217" s="3062"/>
      <c r="D1217" s="3062" t="s">
        <v>3290</v>
      </c>
      <c r="E1217" s="3058">
        <v>12.72</v>
      </c>
      <c r="F1217" s="3058">
        <v>100000</v>
      </c>
      <c r="G1217" s="3059">
        <v>100000</v>
      </c>
      <c r="H1217" s="3059" t="s">
        <v>3090</v>
      </c>
      <c r="I1217" s="3058" t="s">
        <v>3054</v>
      </c>
    </row>
    <row r="1218" spans="1:9">
      <c r="A1218" s="3059">
        <v>1428</v>
      </c>
      <c r="B1218" s="3062" t="s">
        <v>3254</v>
      </c>
      <c r="C1218" s="3062"/>
      <c r="D1218" s="3062" t="s">
        <v>3289</v>
      </c>
      <c r="E1218" s="3058">
        <v>12.72</v>
      </c>
      <c r="F1218" s="3058">
        <v>100000</v>
      </c>
      <c r="G1218" s="3059">
        <v>100000</v>
      </c>
      <c r="H1218" s="3059" t="s">
        <v>3090</v>
      </c>
      <c r="I1218" s="3058" t="s">
        <v>3054</v>
      </c>
    </row>
    <row r="1219" spans="1:9">
      <c r="A1219" s="3059">
        <v>1429</v>
      </c>
      <c r="B1219" s="3062" t="s">
        <v>3254</v>
      </c>
      <c r="C1219" s="3062"/>
      <c r="D1219" s="3062" t="s">
        <v>3288</v>
      </c>
      <c r="E1219" s="3058">
        <v>12.72</v>
      </c>
      <c r="F1219" s="3058">
        <v>100000</v>
      </c>
      <c r="G1219" s="3059">
        <v>100000</v>
      </c>
      <c r="H1219" s="3059" t="s">
        <v>3090</v>
      </c>
      <c r="I1219" s="3058" t="s">
        <v>3054</v>
      </c>
    </row>
    <row r="1220" spans="1:9">
      <c r="A1220" s="3059">
        <v>1430</v>
      </c>
      <c r="B1220" s="3062" t="s">
        <v>3254</v>
      </c>
      <c r="C1220" s="3062"/>
      <c r="D1220" s="3062" t="s">
        <v>3287</v>
      </c>
      <c r="E1220" s="3058">
        <v>13.78</v>
      </c>
      <c r="F1220" s="3058">
        <v>100000</v>
      </c>
      <c r="G1220" s="3059">
        <v>100000</v>
      </c>
      <c r="H1220" s="3059" t="s">
        <v>3090</v>
      </c>
      <c r="I1220" s="3058" t="s">
        <v>3054</v>
      </c>
    </row>
    <row r="1221" spans="1:9">
      <c r="A1221" s="3059">
        <v>1431</v>
      </c>
      <c r="B1221" s="3062" t="s">
        <v>3254</v>
      </c>
      <c r="C1221" s="3062"/>
      <c r="D1221" s="3062" t="s">
        <v>3286</v>
      </c>
      <c r="E1221" s="3058">
        <v>9.4600000000000009</v>
      </c>
      <c r="F1221" s="3058">
        <v>100000</v>
      </c>
      <c r="G1221" s="3059">
        <v>100000</v>
      </c>
      <c r="H1221" s="3059" t="s">
        <v>3090</v>
      </c>
      <c r="I1221" s="3058" t="s">
        <v>3054</v>
      </c>
    </row>
    <row r="1222" spans="1:9">
      <c r="A1222" s="3059">
        <v>1432</v>
      </c>
      <c r="B1222" s="3062" t="s">
        <v>3254</v>
      </c>
      <c r="C1222" s="3062"/>
      <c r="D1222" s="3062" t="s">
        <v>3285</v>
      </c>
      <c r="E1222" s="3058">
        <v>9.4600000000000009</v>
      </c>
      <c r="F1222" s="3058">
        <v>100000</v>
      </c>
      <c r="G1222" s="3059">
        <v>100000</v>
      </c>
      <c r="H1222" s="3059" t="s">
        <v>3090</v>
      </c>
      <c r="I1222" s="3058" t="s">
        <v>3054</v>
      </c>
    </row>
    <row r="1223" spans="1:9">
      <c r="A1223" s="3059">
        <v>1433</v>
      </c>
      <c r="B1223" s="3062" t="s">
        <v>3254</v>
      </c>
      <c r="C1223" s="3062"/>
      <c r="D1223" s="3062" t="s">
        <v>3284</v>
      </c>
      <c r="E1223" s="3058">
        <v>9.4600000000000009</v>
      </c>
      <c r="F1223" s="3058">
        <v>100000</v>
      </c>
      <c r="G1223" s="3059">
        <v>100000</v>
      </c>
      <c r="H1223" s="3059" t="s">
        <v>3090</v>
      </c>
      <c r="I1223" s="3058" t="s">
        <v>3054</v>
      </c>
    </row>
    <row r="1224" spans="1:9">
      <c r="A1224" s="3059">
        <v>1434</v>
      </c>
      <c r="B1224" s="3062" t="s">
        <v>3254</v>
      </c>
      <c r="C1224" s="3062"/>
      <c r="D1224" s="3062" t="s">
        <v>3283</v>
      </c>
      <c r="E1224" s="3058">
        <v>9.4600000000000009</v>
      </c>
      <c r="F1224" s="3058">
        <v>100000</v>
      </c>
      <c r="G1224" s="3059">
        <v>100000</v>
      </c>
      <c r="H1224" s="3059" t="s">
        <v>3090</v>
      </c>
      <c r="I1224" s="3058" t="s">
        <v>3054</v>
      </c>
    </row>
    <row r="1225" spans="1:9">
      <c r="A1225" s="3059">
        <v>1435</v>
      </c>
      <c r="B1225" s="3062" t="s">
        <v>3254</v>
      </c>
      <c r="C1225" s="3062"/>
      <c r="D1225" s="3062" t="s">
        <v>3282</v>
      </c>
      <c r="E1225" s="3058">
        <v>9.4600000000000009</v>
      </c>
      <c r="F1225" s="3058">
        <v>100000</v>
      </c>
      <c r="G1225" s="3059">
        <v>100000</v>
      </c>
      <c r="H1225" s="3059" t="s">
        <v>3090</v>
      </c>
      <c r="I1225" s="3058" t="s">
        <v>3054</v>
      </c>
    </row>
    <row r="1226" spans="1:9">
      <c r="A1226" s="3059">
        <v>1436</v>
      </c>
      <c r="B1226" s="3062" t="s">
        <v>3254</v>
      </c>
      <c r="C1226" s="3062"/>
      <c r="D1226" s="3062" t="s">
        <v>3281</v>
      </c>
      <c r="E1226" s="3058">
        <v>13.78</v>
      </c>
      <c r="F1226" s="3058">
        <v>100000</v>
      </c>
      <c r="G1226" s="3059">
        <v>100000</v>
      </c>
      <c r="H1226" s="3059" t="s">
        <v>3090</v>
      </c>
      <c r="I1226" s="3058" t="s">
        <v>3054</v>
      </c>
    </row>
    <row r="1227" spans="1:9">
      <c r="A1227" s="3059">
        <v>1437</v>
      </c>
      <c r="B1227" s="3062" t="s">
        <v>3254</v>
      </c>
      <c r="C1227" s="3062"/>
      <c r="D1227" s="3062" t="s">
        <v>3280</v>
      </c>
      <c r="E1227" s="3058">
        <v>13.78</v>
      </c>
      <c r="F1227" s="3058">
        <v>100000</v>
      </c>
      <c r="G1227" s="3059">
        <v>100000</v>
      </c>
      <c r="H1227" s="3059" t="s">
        <v>3090</v>
      </c>
      <c r="I1227" s="3058" t="s">
        <v>3054</v>
      </c>
    </row>
    <row r="1228" spans="1:9">
      <c r="A1228" s="3059">
        <v>1438</v>
      </c>
      <c r="B1228" s="3062" t="s">
        <v>3254</v>
      </c>
      <c r="C1228" s="3062"/>
      <c r="D1228" s="3062" t="s">
        <v>3279</v>
      </c>
      <c r="E1228" s="3058">
        <v>13.78</v>
      </c>
      <c r="F1228" s="3058">
        <v>100000</v>
      </c>
      <c r="G1228" s="3059">
        <v>100000</v>
      </c>
      <c r="H1228" s="3059" t="s">
        <v>3090</v>
      </c>
      <c r="I1228" s="3058" t="s">
        <v>3054</v>
      </c>
    </row>
    <row r="1229" spans="1:9">
      <c r="A1229" s="3059">
        <v>1439</v>
      </c>
      <c r="B1229" s="3062" t="s">
        <v>3254</v>
      </c>
      <c r="C1229" s="3062"/>
      <c r="D1229" s="3062" t="s">
        <v>3278</v>
      </c>
      <c r="E1229" s="3058">
        <v>13.78</v>
      </c>
      <c r="F1229" s="3058">
        <v>100000</v>
      </c>
      <c r="G1229" s="3059">
        <v>100000</v>
      </c>
      <c r="H1229" s="3059" t="s">
        <v>3090</v>
      </c>
      <c r="I1229" s="3058" t="s">
        <v>3054</v>
      </c>
    </row>
    <row r="1230" spans="1:9">
      <c r="A1230" s="3059">
        <v>1440</v>
      </c>
      <c r="B1230" s="3062" t="s">
        <v>3254</v>
      </c>
      <c r="C1230" s="3062"/>
      <c r="D1230" s="3062" t="s">
        <v>3277</v>
      </c>
      <c r="E1230" s="3058">
        <v>12.72</v>
      </c>
      <c r="F1230" s="3058">
        <v>100000</v>
      </c>
      <c r="G1230" s="3059">
        <v>100000</v>
      </c>
      <c r="H1230" s="3059" t="s">
        <v>3090</v>
      </c>
      <c r="I1230" s="3058" t="s">
        <v>3054</v>
      </c>
    </row>
    <row r="1231" spans="1:9">
      <c r="A1231" s="3059">
        <v>1441</v>
      </c>
      <c r="B1231" s="3062" t="s">
        <v>3254</v>
      </c>
      <c r="C1231" s="3062"/>
      <c r="D1231" s="3062" t="s">
        <v>3276</v>
      </c>
      <c r="E1231" s="3058">
        <v>12.72</v>
      </c>
      <c r="F1231" s="3058">
        <v>100000</v>
      </c>
      <c r="G1231" s="3059">
        <v>100000</v>
      </c>
      <c r="H1231" s="3059" t="s">
        <v>3090</v>
      </c>
      <c r="I1231" s="3058" t="s">
        <v>3054</v>
      </c>
    </row>
    <row r="1232" spans="1:9">
      <c r="A1232" s="3059">
        <v>1442</v>
      </c>
      <c r="B1232" s="3062" t="s">
        <v>3254</v>
      </c>
      <c r="C1232" s="3062"/>
      <c r="D1232" s="3062" t="s">
        <v>3275</v>
      </c>
      <c r="E1232" s="3058">
        <v>13.78</v>
      </c>
      <c r="F1232" s="3058">
        <v>100000</v>
      </c>
      <c r="G1232" s="3059">
        <v>100000</v>
      </c>
      <c r="H1232" s="3059" t="s">
        <v>3090</v>
      </c>
      <c r="I1232" s="3058" t="s">
        <v>3054</v>
      </c>
    </row>
    <row r="1233" spans="1:9">
      <c r="A1233" s="3059">
        <v>1443</v>
      </c>
      <c r="B1233" s="3062" t="s">
        <v>3254</v>
      </c>
      <c r="C1233" s="3062"/>
      <c r="D1233" s="3062" t="s">
        <v>3274</v>
      </c>
      <c r="E1233" s="3058">
        <v>12.72</v>
      </c>
      <c r="F1233" s="3058">
        <v>100000</v>
      </c>
      <c r="G1233" s="3059">
        <v>100000</v>
      </c>
      <c r="H1233" s="3059" t="s">
        <v>3090</v>
      </c>
      <c r="I1233" s="3058" t="s">
        <v>3054</v>
      </c>
    </row>
    <row r="1234" spans="1:9">
      <c r="A1234" s="3059">
        <v>1444</v>
      </c>
      <c r="B1234" s="3062" t="s">
        <v>3254</v>
      </c>
      <c r="C1234" s="3062"/>
      <c r="D1234" s="3062" t="s">
        <v>3273</v>
      </c>
      <c r="E1234" s="3058">
        <v>12.72</v>
      </c>
      <c r="F1234" s="3058">
        <v>100000</v>
      </c>
      <c r="G1234" s="3059">
        <v>100000</v>
      </c>
      <c r="H1234" s="3059" t="s">
        <v>3090</v>
      </c>
      <c r="I1234" s="3058" t="s">
        <v>3054</v>
      </c>
    </row>
    <row r="1235" spans="1:9">
      <c r="A1235" s="3059">
        <v>1445</v>
      </c>
      <c r="B1235" s="3062" t="s">
        <v>3254</v>
      </c>
      <c r="C1235" s="3062"/>
      <c r="D1235" s="3062" t="s">
        <v>3272</v>
      </c>
      <c r="E1235" s="3058">
        <v>13.78</v>
      </c>
      <c r="F1235" s="3058">
        <v>100000</v>
      </c>
      <c r="G1235" s="3059">
        <v>100000</v>
      </c>
      <c r="H1235" s="3059" t="s">
        <v>3090</v>
      </c>
      <c r="I1235" s="3058" t="s">
        <v>3054</v>
      </c>
    </row>
    <row r="1236" spans="1:9">
      <c r="A1236" s="3059">
        <v>1446</v>
      </c>
      <c r="B1236" s="3062" t="s">
        <v>3254</v>
      </c>
      <c r="C1236" s="3062"/>
      <c r="D1236" s="3062" t="s">
        <v>3271</v>
      </c>
      <c r="E1236" s="3058">
        <v>13.78</v>
      </c>
      <c r="F1236" s="3058">
        <v>100000</v>
      </c>
      <c r="G1236" s="3059">
        <v>100000</v>
      </c>
      <c r="H1236" s="3059" t="s">
        <v>3090</v>
      </c>
      <c r="I1236" s="3058" t="s">
        <v>3054</v>
      </c>
    </row>
    <row r="1237" spans="1:9">
      <c r="A1237" s="3059">
        <v>1447</v>
      </c>
      <c r="B1237" s="3062" t="s">
        <v>3254</v>
      </c>
      <c r="C1237" s="3062"/>
      <c r="D1237" s="3062" t="s">
        <v>3270</v>
      </c>
      <c r="E1237" s="3058">
        <v>12.72</v>
      </c>
      <c r="F1237" s="3058">
        <v>100000</v>
      </c>
      <c r="G1237" s="3059">
        <v>100000</v>
      </c>
      <c r="H1237" s="3059" t="s">
        <v>3090</v>
      </c>
      <c r="I1237" s="3058" t="s">
        <v>3054</v>
      </c>
    </row>
    <row r="1238" spans="1:9">
      <c r="A1238" s="3059">
        <v>1448</v>
      </c>
      <c r="B1238" s="3062" t="s">
        <v>3254</v>
      </c>
      <c r="C1238" s="3062"/>
      <c r="D1238" s="3062" t="s">
        <v>3269</v>
      </c>
      <c r="E1238" s="3058">
        <v>12.72</v>
      </c>
      <c r="F1238" s="3058">
        <v>100000</v>
      </c>
      <c r="G1238" s="3059">
        <v>100000</v>
      </c>
      <c r="H1238" s="3059" t="s">
        <v>3090</v>
      </c>
      <c r="I1238" s="3058" t="s">
        <v>3054</v>
      </c>
    </row>
    <row r="1239" spans="1:9">
      <c r="A1239" s="3059">
        <v>1449</v>
      </c>
      <c r="B1239" s="3062" t="s">
        <v>3254</v>
      </c>
      <c r="C1239" s="3062"/>
      <c r="D1239" s="3062" t="s">
        <v>3268</v>
      </c>
      <c r="E1239" s="3058">
        <v>13.78</v>
      </c>
      <c r="F1239" s="3058">
        <v>100000</v>
      </c>
      <c r="G1239" s="3059">
        <v>100000</v>
      </c>
      <c r="H1239" s="3059" t="s">
        <v>3090</v>
      </c>
      <c r="I1239" s="3058" t="s">
        <v>3054</v>
      </c>
    </row>
    <row r="1240" spans="1:9">
      <c r="A1240" s="3059">
        <v>1450</v>
      </c>
      <c r="B1240" s="3062" t="s">
        <v>3254</v>
      </c>
      <c r="C1240" s="3062"/>
      <c r="D1240" s="3062" t="s">
        <v>3267</v>
      </c>
      <c r="E1240" s="3058">
        <v>12.72</v>
      </c>
      <c r="F1240" s="3058">
        <v>100000</v>
      </c>
      <c r="G1240" s="3059">
        <v>100000</v>
      </c>
      <c r="H1240" s="3059" t="s">
        <v>3090</v>
      </c>
      <c r="I1240" s="3058" t="s">
        <v>3054</v>
      </c>
    </row>
    <row r="1241" spans="1:9">
      <c r="A1241" s="3059">
        <v>1451</v>
      </c>
      <c r="B1241" s="3062" t="s">
        <v>3254</v>
      </c>
      <c r="C1241" s="3062"/>
      <c r="D1241" s="3062" t="s">
        <v>3266</v>
      </c>
      <c r="E1241" s="3058">
        <v>12.72</v>
      </c>
      <c r="F1241" s="3058">
        <v>100000</v>
      </c>
      <c r="G1241" s="3059">
        <v>100000</v>
      </c>
      <c r="H1241" s="3059" t="s">
        <v>3090</v>
      </c>
      <c r="I1241" s="3058" t="s">
        <v>3054</v>
      </c>
    </row>
    <row r="1242" spans="1:9">
      <c r="A1242" s="3059">
        <v>1452</v>
      </c>
      <c r="B1242" s="3062" t="s">
        <v>3254</v>
      </c>
      <c r="C1242" s="3062"/>
      <c r="D1242" s="3062" t="s">
        <v>3265</v>
      </c>
      <c r="E1242" s="3058">
        <v>13.78</v>
      </c>
      <c r="F1242" s="3058">
        <v>100000</v>
      </c>
      <c r="G1242" s="3059">
        <v>100000</v>
      </c>
      <c r="H1242" s="3059" t="s">
        <v>3090</v>
      </c>
      <c r="I1242" s="3058" t="s">
        <v>3054</v>
      </c>
    </row>
    <row r="1243" spans="1:9">
      <c r="A1243" s="3059">
        <v>1453</v>
      </c>
      <c r="B1243" s="3062" t="s">
        <v>3254</v>
      </c>
      <c r="C1243" s="3062"/>
      <c r="D1243" s="3062" t="s">
        <v>3264</v>
      </c>
      <c r="E1243" s="3058">
        <v>12.72</v>
      </c>
      <c r="F1243" s="3058">
        <v>100000</v>
      </c>
      <c r="G1243" s="3059">
        <v>100000</v>
      </c>
      <c r="H1243" s="3059" t="s">
        <v>3090</v>
      </c>
      <c r="I1243" s="3058" t="s">
        <v>3054</v>
      </c>
    </row>
    <row r="1244" spans="1:9">
      <c r="A1244" s="3059">
        <v>1454</v>
      </c>
      <c r="B1244" s="3062" t="s">
        <v>3254</v>
      </c>
      <c r="C1244" s="3062"/>
      <c r="D1244" s="3062" t="s">
        <v>3263</v>
      </c>
      <c r="E1244" s="3058">
        <v>12.72</v>
      </c>
      <c r="F1244" s="3058">
        <v>100000</v>
      </c>
      <c r="G1244" s="3059">
        <v>100000</v>
      </c>
      <c r="H1244" s="3059" t="s">
        <v>3090</v>
      </c>
      <c r="I1244" s="3058" t="s">
        <v>3054</v>
      </c>
    </row>
    <row r="1245" spans="1:9">
      <c r="A1245" s="3059">
        <v>1455</v>
      </c>
      <c r="B1245" s="3062" t="s">
        <v>3254</v>
      </c>
      <c r="C1245" s="3062"/>
      <c r="D1245" s="3062" t="s">
        <v>3262</v>
      </c>
      <c r="E1245" s="3058">
        <v>13.78</v>
      </c>
      <c r="F1245" s="3058">
        <v>100000</v>
      </c>
      <c r="G1245" s="3059">
        <v>100000</v>
      </c>
      <c r="H1245" s="3059" t="s">
        <v>3090</v>
      </c>
      <c r="I1245" s="3058" t="s">
        <v>3054</v>
      </c>
    </row>
    <row r="1246" spans="1:9">
      <c r="A1246" s="3059">
        <v>1456</v>
      </c>
      <c r="B1246" s="3062" t="s">
        <v>3254</v>
      </c>
      <c r="C1246" s="3062"/>
      <c r="D1246" s="3062" t="s">
        <v>3261</v>
      </c>
      <c r="E1246" s="3058">
        <v>12.72</v>
      </c>
      <c r="F1246" s="3058">
        <v>100000</v>
      </c>
      <c r="G1246" s="3059">
        <v>100000</v>
      </c>
      <c r="H1246" s="3059" t="s">
        <v>3090</v>
      </c>
      <c r="I1246" s="3058" t="s">
        <v>3054</v>
      </c>
    </row>
    <row r="1247" spans="1:9">
      <c r="A1247" s="3059">
        <v>1457</v>
      </c>
      <c r="B1247" s="3062" t="s">
        <v>3254</v>
      </c>
      <c r="C1247" s="3062"/>
      <c r="D1247" s="3062" t="s">
        <v>3260</v>
      </c>
      <c r="E1247" s="3058">
        <v>12.72</v>
      </c>
      <c r="F1247" s="3058">
        <v>100000</v>
      </c>
      <c r="G1247" s="3059">
        <v>100000</v>
      </c>
      <c r="H1247" s="3059" t="s">
        <v>3090</v>
      </c>
      <c r="I1247" s="3058" t="s">
        <v>3054</v>
      </c>
    </row>
    <row r="1248" spans="1:9">
      <c r="A1248" s="3059">
        <v>1458</v>
      </c>
      <c r="B1248" s="3062" t="s">
        <v>3254</v>
      </c>
      <c r="C1248" s="3062"/>
      <c r="D1248" s="3062" t="s">
        <v>3259</v>
      </c>
      <c r="E1248" s="3058">
        <v>9.4600000000000009</v>
      </c>
      <c r="F1248" s="3058">
        <v>100000</v>
      </c>
      <c r="G1248" s="3059">
        <v>100000</v>
      </c>
      <c r="H1248" s="3059" t="s">
        <v>3090</v>
      </c>
      <c r="I1248" s="3058" t="s">
        <v>3054</v>
      </c>
    </row>
    <row r="1249" spans="1:9">
      <c r="A1249" s="3059">
        <v>1459</v>
      </c>
      <c r="B1249" s="3062" t="s">
        <v>3254</v>
      </c>
      <c r="C1249" s="3062"/>
      <c r="D1249" s="3062" t="s">
        <v>3258</v>
      </c>
      <c r="E1249" s="3058">
        <v>12.72</v>
      </c>
      <c r="F1249" s="3058">
        <v>100000</v>
      </c>
      <c r="G1249" s="3059">
        <v>100000</v>
      </c>
      <c r="H1249" s="3059" t="s">
        <v>3090</v>
      </c>
      <c r="I1249" s="3058" t="s">
        <v>3054</v>
      </c>
    </row>
    <row r="1250" spans="1:9">
      <c r="A1250" s="3059">
        <v>1460</v>
      </c>
      <c r="B1250" s="3062" t="s">
        <v>3254</v>
      </c>
      <c r="C1250" s="3062"/>
      <c r="D1250" s="3062" t="s">
        <v>3257</v>
      </c>
      <c r="E1250" s="3058">
        <v>12.72</v>
      </c>
      <c r="F1250" s="3058">
        <v>100000</v>
      </c>
      <c r="G1250" s="3059">
        <v>100000</v>
      </c>
      <c r="H1250" s="3059" t="s">
        <v>3090</v>
      </c>
      <c r="I1250" s="3058" t="s">
        <v>3054</v>
      </c>
    </row>
    <row r="1251" spans="1:9">
      <c r="A1251" s="3059">
        <v>1461</v>
      </c>
      <c r="B1251" s="3062" t="s">
        <v>3254</v>
      </c>
      <c r="C1251" s="3062"/>
      <c r="D1251" s="3062" t="s">
        <v>3256</v>
      </c>
      <c r="E1251" s="3058">
        <v>9.4600000000000009</v>
      </c>
      <c r="F1251" s="3058">
        <v>100000</v>
      </c>
      <c r="G1251" s="3059">
        <v>100000</v>
      </c>
      <c r="H1251" s="3059" t="s">
        <v>3090</v>
      </c>
      <c r="I1251" s="3058" t="s">
        <v>3054</v>
      </c>
    </row>
    <row r="1252" spans="1:9">
      <c r="A1252" s="3059">
        <v>1462</v>
      </c>
      <c r="B1252" s="3062" t="s">
        <v>3254</v>
      </c>
      <c r="C1252" s="3062"/>
      <c r="D1252" s="3062" t="s">
        <v>3255</v>
      </c>
      <c r="E1252" s="3058">
        <v>12.72</v>
      </c>
      <c r="F1252" s="3058">
        <v>100000</v>
      </c>
      <c r="G1252" s="3059">
        <v>100000</v>
      </c>
      <c r="H1252" s="3059" t="s">
        <v>3090</v>
      </c>
      <c r="I1252" s="3058" t="s">
        <v>3054</v>
      </c>
    </row>
    <row r="1253" spans="1:9">
      <c r="A1253" s="3059">
        <v>1463</v>
      </c>
      <c r="B1253" s="3062" t="s">
        <v>3254</v>
      </c>
      <c r="C1253" s="3062"/>
      <c r="D1253" s="3062" t="s">
        <v>3253</v>
      </c>
      <c r="E1253" s="3058">
        <v>12.72</v>
      </c>
      <c r="F1253" s="3058">
        <v>100000</v>
      </c>
      <c r="G1253" s="3059">
        <v>100000</v>
      </c>
      <c r="H1253" s="3059" t="s">
        <v>3090</v>
      </c>
      <c r="I1253" s="3058" t="s">
        <v>3054</v>
      </c>
    </row>
    <row r="1254" spans="1:9">
      <c r="A1254" s="3059">
        <v>1464</v>
      </c>
      <c r="B1254" s="3062" t="s">
        <v>3092</v>
      </c>
      <c r="C1254" s="3062"/>
      <c r="D1254" s="3062" t="s">
        <v>3252</v>
      </c>
      <c r="E1254" s="3058">
        <v>13.78</v>
      </c>
      <c r="F1254" s="3058">
        <v>100000</v>
      </c>
      <c r="G1254" s="3059">
        <v>100000</v>
      </c>
      <c r="H1254" s="3059" t="s">
        <v>3090</v>
      </c>
      <c r="I1254" s="3058" t="s">
        <v>3054</v>
      </c>
    </row>
    <row r="1255" spans="1:9">
      <c r="A1255" s="3059">
        <v>1465</v>
      </c>
      <c r="B1255" s="3062" t="s">
        <v>3092</v>
      </c>
      <c r="C1255" s="3062"/>
      <c r="D1255" s="3062" t="s">
        <v>3251</v>
      </c>
      <c r="E1255" s="3058">
        <v>12.72</v>
      </c>
      <c r="F1255" s="3058">
        <v>100000</v>
      </c>
      <c r="G1255" s="3059">
        <v>100000</v>
      </c>
      <c r="H1255" s="3059" t="s">
        <v>3090</v>
      </c>
      <c r="I1255" s="3058" t="s">
        <v>3054</v>
      </c>
    </row>
    <row r="1256" spans="1:9">
      <c r="A1256" s="3059">
        <v>1466</v>
      </c>
      <c r="B1256" s="3062" t="s">
        <v>3092</v>
      </c>
      <c r="C1256" s="3062"/>
      <c r="D1256" s="3062" t="s">
        <v>3250</v>
      </c>
      <c r="E1256" s="3058">
        <v>12.72</v>
      </c>
      <c r="F1256" s="3058">
        <v>100000</v>
      </c>
      <c r="G1256" s="3059">
        <v>100000</v>
      </c>
      <c r="H1256" s="3059" t="s">
        <v>3090</v>
      </c>
      <c r="I1256" s="3058" t="s">
        <v>3054</v>
      </c>
    </row>
    <row r="1257" spans="1:9">
      <c r="A1257" s="3059">
        <v>1467</v>
      </c>
      <c r="B1257" s="3062" t="s">
        <v>3092</v>
      </c>
      <c r="C1257" s="3062"/>
      <c r="D1257" s="3062" t="s">
        <v>3249</v>
      </c>
      <c r="E1257" s="3058">
        <v>12.72</v>
      </c>
      <c r="F1257" s="3058">
        <v>100000</v>
      </c>
      <c r="G1257" s="3059">
        <v>100000</v>
      </c>
      <c r="H1257" s="3059" t="s">
        <v>3090</v>
      </c>
      <c r="I1257" s="3058" t="s">
        <v>3054</v>
      </c>
    </row>
    <row r="1258" spans="1:9">
      <c r="A1258" s="3059">
        <v>1468</v>
      </c>
      <c r="B1258" s="3062" t="s">
        <v>3092</v>
      </c>
      <c r="C1258" s="3062"/>
      <c r="D1258" s="3062" t="s">
        <v>3248</v>
      </c>
      <c r="E1258" s="3058">
        <v>12.72</v>
      </c>
      <c r="F1258" s="3058">
        <v>100000</v>
      </c>
      <c r="G1258" s="3059">
        <v>100000</v>
      </c>
      <c r="H1258" s="3059" t="s">
        <v>3090</v>
      </c>
      <c r="I1258" s="3058" t="s">
        <v>3054</v>
      </c>
    </row>
    <row r="1259" spans="1:9">
      <c r="A1259" s="3059">
        <v>1469</v>
      </c>
      <c r="B1259" s="3062" t="s">
        <v>3092</v>
      </c>
      <c r="C1259" s="3062"/>
      <c r="D1259" s="3062" t="s">
        <v>3247</v>
      </c>
      <c r="E1259" s="3058">
        <v>12.72</v>
      </c>
      <c r="F1259" s="3058">
        <v>100000</v>
      </c>
      <c r="G1259" s="3059">
        <v>100000</v>
      </c>
      <c r="H1259" s="3059" t="s">
        <v>3090</v>
      </c>
      <c r="I1259" s="3058" t="s">
        <v>3054</v>
      </c>
    </row>
    <row r="1260" spans="1:9">
      <c r="A1260" s="3059">
        <v>1470</v>
      </c>
      <c r="B1260" s="3062" t="s">
        <v>3092</v>
      </c>
      <c r="C1260" s="3062"/>
      <c r="D1260" s="3062" t="s">
        <v>3246</v>
      </c>
      <c r="E1260" s="3058">
        <v>13.78</v>
      </c>
      <c r="F1260" s="3058">
        <v>100000</v>
      </c>
      <c r="G1260" s="3059">
        <v>100000</v>
      </c>
      <c r="H1260" s="3059" t="s">
        <v>3090</v>
      </c>
      <c r="I1260" s="3058" t="s">
        <v>3054</v>
      </c>
    </row>
    <row r="1261" spans="1:9">
      <c r="A1261" s="3059">
        <v>1471</v>
      </c>
      <c r="B1261" s="3062" t="s">
        <v>3092</v>
      </c>
      <c r="C1261" s="3062"/>
      <c r="D1261" s="3062" t="s">
        <v>3245</v>
      </c>
      <c r="E1261" s="3058">
        <v>12.72</v>
      </c>
      <c r="F1261" s="3058">
        <v>100000</v>
      </c>
      <c r="G1261" s="3059">
        <v>100000</v>
      </c>
      <c r="H1261" s="3059" t="s">
        <v>3090</v>
      </c>
      <c r="I1261" s="3058" t="s">
        <v>3054</v>
      </c>
    </row>
    <row r="1262" spans="1:9">
      <c r="A1262" s="3059">
        <v>1472</v>
      </c>
      <c r="B1262" s="3062" t="s">
        <v>3092</v>
      </c>
      <c r="C1262" s="3062"/>
      <c r="D1262" s="3062" t="s">
        <v>3244</v>
      </c>
      <c r="E1262" s="3058">
        <v>13.78</v>
      </c>
      <c r="F1262" s="3058">
        <v>100000</v>
      </c>
      <c r="G1262" s="3059">
        <v>100000</v>
      </c>
      <c r="H1262" s="3059" t="s">
        <v>3090</v>
      </c>
      <c r="I1262" s="3058" t="s">
        <v>3054</v>
      </c>
    </row>
    <row r="1263" spans="1:9">
      <c r="A1263" s="3059">
        <v>1473</v>
      </c>
      <c r="B1263" s="3062" t="s">
        <v>3092</v>
      </c>
      <c r="C1263" s="3062"/>
      <c r="D1263" s="3062" t="s">
        <v>3243</v>
      </c>
      <c r="E1263" s="3058">
        <v>12.72</v>
      </c>
      <c r="F1263" s="3058">
        <v>100000</v>
      </c>
      <c r="G1263" s="3059">
        <v>100000</v>
      </c>
      <c r="H1263" s="3059" t="s">
        <v>3090</v>
      </c>
      <c r="I1263" s="3058" t="s">
        <v>3054</v>
      </c>
    </row>
    <row r="1264" spans="1:9">
      <c r="A1264" s="3059">
        <v>1474</v>
      </c>
      <c r="B1264" s="3062" t="s">
        <v>3092</v>
      </c>
      <c r="C1264" s="3062"/>
      <c r="D1264" s="3062" t="s">
        <v>3242</v>
      </c>
      <c r="E1264" s="3058">
        <v>12.72</v>
      </c>
      <c r="F1264" s="3058">
        <v>100000</v>
      </c>
      <c r="G1264" s="3059">
        <v>100000</v>
      </c>
      <c r="H1264" s="3059" t="s">
        <v>3090</v>
      </c>
      <c r="I1264" s="3058" t="s">
        <v>3054</v>
      </c>
    </row>
    <row r="1265" spans="1:9">
      <c r="A1265" s="3059">
        <v>1475</v>
      </c>
      <c r="B1265" s="3062" t="s">
        <v>3092</v>
      </c>
      <c r="C1265" s="3062"/>
      <c r="D1265" s="3062" t="s">
        <v>3241</v>
      </c>
      <c r="E1265" s="3058">
        <v>12.72</v>
      </c>
      <c r="F1265" s="3058">
        <v>100000</v>
      </c>
      <c r="G1265" s="3059">
        <v>100000</v>
      </c>
      <c r="H1265" s="3059" t="s">
        <v>3090</v>
      </c>
      <c r="I1265" s="3058" t="s">
        <v>3054</v>
      </c>
    </row>
    <row r="1266" spans="1:9">
      <c r="A1266" s="3059">
        <v>1476</v>
      </c>
      <c r="B1266" s="3062" t="s">
        <v>3092</v>
      </c>
      <c r="C1266" s="3062"/>
      <c r="D1266" s="3062" t="s">
        <v>3240</v>
      </c>
      <c r="E1266" s="3058">
        <v>12.72</v>
      </c>
      <c r="F1266" s="3058">
        <v>100000</v>
      </c>
      <c r="G1266" s="3059">
        <v>100000</v>
      </c>
      <c r="H1266" s="3059" t="s">
        <v>3090</v>
      </c>
      <c r="I1266" s="3058" t="s">
        <v>3054</v>
      </c>
    </row>
    <row r="1267" spans="1:9">
      <c r="A1267" s="3059">
        <v>1477</v>
      </c>
      <c r="B1267" s="3062" t="s">
        <v>3092</v>
      </c>
      <c r="C1267" s="3062"/>
      <c r="D1267" s="3062" t="s">
        <v>3239</v>
      </c>
      <c r="E1267" s="3058">
        <v>12.72</v>
      </c>
      <c r="F1267" s="3058">
        <v>100000</v>
      </c>
      <c r="G1267" s="3059">
        <v>100000</v>
      </c>
      <c r="H1267" s="3059" t="s">
        <v>3090</v>
      </c>
      <c r="I1267" s="3058" t="s">
        <v>3054</v>
      </c>
    </row>
    <row r="1268" spans="1:9">
      <c r="A1268" s="3059">
        <v>1478</v>
      </c>
      <c r="B1268" s="3062" t="s">
        <v>3092</v>
      </c>
      <c r="C1268" s="3062"/>
      <c r="D1268" s="3062" t="s">
        <v>3238</v>
      </c>
      <c r="E1268" s="3058">
        <v>12.72</v>
      </c>
      <c r="F1268" s="3058">
        <v>100000</v>
      </c>
      <c r="G1268" s="3059">
        <v>100000</v>
      </c>
      <c r="H1268" s="3059" t="s">
        <v>3090</v>
      </c>
      <c r="I1268" s="3058" t="s">
        <v>3054</v>
      </c>
    </row>
    <row r="1269" spans="1:9">
      <c r="A1269" s="3059">
        <v>1479</v>
      </c>
      <c r="B1269" s="3062" t="s">
        <v>3092</v>
      </c>
      <c r="C1269" s="3062"/>
      <c r="D1269" s="3062" t="s">
        <v>3237</v>
      </c>
      <c r="E1269" s="3058">
        <v>12.72</v>
      </c>
      <c r="F1269" s="3058">
        <v>100000</v>
      </c>
      <c r="G1269" s="3059">
        <v>100000</v>
      </c>
      <c r="H1269" s="3059" t="s">
        <v>3090</v>
      </c>
      <c r="I1269" s="3058" t="s">
        <v>3054</v>
      </c>
    </row>
    <row r="1270" spans="1:9">
      <c r="A1270" s="3059">
        <v>1480</v>
      </c>
      <c r="B1270" s="3062" t="s">
        <v>3092</v>
      </c>
      <c r="C1270" s="3062"/>
      <c r="D1270" s="3062" t="s">
        <v>3236</v>
      </c>
      <c r="E1270" s="3058">
        <v>12.72</v>
      </c>
      <c r="F1270" s="3058">
        <v>100000</v>
      </c>
      <c r="G1270" s="3059">
        <v>100000</v>
      </c>
      <c r="H1270" s="3059" t="s">
        <v>3090</v>
      </c>
      <c r="I1270" s="3058" t="s">
        <v>3054</v>
      </c>
    </row>
    <row r="1271" spans="1:9">
      <c r="A1271" s="3059">
        <v>1481</v>
      </c>
      <c r="B1271" s="3062" t="s">
        <v>3092</v>
      </c>
      <c r="C1271" s="3062"/>
      <c r="D1271" s="3062" t="s">
        <v>3235</v>
      </c>
      <c r="E1271" s="3058">
        <v>12.72</v>
      </c>
      <c r="F1271" s="3058">
        <v>100000</v>
      </c>
      <c r="G1271" s="3059">
        <v>100000</v>
      </c>
      <c r="H1271" s="3059" t="s">
        <v>3090</v>
      </c>
      <c r="I1271" s="3058" t="s">
        <v>3054</v>
      </c>
    </row>
    <row r="1272" spans="1:9">
      <c r="A1272" s="3059">
        <v>1482</v>
      </c>
      <c r="B1272" s="3062" t="s">
        <v>3092</v>
      </c>
      <c r="C1272" s="3062"/>
      <c r="D1272" s="3062" t="s">
        <v>3234</v>
      </c>
      <c r="E1272" s="3058">
        <v>13.78</v>
      </c>
      <c r="F1272" s="3058">
        <v>100000</v>
      </c>
      <c r="G1272" s="3059">
        <v>100000</v>
      </c>
      <c r="H1272" s="3059" t="s">
        <v>3090</v>
      </c>
      <c r="I1272" s="3058" t="s">
        <v>3054</v>
      </c>
    </row>
    <row r="1273" spans="1:9">
      <c r="A1273" s="3059">
        <v>1483</v>
      </c>
      <c r="B1273" s="3062" t="s">
        <v>3092</v>
      </c>
      <c r="C1273" s="3062"/>
      <c r="D1273" s="3062" t="s">
        <v>3233</v>
      </c>
      <c r="E1273" s="3058">
        <v>13.78</v>
      </c>
      <c r="F1273" s="3058">
        <v>100000</v>
      </c>
      <c r="G1273" s="3059">
        <v>100000</v>
      </c>
      <c r="H1273" s="3059" t="s">
        <v>3090</v>
      </c>
      <c r="I1273" s="3058" t="s">
        <v>3054</v>
      </c>
    </row>
    <row r="1274" spans="1:9">
      <c r="A1274" s="3059">
        <v>1484</v>
      </c>
      <c r="B1274" s="3062" t="s">
        <v>3092</v>
      </c>
      <c r="C1274" s="3062"/>
      <c r="D1274" s="3062" t="s">
        <v>3232</v>
      </c>
      <c r="E1274" s="3058">
        <v>13.78</v>
      </c>
      <c r="F1274" s="3058">
        <v>100000</v>
      </c>
      <c r="G1274" s="3059">
        <v>100000</v>
      </c>
      <c r="H1274" s="3059" t="s">
        <v>3090</v>
      </c>
      <c r="I1274" s="3058" t="s">
        <v>3054</v>
      </c>
    </row>
    <row r="1275" spans="1:9">
      <c r="A1275" s="3059">
        <v>1485</v>
      </c>
      <c r="B1275" s="3062" t="s">
        <v>3092</v>
      </c>
      <c r="C1275" s="3062"/>
      <c r="D1275" s="3062" t="s">
        <v>3231</v>
      </c>
      <c r="E1275" s="3058">
        <v>12.72</v>
      </c>
      <c r="F1275" s="3058">
        <v>100000</v>
      </c>
      <c r="G1275" s="3059">
        <v>100000</v>
      </c>
      <c r="H1275" s="3059" t="s">
        <v>3090</v>
      </c>
      <c r="I1275" s="3058" t="s">
        <v>3054</v>
      </c>
    </row>
    <row r="1276" spans="1:9">
      <c r="A1276" s="3059">
        <v>1486</v>
      </c>
      <c r="B1276" s="3062" t="s">
        <v>3092</v>
      </c>
      <c r="C1276" s="3062"/>
      <c r="D1276" s="3062" t="s">
        <v>3230</v>
      </c>
      <c r="E1276" s="3058">
        <v>12.72</v>
      </c>
      <c r="F1276" s="3058">
        <v>100000</v>
      </c>
      <c r="G1276" s="3059">
        <v>100000</v>
      </c>
      <c r="H1276" s="3059" t="s">
        <v>3090</v>
      </c>
      <c r="I1276" s="3058" t="s">
        <v>3054</v>
      </c>
    </row>
    <row r="1277" spans="1:9">
      <c r="A1277" s="3059">
        <v>1487</v>
      </c>
      <c r="B1277" s="3062" t="s">
        <v>3092</v>
      </c>
      <c r="C1277" s="3062"/>
      <c r="D1277" s="3062" t="s">
        <v>3229</v>
      </c>
      <c r="E1277" s="3058">
        <v>12.72</v>
      </c>
      <c r="F1277" s="3058">
        <v>100000</v>
      </c>
      <c r="G1277" s="3059">
        <v>100000</v>
      </c>
      <c r="H1277" s="3059" t="s">
        <v>3090</v>
      </c>
      <c r="I1277" s="3058" t="s">
        <v>3054</v>
      </c>
    </row>
    <row r="1278" spans="1:9">
      <c r="A1278" s="3059">
        <v>1488</v>
      </c>
      <c r="B1278" s="3062" t="s">
        <v>3092</v>
      </c>
      <c r="C1278" s="3062"/>
      <c r="D1278" s="3062" t="s">
        <v>3228</v>
      </c>
      <c r="E1278" s="3058">
        <v>13.78</v>
      </c>
      <c r="F1278" s="3058">
        <v>100000</v>
      </c>
      <c r="G1278" s="3059">
        <v>100000</v>
      </c>
      <c r="H1278" s="3059" t="s">
        <v>3090</v>
      </c>
      <c r="I1278" s="3058" t="s">
        <v>3054</v>
      </c>
    </row>
    <row r="1279" spans="1:9">
      <c r="A1279" s="3059">
        <v>1489</v>
      </c>
      <c r="B1279" s="3062" t="s">
        <v>3092</v>
      </c>
      <c r="C1279" s="3062"/>
      <c r="D1279" s="3062" t="s">
        <v>3227</v>
      </c>
      <c r="E1279" s="3058">
        <v>12.72</v>
      </c>
      <c r="F1279" s="3058">
        <v>100000</v>
      </c>
      <c r="G1279" s="3059">
        <v>100000</v>
      </c>
      <c r="H1279" s="3059" t="s">
        <v>3090</v>
      </c>
      <c r="I1279" s="3058" t="s">
        <v>3054</v>
      </c>
    </row>
    <row r="1280" spans="1:9">
      <c r="A1280" s="3059">
        <v>1490</v>
      </c>
      <c r="B1280" s="3062" t="s">
        <v>3092</v>
      </c>
      <c r="C1280" s="3062"/>
      <c r="D1280" s="3062" t="s">
        <v>3226</v>
      </c>
      <c r="E1280" s="3058">
        <v>13.78</v>
      </c>
      <c r="F1280" s="3058">
        <v>100000</v>
      </c>
      <c r="G1280" s="3059">
        <v>100000</v>
      </c>
      <c r="H1280" s="3059" t="s">
        <v>3090</v>
      </c>
      <c r="I1280" s="3058" t="s">
        <v>3054</v>
      </c>
    </row>
    <row r="1281" spans="1:9">
      <c r="A1281" s="3059">
        <v>1491</v>
      </c>
      <c r="B1281" s="3062" t="s">
        <v>3092</v>
      </c>
      <c r="C1281" s="3062"/>
      <c r="D1281" s="3062" t="s">
        <v>3225</v>
      </c>
      <c r="E1281" s="3058">
        <v>13.78</v>
      </c>
      <c r="F1281" s="3058">
        <v>100000</v>
      </c>
      <c r="G1281" s="3059">
        <v>100000</v>
      </c>
      <c r="H1281" s="3059" t="s">
        <v>3090</v>
      </c>
      <c r="I1281" s="3058" t="s">
        <v>3054</v>
      </c>
    </row>
    <row r="1282" spans="1:9">
      <c r="A1282" s="3059">
        <v>1492</v>
      </c>
      <c r="B1282" s="3062" t="s">
        <v>3092</v>
      </c>
      <c r="C1282" s="3062"/>
      <c r="D1282" s="3062" t="s">
        <v>3224</v>
      </c>
      <c r="E1282" s="3058">
        <v>13.78</v>
      </c>
      <c r="F1282" s="3058">
        <v>100000</v>
      </c>
      <c r="G1282" s="3059">
        <v>100000</v>
      </c>
      <c r="H1282" s="3059" t="s">
        <v>3090</v>
      </c>
      <c r="I1282" s="3058" t="s">
        <v>3054</v>
      </c>
    </row>
    <row r="1283" spans="1:9">
      <c r="A1283" s="3059">
        <v>1493</v>
      </c>
      <c r="B1283" s="3062" t="s">
        <v>3092</v>
      </c>
      <c r="C1283" s="3062"/>
      <c r="D1283" s="3062" t="s">
        <v>3223</v>
      </c>
      <c r="E1283" s="3058">
        <v>13.78</v>
      </c>
      <c r="F1283" s="3058">
        <v>100000</v>
      </c>
      <c r="G1283" s="3059">
        <v>100000</v>
      </c>
      <c r="H1283" s="3059" t="s">
        <v>3090</v>
      </c>
      <c r="I1283" s="3058" t="s">
        <v>3054</v>
      </c>
    </row>
    <row r="1284" spans="1:9">
      <c r="A1284" s="3059">
        <v>1494</v>
      </c>
      <c r="B1284" s="3062" t="s">
        <v>3092</v>
      </c>
      <c r="C1284" s="3062"/>
      <c r="D1284" s="3062" t="s">
        <v>3222</v>
      </c>
      <c r="E1284" s="3058">
        <v>12.72</v>
      </c>
      <c r="F1284" s="3058">
        <v>100000</v>
      </c>
      <c r="G1284" s="3059">
        <v>100000</v>
      </c>
      <c r="H1284" s="3059" t="s">
        <v>3090</v>
      </c>
      <c r="I1284" s="3058" t="s">
        <v>3054</v>
      </c>
    </row>
    <row r="1285" spans="1:9">
      <c r="A1285" s="3059">
        <v>1495</v>
      </c>
      <c r="B1285" s="3062" t="s">
        <v>3092</v>
      </c>
      <c r="C1285" s="3062"/>
      <c r="D1285" s="3062" t="s">
        <v>3221</v>
      </c>
      <c r="E1285" s="3058">
        <v>12.72</v>
      </c>
      <c r="F1285" s="3058">
        <v>100000</v>
      </c>
      <c r="G1285" s="3059">
        <v>100000</v>
      </c>
      <c r="H1285" s="3059" t="s">
        <v>3090</v>
      </c>
      <c r="I1285" s="3058" t="s">
        <v>3054</v>
      </c>
    </row>
    <row r="1286" spans="1:9">
      <c r="A1286" s="3059">
        <v>1496</v>
      </c>
      <c r="B1286" s="3062" t="s">
        <v>3092</v>
      </c>
      <c r="C1286" s="3062"/>
      <c r="D1286" s="3062" t="s">
        <v>3220</v>
      </c>
      <c r="E1286" s="3058">
        <v>12.72</v>
      </c>
      <c r="F1286" s="3058">
        <v>100000</v>
      </c>
      <c r="G1286" s="3059">
        <v>100000</v>
      </c>
      <c r="H1286" s="3059" t="s">
        <v>3090</v>
      </c>
      <c r="I1286" s="3058" t="s">
        <v>3054</v>
      </c>
    </row>
    <row r="1287" spans="1:9">
      <c r="A1287" s="3059">
        <v>1497</v>
      </c>
      <c r="B1287" s="3062" t="s">
        <v>3092</v>
      </c>
      <c r="C1287" s="3062"/>
      <c r="D1287" s="3062" t="s">
        <v>3219</v>
      </c>
      <c r="E1287" s="3058">
        <v>13.78</v>
      </c>
      <c r="F1287" s="3058">
        <v>100000</v>
      </c>
      <c r="G1287" s="3059">
        <v>100000</v>
      </c>
      <c r="H1287" s="3059" t="s">
        <v>3090</v>
      </c>
      <c r="I1287" s="3058" t="s">
        <v>3054</v>
      </c>
    </row>
    <row r="1288" spans="1:9">
      <c r="A1288" s="3059">
        <v>1498</v>
      </c>
      <c r="B1288" s="3062" t="s">
        <v>3092</v>
      </c>
      <c r="C1288" s="3062"/>
      <c r="D1288" s="3062" t="s">
        <v>3218</v>
      </c>
      <c r="E1288" s="3058">
        <v>12.72</v>
      </c>
      <c r="F1288" s="3058">
        <v>100000</v>
      </c>
      <c r="G1288" s="3059">
        <v>100000</v>
      </c>
      <c r="H1288" s="3059" t="s">
        <v>3090</v>
      </c>
      <c r="I1288" s="3058" t="s">
        <v>3054</v>
      </c>
    </row>
    <row r="1289" spans="1:9">
      <c r="A1289" s="3059">
        <v>1499</v>
      </c>
      <c r="B1289" s="3062" t="s">
        <v>3092</v>
      </c>
      <c r="C1289" s="3062"/>
      <c r="D1289" s="3062" t="s">
        <v>3217</v>
      </c>
      <c r="E1289" s="3058">
        <v>13.78</v>
      </c>
      <c r="F1289" s="3058">
        <v>100000</v>
      </c>
      <c r="G1289" s="3059">
        <v>100000</v>
      </c>
      <c r="H1289" s="3059" t="s">
        <v>3090</v>
      </c>
      <c r="I1289" s="3058" t="s">
        <v>3054</v>
      </c>
    </row>
    <row r="1290" spans="1:9">
      <c r="A1290" s="3059">
        <v>1500</v>
      </c>
      <c r="B1290" s="3062" t="s">
        <v>3092</v>
      </c>
      <c r="C1290" s="3062"/>
      <c r="D1290" s="3062" t="s">
        <v>3216</v>
      </c>
      <c r="E1290" s="3058">
        <v>13.78</v>
      </c>
      <c r="F1290" s="3058">
        <v>100000</v>
      </c>
      <c r="G1290" s="3059">
        <v>100000</v>
      </c>
      <c r="H1290" s="3059" t="s">
        <v>3090</v>
      </c>
      <c r="I1290" s="3058" t="s">
        <v>3054</v>
      </c>
    </row>
    <row r="1291" spans="1:9">
      <c r="A1291" s="3059">
        <v>1501</v>
      </c>
      <c r="B1291" s="3062" t="s">
        <v>3092</v>
      </c>
      <c r="C1291" s="3062"/>
      <c r="D1291" s="3062" t="s">
        <v>3215</v>
      </c>
      <c r="E1291" s="3058">
        <v>13.78</v>
      </c>
      <c r="F1291" s="3058">
        <v>100000</v>
      </c>
      <c r="G1291" s="3059">
        <v>100000</v>
      </c>
      <c r="H1291" s="3059" t="s">
        <v>3090</v>
      </c>
      <c r="I1291" s="3058" t="s">
        <v>3054</v>
      </c>
    </row>
    <row r="1292" spans="1:9">
      <c r="A1292" s="3059">
        <v>1502</v>
      </c>
      <c r="B1292" s="3062" t="s">
        <v>3092</v>
      </c>
      <c r="C1292" s="3062"/>
      <c r="D1292" s="3062" t="s">
        <v>3214</v>
      </c>
      <c r="E1292" s="3058">
        <v>12.72</v>
      </c>
      <c r="F1292" s="3058">
        <v>100000</v>
      </c>
      <c r="G1292" s="3059">
        <v>100000</v>
      </c>
      <c r="H1292" s="3059" t="s">
        <v>3090</v>
      </c>
      <c r="I1292" s="3058" t="s">
        <v>3054</v>
      </c>
    </row>
    <row r="1293" spans="1:9">
      <c r="A1293" s="3059">
        <v>1503</v>
      </c>
      <c r="B1293" s="3062" t="s">
        <v>3092</v>
      </c>
      <c r="C1293" s="3062"/>
      <c r="D1293" s="3062" t="s">
        <v>3213</v>
      </c>
      <c r="E1293" s="3058">
        <v>12.72</v>
      </c>
      <c r="F1293" s="3058">
        <v>100000</v>
      </c>
      <c r="G1293" s="3059">
        <v>100000</v>
      </c>
      <c r="H1293" s="3059" t="s">
        <v>3090</v>
      </c>
      <c r="I1293" s="3058" t="s">
        <v>3054</v>
      </c>
    </row>
    <row r="1294" spans="1:9">
      <c r="A1294" s="3059">
        <v>1504</v>
      </c>
      <c r="B1294" s="3062" t="s">
        <v>3092</v>
      </c>
      <c r="C1294" s="3062"/>
      <c r="D1294" s="3062" t="s">
        <v>3212</v>
      </c>
      <c r="E1294" s="3058">
        <v>12.72</v>
      </c>
      <c r="F1294" s="3058">
        <v>100000</v>
      </c>
      <c r="G1294" s="3059">
        <v>100000</v>
      </c>
      <c r="H1294" s="3059" t="s">
        <v>3090</v>
      </c>
      <c r="I1294" s="3058" t="s">
        <v>3054</v>
      </c>
    </row>
    <row r="1295" spans="1:9">
      <c r="A1295" s="3059">
        <v>1505</v>
      </c>
      <c r="B1295" s="3062" t="s">
        <v>3092</v>
      </c>
      <c r="C1295" s="3062"/>
      <c r="D1295" s="3062" t="s">
        <v>3211</v>
      </c>
      <c r="E1295" s="3058">
        <v>12.72</v>
      </c>
      <c r="F1295" s="3058">
        <v>100000</v>
      </c>
      <c r="G1295" s="3059">
        <v>100000</v>
      </c>
      <c r="H1295" s="3059" t="s">
        <v>3090</v>
      </c>
      <c r="I1295" s="3058" t="s">
        <v>3054</v>
      </c>
    </row>
    <row r="1296" spans="1:9">
      <c r="A1296" s="3059">
        <v>1506</v>
      </c>
      <c r="B1296" s="3062" t="s">
        <v>3092</v>
      </c>
      <c r="C1296" s="3062"/>
      <c r="D1296" s="3062" t="s">
        <v>3210</v>
      </c>
      <c r="E1296" s="3058">
        <v>12.72</v>
      </c>
      <c r="F1296" s="3058">
        <v>100000</v>
      </c>
      <c r="G1296" s="3059">
        <v>100000</v>
      </c>
      <c r="H1296" s="3059" t="s">
        <v>3090</v>
      </c>
      <c r="I1296" s="3058" t="s">
        <v>3054</v>
      </c>
    </row>
    <row r="1297" spans="1:9">
      <c r="A1297" s="3059">
        <v>1507</v>
      </c>
      <c r="B1297" s="3062" t="s">
        <v>3092</v>
      </c>
      <c r="C1297" s="3062"/>
      <c r="D1297" s="3062" t="s">
        <v>3209</v>
      </c>
      <c r="E1297" s="3058">
        <v>12.72</v>
      </c>
      <c r="F1297" s="3058">
        <v>100000</v>
      </c>
      <c r="G1297" s="3059">
        <v>100000</v>
      </c>
      <c r="H1297" s="3059" t="s">
        <v>3090</v>
      </c>
      <c r="I1297" s="3058" t="s">
        <v>3054</v>
      </c>
    </row>
    <row r="1298" spans="1:9">
      <c r="A1298" s="3059">
        <v>1508</v>
      </c>
      <c r="B1298" s="3062" t="s">
        <v>3092</v>
      </c>
      <c r="C1298" s="3062"/>
      <c r="D1298" s="3062" t="s">
        <v>3208</v>
      </c>
      <c r="E1298" s="3058">
        <v>12.72</v>
      </c>
      <c r="F1298" s="3058">
        <v>100000</v>
      </c>
      <c r="G1298" s="3059">
        <v>100000</v>
      </c>
      <c r="H1298" s="3059" t="s">
        <v>3090</v>
      </c>
      <c r="I1298" s="3058" t="s">
        <v>3054</v>
      </c>
    </row>
    <row r="1299" spans="1:9">
      <c r="A1299" s="3059">
        <v>1509</v>
      </c>
      <c r="B1299" s="3062" t="s">
        <v>3092</v>
      </c>
      <c r="C1299" s="3062"/>
      <c r="D1299" s="3062" t="s">
        <v>3207</v>
      </c>
      <c r="E1299" s="3058">
        <v>12.72</v>
      </c>
      <c r="F1299" s="3058">
        <v>100000</v>
      </c>
      <c r="G1299" s="3059">
        <v>100000</v>
      </c>
      <c r="H1299" s="3059" t="s">
        <v>3090</v>
      </c>
      <c r="I1299" s="3058" t="s">
        <v>3054</v>
      </c>
    </row>
    <row r="1300" spans="1:9">
      <c r="A1300" s="3059">
        <v>1510</v>
      </c>
      <c r="B1300" s="3062" t="s">
        <v>3092</v>
      </c>
      <c r="C1300" s="3062"/>
      <c r="D1300" s="3062" t="s">
        <v>3206</v>
      </c>
      <c r="E1300" s="3058">
        <v>12.72</v>
      </c>
      <c r="F1300" s="3058">
        <v>100000</v>
      </c>
      <c r="G1300" s="3059">
        <v>100000</v>
      </c>
      <c r="H1300" s="3059" t="s">
        <v>3090</v>
      </c>
      <c r="I1300" s="3058" t="s">
        <v>3054</v>
      </c>
    </row>
    <row r="1301" spans="1:9">
      <c r="A1301" s="3059">
        <v>1511</v>
      </c>
      <c r="B1301" s="3062" t="s">
        <v>3092</v>
      </c>
      <c r="C1301" s="3062"/>
      <c r="D1301" s="3062" t="s">
        <v>3205</v>
      </c>
      <c r="E1301" s="3058">
        <v>13.78</v>
      </c>
      <c r="F1301" s="3058">
        <v>100000</v>
      </c>
      <c r="G1301" s="3059">
        <v>100000</v>
      </c>
      <c r="H1301" s="3059" t="s">
        <v>3090</v>
      </c>
      <c r="I1301" s="3058" t="s">
        <v>3054</v>
      </c>
    </row>
    <row r="1302" spans="1:9">
      <c r="A1302" s="3059">
        <v>1512</v>
      </c>
      <c r="B1302" s="3062" t="s">
        <v>3092</v>
      </c>
      <c r="C1302" s="3062"/>
      <c r="D1302" s="3062" t="s">
        <v>3204</v>
      </c>
      <c r="E1302" s="3058">
        <v>13.78</v>
      </c>
      <c r="F1302" s="3058">
        <v>100000</v>
      </c>
      <c r="G1302" s="3059">
        <v>100000</v>
      </c>
      <c r="H1302" s="3059" t="s">
        <v>3090</v>
      </c>
      <c r="I1302" s="3058" t="s">
        <v>3054</v>
      </c>
    </row>
    <row r="1303" spans="1:9">
      <c r="A1303" s="3059">
        <v>1513</v>
      </c>
      <c r="B1303" s="3062" t="s">
        <v>3092</v>
      </c>
      <c r="C1303" s="3062"/>
      <c r="D1303" s="3062" t="s">
        <v>3203</v>
      </c>
      <c r="E1303" s="3058">
        <v>12.72</v>
      </c>
      <c r="F1303" s="3058">
        <v>100000</v>
      </c>
      <c r="G1303" s="3059">
        <v>100000</v>
      </c>
      <c r="H1303" s="3059" t="s">
        <v>3090</v>
      </c>
      <c r="I1303" s="3058" t="s">
        <v>3054</v>
      </c>
    </row>
    <row r="1304" spans="1:9">
      <c r="A1304" s="3059">
        <v>1514</v>
      </c>
      <c r="B1304" s="3062" t="s">
        <v>3092</v>
      </c>
      <c r="C1304" s="3062"/>
      <c r="D1304" s="3062" t="s">
        <v>3202</v>
      </c>
      <c r="E1304" s="3058">
        <v>12.72</v>
      </c>
      <c r="F1304" s="3058">
        <v>100000</v>
      </c>
      <c r="G1304" s="3059">
        <v>100000</v>
      </c>
      <c r="H1304" s="3059" t="s">
        <v>3090</v>
      </c>
      <c r="I1304" s="3058" t="s">
        <v>3054</v>
      </c>
    </row>
    <row r="1305" spans="1:9">
      <c r="A1305" s="3059">
        <v>1515</v>
      </c>
      <c r="B1305" s="3062" t="s">
        <v>3092</v>
      </c>
      <c r="C1305" s="3062"/>
      <c r="D1305" s="3062" t="s">
        <v>3201</v>
      </c>
      <c r="E1305" s="3058">
        <v>12.72</v>
      </c>
      <c r="F1305" s="3058">
        <v>100000</v>
      </c>
      <c r="G1305" s="3059">
        <v>100000</v>
      </c>
      <c r="H1305" s="3059" t="s">
        <v>3090</v>
      </c>
      <c r="I1305" s="3058" t="s">
        <v>3054</v>
      </c>
    </row>
    <row r="1306" spans="1:9">
      <c r="A1306" s="3059">
        <v>1516</v>
      </c>
      <c r="B1306" s="3062" t="s">
        <v>3092</v>
      </c>
      <c r="C1306" s="3062"/>
      <c r="D1306" s="3062" t="s">
        <v>3200</v>
      </c>
      <c r="E1306" s="3058">
        <v>12.72</v>
      </c>
      <c r="F1306" s="3058">
        <v>100000</v>
      </c>
      <c r="G1306" s="3059">
        <v>100000</v>
      </c>
      <c r="H1306" s="3059" t="s">
        <v>3090</v>
      </c>
      <c r="I1306" s="3058" t="s">
        <v>3054</v>
      </c>
    </row>
    <row r="1307" spans="1:9">
      <c r="A1307" s="3059">
        <v>1517</v>
      </c>
      <c r="B1307" s="3062" t="s">
        <v>3092</v>
      </c>
      <c r="C1307" s="3062"/>
      <c r="D1307" s="3062" t="s">
        <v>3199</v>
      </c>
      <c r="E1307" s="3058">
        <v>12.72</v>
      </c>
      <c r="F1307" s="3058">
        <v>100000</v>
      </c>
      <c r="G1307" s="3059">
        <v>100000</v>
      </c>
      <c r="H1307" s="3059" t="s">
        <v>3090</v>
      </c>
      <c r="I1307" s="3058" t="s">
        <v>3054</v>
      </c>
    </row>
    <row r="1308" spans="1:9">
      <c r="A1308" s="3059">
        <v>1518</v>
      </c>
      <c r="B1308" s="3062" t="s">
        <v>3092</v>
      </c>
      <c r="C1308" s="3062"/>
      <c r="D1308" s="3062" t="s">
        <v>3198</v>
      </c>
      <c r="E1308" s="3058">
        <v>12.72</v>
      </c>
      <c r="F1308" s="3058">
        <v>100000</v>
      </c>
      <c r="G1308" s="3059">
        <v>100000</v>
      </c>
      <c r="H1308" s="3059" t="s">
        <v>3090</v>
      </c>
      <c r="I1308" s="3058" t="s">
        <v>3054</v>
      </c>
    </row>
    <row r="1309" spans="1:9">
      <c r="A1309" s="3059">
        <v>1519</v>
      </c>
      <c r="B1309" s="3062" t="s">
        <v>3092</v>
      </c>
      <c r="C1309" s="3062"/>
      <c r="D1309" s="3062" t="s">
        <v>3197</v>
      </c>
      <c r="E1309" s="3058">
        <v>12.72</v>
      </c>
      <c r="F1309" s="3058">
        <v>100000</v>
      </c>
      <c r="G1309" s="3059">
        <v>100000</v>
      </c>
      <c r="H1309" s="3059" t="s">
        <v>3090</v>
      </c>
      <c r="I1309" s="3058" t="s">
        <v>3054</v>
      </c>
    </row>
    <row r="1310" spans="1:9">
      <c r="A1310" s="3059">
        <v>1520</v>
      </c>
      <c r="B1310" s="3062" t="s">
        <v>3092</v>
      </c>
      <c r="C1310" s="3062"/>
      <c r="D1310" s="3062" t="s">
        <v>3196</v>
      </c>
      <c r="E1310" s="3058">
        <v>12.72</v>
      </c>
      <c r="F1310" s="3058">
        <v>100000</v>
      </c>
      <c r="G1310" s="3059">
        <v>100000</v>
      </c>
      <c r="H1310" s="3059" t="s">
        <v>3090</v>
      </c>
      <c r="I1310" s="3058" t="s">
        <v>3054</v>
      </c>
    </row>
    <row r="1311" spans="1:9">
      <c r="A1311" s="3059">
        <v>1521</v>
      </c>
      <c r="B1311" s="3062" t="s">
        <v>3092</v>
      </c>
      <c r="C1311" s="3062"/>
      <c r="D1311" s="3062" t="s">
        <v>3195</v>
      </c>
      <c r="E1311" s="3058">
        <v>12.72</v>
      </c>
      <c r="F1311" s="3058">
        <v>100000</v>
      </c>
      <c r="G1311" s="3059">
        <v>100000</v>
      </c>
      <c r="H1311" s="3059" t="s">
        <v>3090</v>
      </c>
      <c r="I1311" s="3058" t="s">
        <v>3054</v>
      </c>
    </row>
    <row r="1312" spans="1:9">
      <c r="A1312" s="3059">
        <v>1522</v>
      </c>
      <c r="B1312" s="3062" t="s">
        <v>3092</v>
      </c>
      <c r="C1312" s="3062"/>
      <c r="D1312" s="3062" t="s">
        <v>3194</v>
      </c>
      <c r="E1312" s="3058">
        <v>12.72</v>
      </c>
      <c r="F1312" s="3058">
        <v>100000</v>
      </c>
      <c r="G1312" s="3059">
        <v>100000</v>
      </c>
      <c r="H1312" s="3059" t="s">
        <v>3090</v>
      </c>
      <c r="I1312" s="3058" t="s">
        <v>3054</v>
      </c>
    </row>
    <row r="1313" spans="1:9">
      <c r="A1313" s="3059">
        <v>1523</v>
      </c>
      <c r="B1313" s="3062" t="s">
        <v>3092</v>
      </c>
      <c r="C1313" s="3062"/>
      <c r="D1313" s="3062" t="s">
        <v>3193</v>
      </c>
      <c r="E1313" s="3058">
        <v>12.72</v>
      </c>
      <c r="F1313" s="3058">
        <v>100000</v>
      </c>
      <c r="G1313" s="3059">
        <v>100000</v>
      </c>
      <c r="H1313" s="3059" t="s">
        <v>3090</v>
      </c>
      <c r="I1313" s="3058" t="s">
        <v>3054</v>
      </c>
    </row>
    <row r="1314" spans="1:9">
      <c r="A1314" s="3059">
        <v>1524</v>
      </c>
      <c r="B1314" s="3062" t="s">
        <v>3092</v>
      </c>
      <c r="C1314" s="3062"/>
      <c r="D1314" s="3062" t="s">
        <v>3192</v>
      </c>
      <c r="E1314" s="3058">
        <v>12.72</v>
      </c>
      <c r="F1314" s="3058">
        <v>100000</v>
      </c>
      <c r="G1314" s="3059">
        <v>100000</v>
      </c>
      <c r="H1314" s="3059" t="s">
        <v>3090</v>
      </c>
      <c r="I1314" s="3058" t="s">
        <v>3054</v>
      </c>
    </row>
    <row r="1315" spans="1:9">
      <c r="A1315" s="3059">
        <v>1525</v>
      </c>
      <c r="B1315" s="3062" t="s">
        <v>3092</v>
      </c>
      <c r="C1315" s="3062"/>
      <c r="D1315" s="3062" t="s">
        <v>3191</v>
      </c>
      <c r="E1315" s="3058">
        <v>13.78</v>
      </c>
      <c r="F1315" s="3058">
        <v>100000</v>
      </c>
      <c r="G1315" s="3059">
        <v>100000</v>
      </c>
      <c r="H1315" s="3059" t="s">
        <v>3090</v>
      </c>
      <c r="I1315" s="3058" t="s">
        <v>3054</v>
      </c>
    </row>
    <row r="1316" spans="1:9">
      <c r="A1316" s="3059">
        <v>1526</v>
      </c>
      <c r="B1316" s="3062" t="s">
        <v>3092</v>
      </c>
      <c r="C1316" s="3062"/>
      <c r="D1316" s="3062" t="s">
        <v>3190</v>
      </c>
      <c r="E1316" s="3058">
        <v>13.78</v>
      </c>
      <c r="F1316" s="3058">
        <v>100000</v>
      </c>
      <c r="G1316" s="3059">
        <v>100000</v>
      </c>
      <c r="H1316" s="3059" t="s">
        <v>3090</v>
      </c>
      <c r="I1316" s="3058" t="s">
        <v>3054</v>
      </c>
    </row>
    <row r="1317" spans="1:9">
      <c r="A1317" s="3059">
        <v>1527</v>
      </c>
      <c r="B1317" s="3062" t="s">
        <v>3092</v>
      </c>
      <c r="C1317" s="3062"/>
      <c r="D1317" s="3062" t="s">
        <v>3189</v>
      </c>
      <c r="E1317" s="3058">
        <v>9.4600000000000009</v>
      </c>
      <c r="F1317" s="3058">
        <v>100000</v>
      </c>
      <c r="G1317" s="3059">
        <v>100000</v>
      </c>
      <c r="H1317" s="3059" t="s">
        <v>3090</v>
      </c>
      <c r="I1317" s="3058" t="s">
        <v>3054</v>
      </c>
    </row>
    <row r="1318" spans="1:9">
      <c r="A1318" s="3059">
        <v>1528</v>
      </c>
      <c r="B1318" s="3062" t="s">
        <v>3092</v>
      </c>
      <c r="C1318" s="3062"/>
      <c r="D1318" s="3062" t="s">
        <v>3188</v>
      </c>
      <c r="E1318" s="3058">
        <v>12.72</v>
      </c>
      <c r="F1318" s="3058">
        <v>100000</v>
      </c>
      <c r="G1318" s="3059">
        <v>100000</v>
      </c>
      <c r="H1318" s="3059" t="s">
        <v>3090</v>
      </c>
      <c r="I1318" s="3058" t="s">
        <v>3054</v>
      </c>
    </row>
    <row r="1319" spans="1:9">
      <c r="A1319" s="3059">
        <v>1529</v>
      </c>
      <c r="B1319" s="3062" t="s">
        <v>3092</v>
      </c>
      <c r="C1319" s="3062"/>
      <c r="D1319" s="3062" t="s">
        <v>3187</v>
      </c>
      <c r="E1319" s="3058">
        <v>12.72</v>
      </c>
      <c r="F1319" s="3058">
        <v>100000</v>
      </c>
      <c r="G1319" s="3059">
        <v>100000</v>
      </c>
      <c r="H1319" s="3059" t="s">
        <v>3090</v>
      </c>
      <c r="I1319" s="3058" t="s">
        <v>3054</v>
      </c>
    </row>
    <row r="1320" spans="1:9">
      <c r="A1320" s="3059">
        <v>1530</v>
      </c>
      <c r="B1320" s="3062" t="s">
        <v>3092</v>
      </c>
      <c r="C1320" s="3062"/>
      <c r="D1320" s="3062" t="s">
        <v>3186</v>
      </c>
      <c r="E1320" s="3058">
        <v>12.72</v>
      </c>
      <c r="F1320" s="3058">
        <v>100000</v>
      </c>
      <c r="G1320" s="3059">
        <v>100000</v>
      </c>
      <c r="H1320" s="3059" t="s">
        <v>3090</v>
      </c>
      <c r="I1320" s="3058" t="s">
        <v>3054</v>
      </c>
    </row>
    <row r="1321" spans="1:9">
      <c r="A1321" s="3059">
        <v>1531</v>
      </c>
      <c r="B1321" s="3062" t="s">
        <v>3092</v>
      </c>
      <c r="C1321" s="3062"/>
      <c r="D1321" s="3062" t="s">
        <v>3185</v>
      </c>
      <c r="E1321" s="3058">
        <v>12.72</v>
      </c>
      <c r="F1321" s="3058">
        <v>100000</v>
      </c>
      <c r="G1321" s="3059">
        <v>100000</v>
      </c>
      <c r="H1321" s="3059" t="s">
        <v>3090</v>
      </c>
      <c r="I1321" s="3058" t="s">
        <v>3054</v>
      </c>
    </row>
    <row r="1322" spans="1:9">
      <c r="A1322" s="3059">
        <v>1532</v>
      </c>
      <c r="B1322" s="3062" t="s">
        <v>3092</v>
      </c>
      <c r="C1322" s="3062"/>
      <c r="D1322" s="3062" t="s">
        <v>3184</v>
      </c>
      <c r="E1322" s="3058">
        <v>13.78</v>
      </c>
      <c r="F1322" s="3058">
        <v>100000</v>
      </c>
      <c r="G1322" s="3059">
        <v>100000</v>
      </c>
      <c r="H1322" s="3059" t="s">
        <v>3090</v>
      </c>
      <c r="I1322" s="3058" t="s">
        <v>3054</v>
      </c>
    </row>
    <row r="1323" spans="1:9">
      <c r="A1323" s="3059">
        <v>1533</v>
      </c>
      <c r="B1323" s="3062" t="s">
        <v>3092</v>
      </c>
      <c r="C1323" s="3062"/>
      <c r="D1323" s="3062" t="s">
        <v>3183</v>
      </c>
      <c r="E1323" s="3058">
        <v>13.78</v>
      </c>
      <c r="F1323" s="3058">
        <v>100000</v>
      </c>
      <c r="G1323" s="3059">
        <v>100000</v>
      </c>
      <c r="H1323" s="3059" t="s">
        <v>3090</v>
      </c>
      <c r="I1323" s="3058" t="s">
        <v>3054</v>
      </c>
    </row>
    <row r="1324" spans="1:9">
      <c r="A1324" s="3059">
        <v>1534</v>
      </c>
      <c r="B1324" s="3062" t="s">
        <v>3092</v>
      </c>
      <c r="C1324" s="3062"/>
      <c r="D1324" s="3062" t="s">
        <v>3182</v>
      </c>
      <c r="E1324" s="3058">
        <v>13.78</v>
      </c>
      <c r="F1324" s="3058">
        <v>100000</v>
      </c>
      <c r="G1324" s="3059">
        <v>100000</v>
      </c>
      <c r="H1324" s="3059" t="s">
        <v>3090</v>
      </c>
      <c r="I1324" s="3058" t="s">
        <v>3054</v>
      </c>
    </row>
    <row r="1325" spans="1:9">
      <c r="A1325" s="3059">
        <v>1535</v>
      </c>
      <c r="B1325" s="3062" t="s">
        <v>3092</v>
      </c>
      <c r="C1325" s="3062"/>
      <c r="D1325" s="3062" t="s">
        <v>3181</v>
      </c>
      <c r="E1325" s="3058">
        <v>13.78</v>
      </c>
      <c r="F1325" s="3058">
        <v>100000</v>
      </c>
      <c r="G1325" s="3059">
        <v>100000</v>
      </c>
      <c r="H1325" s="3059" t="s">
        <v>3090</v>
      </c>
      <c r="I1325" s="3058" t="s">
        <v>3054</v>
      </c>
    </row>
    <row r="1326" spans="1:9">
      <c r="A1326" s="3059">
        <v>1536</v>
      </c>
      <c r="B1326" s="3062" t="s">
        <v>3092</v>
      </c>
      <c r="C1326" s="3062"/>
      <c r="D1326" s="3062" t="s">
        <v>3180</v>
      </c>
      <c r="E1326" s="3058">
        <v>13.78</v>
      </c>
      <c r="F1326" s="3058">
        <v>100000</v>
      </c>
      <c r="G1326" s="3059">
        <v>100000</v>
      </c>
      <c r="H1326" s="3059" t="s">
        <v>3090</v>
      </c>
      <c r="I1326" s="3058" t="s">
        <v>3054</v>
      </c>
    </row>
    <row r="1327" spans="1:9">
      <c r="A1327" s="3059">
        <v>1537</v>
      </c>
      <c r="B1327" s="3062" t="s">
        <v>3092</v>
      </c>
      <c r="C1327" s="3062"/>
      <c r="D1327" s="3062" t="s">
        <v>3179</v>
      </c>
      <c r="E1327" s="3058">
        <v>13.78</v>
      </c>
      <c r="F1327" s="3058">
        <v>100000</v>
      </c>
      <c r="G1327" s="3059">
        <v>100000</v>
      </c>
      <c r="H1327" s="3059" t="s">
        <v>3090</v>
      </c>
      <c r="I1327" s="3058" t="s">
        <v>3054</v>
      </c>
    </row>
    <row r="1328" spans="1:9">
      <c r="A1328" s="3059">
        <v>1538</v>
      </c>
      <c r="B1328" s="3062" t="s">
        <v>3092</v>
      </c>
      <c r="C1328" s="3062"/>
      <c r="D1328" s="3062" t="s">
        <v>3178</v>
      </c>
      <c r="E1328" s="3058">
        <v>13.78</v>
      </c>
      <c r="F1328" s="3058">
        <v>100000</v>
      </c>
      <c r="G1328" s="3059">
        <v>100000</v>
      </c>
      <c r="H1328" s="3059" t="s">
        <v>3090</v>
      </c>
      <c r="I1328" s="3058" t="s">
        <v>3054</v>
      </c>
    </row>
    <row r="1329" spans="1:9">
      <c r="A1329" s="3059">
        <v>1539</v>
      </c>
      <c r="B1329" s="3062" t="s">
        <v>3092</v>
      </c>
      <c r="C1329" s="3062"/>
      <c r="D1329" s="3062" t="s">
        <v>3177</v>
      </c>
      <c r="E1329" s="3058">
        <v>12.72</v>
      </c>
      <c r="F1329" s="3058">
        <v>100000</v>
      </c>
      <c r="G1329" s="3059">
        <v>100000</v>
      </c>
      <c r="H1329" s="3059" t="s">
        <v>3090</v>
      </c>
      <c r="I1329" s="3058" t="s">
        <v>3054</v>
      </c>
    </row>
    <row r="1330" spans="1:9">
      <c r="A1330" s="3059">
        <v>1540</v>
      </c>
      <c r="B1330" s="3062" t="s">
        <v>3092</v>
      </c>
      <c r="C1330" s="3062"/>
      <c r="D1330" s="3062" t="s">
        <v>3176</v>
      </c>
      <c r="E1330" s="3058">
        <v>12.72</v>
      </c>
      <c r="F1330" s="3058">
        <v>100000</v>
      </c>
      <c r="G1330" s="3059">
        <v>100000</v>
      </c>
      <c r="H1330" s="3059" t="s">
        <v>3090</v>
      </c>
      <c r="I1330" s="3058" t="s">
        <v>3054</v>
      </c>
    </row>
    <row r="1331" spans="1:9">
      <c r="A1331" s="3059">
        <v>1541</v>
      </c>
      <c r="B1331" s="3062" t="s">
        <v>3092</v>
      </c>
      <c r="C1331" s="3062"/>
      <c r="D1331" s="3062" t="s">
        <v>3175</v>
      </c>
      <c r="E1331" s="3058">
        <v>13.78</v>
      </c>
      <c r="F1331" s="3058">
        <v>100000</v>
      </c>
      <c r="G1331" s="3059">
        <v>100000</v>
      </c>
      <c r="H1331" s="3059" t="s">
        <v>3090</v>
      </c>
      <c r="I1331" s="3058" t="s">
        <v>3054</v>
      </c>
    </row>
    <row r="1332" spans="1:9">
      <c r="A1332" s="3059">
        <v>1542</v>
      </c>
      <c r="B1332" s="3062" t="s">
        <v>3092</v>
      </c>
      <c r="C1332" s="3062"/>
      <c r="D1332" s="3062" t="s">
        <v>3174</v>
      </c>
      <c r="E1332" s="3058">
        <v>13.78</v>
      </c>
      <c r="F1332" s="3058">
        <v>100000</v>
      </c>
      <c r="G1332" s="3059">
        <v>100000</v>
      </c>
      <c r="H1332" s="3059" t="s">
        <v>3090</v>
      </c>
      <c r="I1332" s="3058" t="s">
        <v>3054</v>
      </c>
    </row>
    <row r="1333" spans="1:9">
      <c r="A1333" s="3059">
        <v>1543</v>
      </c>
      <c r="B1333" s="3062" t="s">
        <v>3092</v>
      </c>
      <c r="C1333" s="3062"/>
      <c r="D1333" s="3062" t="s">
        <v>3173</v>
      </c>
      <c r="E1333" s="3058">
        <v>13.78</v>
      </c>
      <c r="F1333" s="3058">
        <v>100000</v>
      </c>
      <c r="G1333" s="3059">
        <v>100000</v>
      </c>
      <c r="H1333" s="3059" t="s">
        <v>3090</v>
      </c>
      <c r="I1333" s="3058" t="s">
        <v>3054</v>
      </c>
    </row>
    <row r="1334" spans="1:9">
      <c r="A1334" s="3059">
        <v>1544</v>
      </c>
      <c r="B1334" s="3062" t="s">
        <v>3092</v>
      </c>
      <c r="C1334" s="3062"/>
      <c r="D1334" s="3062" t="s">
        <v>3172</v>
      </c>
      <c r="E1334" s="3058">
        <v>13.78</v>
      </c>
      <c r="F1334" s="3058">
        <v>100000</v>
      </c>
      <c r="G1334" s="3059">
        <v>100000</v>
      </c>
      <c r="H1334" s="3059" t="s">
        <v>3090</v>
      </c>
      <c r="I1334" s="3058" t="s">
        <v>3054</v>
      </c>
    </row>
    <row r="1335" spans="1:9">
      <c r="A1335" s="3059">
        <v>1545</v>
      </c>
      <c r="B1335" s="3062" t="s">
        <v>3092</v>
      </c>
      <c r="C1335" s="3062"/>
      <c r="D1335" s="3062" t="s">
        <v>3171</v>
      </c>
      <c r="E1335" s="3058">
        <v>13.78</v>
      </c>
      <c r="F1335" s="3058">
        <v>100000</v>
      </c>
      <c r="G1335" s="3059">
        <v>100000</v>
      </c>
      <c r="H1335" s="3059" t="s">
        <v>3090</v>
      </c>
      <c r="I1335" s="3058" t="s">
        <v>3054</v>
      </c>
    </row>
    <row r="1336" spans="1:9">
      <c r="A1336" s="3059">
        <v>1546</v>
      </c>
      <c r="B1336" s="3062" t="s">
        <v>3092</v>
      </c>
      <c r="C1336" s="3062"/>
      <c r="D1336" s="3062" t="s">
        <v>3170</v>
      </c>
      <c r="E1336" s="3058">
        <v>12.72</v>
      </c>
      <c r="F1336" s="3058">
        <v>100000</v>
      </c>
      <c r="G1336" s="3059">
        <v>100000</v>
      </c>
      <c r="H1336" s="3059" t="s">
        <v>3090</v>
      </c>
      <c r="I1336" s="3058" t="s">
        <v>3054</v>
      </c>
    </row>
    <row r="1337" spans="1:9">
      <c r="A1337" s="3059">
        <v>1547</v>
      </c>
      <c r="B1337" s="3062" t="s">
        <v>3092</v>
      </c>
      <c r="C1337" s="3062"/>
      <c r="D1337" s="3062" t="s">
        <v>3169</v>
      </c>
      <c r="E1337" s="3058">
        <v>12.72</v>
      </c>
      <c r="F1337" s="3058">
        <v>100000</v>
      </c>
      <c r="G1337" s="3059">
        <v>100000</v>
      </c>
      <c r="H1337" s="3059" t="s">
        <v>3090</v>
      </c>
      <c r="I1337" s="3058" t="s">
        <v>3054</v>
      </c>
    </row>
    <row r="1338" spans="1:9">
      <c r="A1338" s="3059">
        <v>1548</v>
      </c>
      <c r="B1338" s="3062" t="s">
        <v>3092</v>
      </c>
      <c r="C1338" s="3062"/>
      <c r="D1338" s="3062" t="s">
        <v>3168</v>
      </c>
      <c r="E1338" s="3058">
        <v>12.72</v>
      </c>
      <c r="F1338" s="3058">
        <v>100000</v>
      </c>
      <c r="G1338" s="3059">
        <v>100000</v>
      </c>
      <c r="H1338" s="3059" t="s">
        <v>3090</v>
      </c>
      <c r="I1338" s="3058" t="s">
        <v>3054</v>
      </c>
    </row>
    <row r="1339" spans="1:9">
      <c r="A1339" s="3059">
        <v>1549</v>
      </c>
      <c r="B1339" s="3062" t="s">
        <v>3092</v>
      </c>
      <c r="C1339" s="3062"/>
      <c r="D1339" s="3062" t="s">
        <v>3167</v>
      </c>
      <c r="E1339" s="3058">
        <v>9.4600000000000009</v>
      </c>
      <c r="F1339" s="3058">
        <v>100000</v>
      </c>
      <c r="G1339" s="3059">
        <v>100000</v>
      </c>
      <c r="H1339" s="3059" t="s">
        <v>3090</v>
      </c>
      <c r="I1339" s="3058" t="s">
        <v>3054</v>
      </c>
    </row>
    <row r="1340" spans="1:9">
      <c r="A1340" s="3059">
        <v>1550</v>
      </c>
      <c r="B1340" s="3062" t="s">
        <v>3092</v>
      </c>
      <c r="C1340" s="3062"/>
      <c r="D1340" s="3062" t="s">
        <v>3166</v>
      </c>
      <c r="E1340" s="3058">
        <v>12.72</v>
      </c>
      <c r="F1340" s="3058">
        <v>100000</v>
      </c>
      <c r="G1340" s="3059">
        <v>100000</v>
      </c>
      <c r="H1340" s="3059" t="s">
        <v>3090</v>
      </c>
      <c r="I1340" s="3058" t="s">
        <v>3054</v>
      </c>
    </row>
    <row r="1341" spans="1:9">
      <c r="A1341" s="3059">
        <v>1551</v>
      </c>
      <c r="B1341" s="3062" t="s">
        <v>3092</v>
      </c>
      <c r="C1341" s="3062"/>
      <c r="D1341" s="3062" t="s">
        <v>3165</v>
      </c>
      <c r="E1341" s="3058">
        <v>13.78</v>
      </c>
      <c r="F1341" s="3058">
        <v>100000</v>
      </c>
      <c r="G1341" s="3059">
        <v>100000</v>
      </c>
      <c r="H1341" s="3059" t="s">
        <v>3090</v>
      </c>
      <c r="I1341" s="3058" t="s">
        <v>3054</v>
      </c>
    </row>
    <row r="1342" spans="1:9">
      <c r="A1342" s="3059">
        <v>1552</v>
      </c>
      <c r="B1342" s="3062" t="s">
        <v>3092</v>
      </c>
      <c r="C1342" s="3062"/>
      <c r="D1342" s="3062" t="s">
        <v>3164</v>
      </c>
      <c r="E1342" s="3058">
        <v>13.78</v>
      </c>
      <c r="F1342" s="3058">
        <v>100000</v>
      </c>
      <c r="G1342" s="3059">
        <v>100000</v>
      </c>
      <c r="H1342" s="3059" t="s">
        <v>3090</v>
      </c>
      <c r="I1342" s="3058" t="s">
        <v>3054</v>
      </c>
    </row>
    <row r="1343" spans="1:9">
      <c r="A1343" s="3059">
        <v>1553</v>
      </c>
      <c r="B1343" s="3062" t="s">
        <v>3092</v>
      </c>
      <c r="C1343" s="3062"/>
      <c r="D1343" s="3062" t="s">
        <v>3163</v>
      </c>
      <c r="E1343" s="3058">
        <v>13.78</v>
      </c>
      <c r="F1343" s="3058">
        <v>100000</v>
      </c>
      <c r="G1343" s="3059">
        <v>100000</v>
      </c>
      <c r="H1343" s="3059" t="s">
        <v>3090</v>
      </c>
      <c r="I1343" s="3058" t="s">
        <v>3054</v>
      </c>
    </row>
    <row r="1344" spans="1:9">
      <c r="A1344" s="3059">
        <v>1554</v>
      </c>
      <c r="B1344" s="3062" t="s">
        <v>3092</v>
      </c>
      <c r="C1344" s="3062"/>
      <c r="D1344" s="3062" t="s">
        <v>3162</v>
      </c>
      <c r="E1344" s="3058">
        <v>12.72</v>
      </c>
      <c r="F1344" s="3058">
        <v>100000</v>
      </c>
      <c r="G1344" s="3059">
        <v>100000</v>
      </c>
      <c r="H1344" s="3059" t="s">
        <v>3090</v>
      </c>
      <c r="I1344" s="3058" t="s">
        <v>3054</v>
      </c>
    </row>
    <row r="1345" spans="1:9">
      <c r="A1345" s="3059">
        <v>1555</v>
      </c>
      <c r="B1345" s="3062" t="s">
        <v>3092</v>
      </c>
      <c r="C1345" s="3062"/>
      <c r="D1345" s="3062" t="s">
        <v>3161</v>
      </c>
      <c r="E1345" s="3058">
        <v>12.72</v>
      </c>
      <c r="F1345" s="3058">
        <v>100000</v>
      </c>
      <c r="G1345" s="3059">
        <v>100000</v>
      </c>
      <c r="H1345" s="3059" t="s">
        <v>3090</v>
      </c>
      <c r="I1345" s="3058" t="s">
        <v>3054</v>
      </c>
    </row>
    <row r="1346" spans="1:9">
      <c r="A1346" s="3059">
        <v>1556</v>
      </c>
      <c r="B1346" s="3062" t="s">
        <v>3092</v>
      </c>
      <c r="C1346" s="3062"/>
      <c r="D1346" s="3062" t="s">
        <v>3160</v>
      </c>
      <c r="E1346" s="3058">
        <v>9.4600000000000009</v>
      </c>
      <c r="F1346" s="3058">
        <v>100000</v>
      </c>
      <c r="G1346" s="3059">
        <v>100000</v>
      </c>
      <c r="H1346" s="3059" t="s">
        <v>3090</v>
      </c>
      <c r="I1346" s="3058" t="s">
        <v>3054</v>
      </c>
    </row>
    <row r="1347" spans="1:9">
      <c r="A1347" s="3059">
        <v>1557</v>
      </c>
      <c r="B1347" s="3062" t="s">
        <v>3092</v>
      </c>
      <c r="C1347" s="3062"/>
      <c r="D1347" s="3062" t="s">
        <v>3159</v>
      </c>
      <c r="E1347" s="3058">
        <v>12.72</v>
      </c>
      <c r="F1347" s="3058">
        <v>100000</v>
      </c>
      <c r="G1347" s="3059">
        <v>100000</v>
      </c>
      <c r="H1347" s="3059" t="s">
        <v>3090</v>
      </c>
      <c r="I1347" s="3058" t="s">
        <v>3054</v>
      </c>
    </row>
    <row r="1348" spans="1:9">
      <c r="A1348" s="3059">
        <v>1558</v>
      </c>
      <c r="B1348" s="3062" t="s">
        <v>3092</v>
      </c>
      <c r="C1348" s="3062"/>
      <c r="D1348" s="3062" t="s">
        <v>3158</v>
      </c>
      <c r="E1348" s="3058">
        <v>12.72</v>
      </c>
      <c r="F1348" s="3058">
        <v>100000</v>
      </c>
      <c r="G1348" s="3059">
        <v>100000</v>
      </c>
      <c r="H1348" s="3059" t="s">
        <v>3090</v>
      </c>
      <c r="I1348" s="3058" t="s">
        <v>3054</v>
      </c>
    </row>
    <row r="1349" spans="1:9">
      <c r="A1349" s="3059">
        <v>1559</v>
      </c>
      <c r="B1349" s="3062" t="s">
        <v>3092</v>
      </c>
      <c r="C1349" s="3062"/>
      <c r="D1349" s="3062" t="s">
        <v>3157</v>
      </c>
      <c r="E1349" s="3058">
        <v>12.72</v>
      </c>
      <c r="F1349" s="3058">
        <v>100000</v>
      </c>
      <c r="G1349" s="3059">
        <v>100000</v>
      </c>
      <c r="H1349" s="3059" t="s">
        <v>3090</v>
      </c>
      <c r="I1349" s="3058" t="s">
        <v>3054</v>
      </c>
    </row>
    <row r="1350" spans="1:9">
      <c r="A1350" s="3059">
        <v>1560</v>
      </c>
      <c r="B1350" s="3062" t="s">
        <v>3092</v>
      </c>
      <c r="C1350" s="3062"/>
      <c r="D1350" s="3062" t="s">
        <v>3156</v>
      </c>
      <c r="E1350" s="3058">
        <v>12.72</v>
      </c>
      <c r="F1350" s="3058">
        <v>100000</v>
      </c>
      <c r="G1350" s="3059">
        <v>100000</v>
      </c>
      <c r="H1350" s="3059" t="s">
        <v>3090</v>
      </c>
      <c r="I1350" s="3058" t="s">
        <v>3054</v>
      </c>
    </row>
    <row r="1351" spans="1:9">
      <c r="A1351" s="3059">
        <v>1561</v>
      </c>
      <c r="B1351" s="3062" t="s">
        <v>3092</v>
      </c>
      <c r="C1351" s="3062"/>
      <c r="D1351" s="3062" t="s">
        <v>3155</v>
      </c>
      <c r="E1351" s="3058">
        <v>12.72</v>
      </c>
      <c r="F1351" s="3058">
        <v>100000</v>
      </c>
      <c r="G1351" s="3059">
        <v>100000</v>
      </c>
      <c r="H1351" s="3059" t="s">
        <v>3090</v>
      </c>
      <c r="I1351" s="3058" t="s">
        <v>3054</v>
      </c>
    </row>
    <row r="1352" spans="1:9">
      <c r="A1352" s="3059">
        <v>1562</v>
      </c>
      <c r="B1352" s="3062" t="s">
        <v>3092</v>
      </c>
      <c r="C1352" s="3062"/>
      <c r="D1352" s="3062" t="s">
        <v>3154</v>
      </c>
      <c r="E1352" s="3058">
        <v>12.72</v>
      </c>
      <c r="F1352" s="3058">
        <v>100000</v>
      </c>
      <c r="G1352" s="3059">
        <v>100000</v>
      </c>
      <c r="H1352" s="3059" t="s">
        <v>3090</v>
      </c>
      <c r="I1352" s="3058" t="s">
        <v>3054</v>
      </c>
    </row>
    <row r="1353" spans="1:9">
      <c r="A1353" s="3059">
        <v>1563</v>
      </c>
      <c r="B1353" s="3062" t="s">
        <v>3092</v>
      </c>
      <c r="C1353" s="3062"/>
      <c r="D1353" s="3062" t="s">
        <v>3153</v>
      </c>
      <c r="E1353" s="3058">
        <v>12.72</v>
      </c>
      <c r="F1353" s="3058">
        <v>100000</v>
      </c>
      <c r="G1353" s="3059">
        <v>100000</v>
      </c>
      <c r="H1353" s="3059" t="s">
        <v>3090</v>
      </c>
      <c r="I1353" s="3058" t="s">
        <v>3054</v>
      </c>
    </row>
    <row r="1354" spans="1:9">
      <c r="A1354" s="3059">
        <v>1564</v>
      </c>
      <c r="B1354" s="3062" t="s">
        <v>3092</v>
      </c>
      <c r="C1354" s="3062"/>
      <c r="D1354" s="3062" t="s">
        <v>3152</v>
      </c>
      <c r="E1354" s="3058">
        <v>12.72</v>
      </c>
      <c r="F1354" s="3058">
        <v>100000</v>
      </c>
      <c r="G1354" s="3059">
        <v>100000</v>
      </c>
      <c r="H1354" s="3059" t="s">
        <v>3090</v>
      </c>
      <c r="I1354" s="3058" t="s">
        <v>3054</v>
      </c>
    </row>
    <row r="1355" spans="1:9">
      <c r="A1355" s="3059">
        <v>1565</v>
      </c>
      <c r="B1355" s="3062" t="s">
        <v>3092</v>
      </c>
      <c r="C1355" s="3062"/>
      <c r="D1355" s="3062" t="s">
        <v>3151</v>
      </c>
      <c r="E1355" s="3058">
        <v>12.72</v>
      </c>
      <c r="F1355" s="3058">
        <v>100000</v>
      </c>
      <c r="G1355" s="3059">
        <v>100000</v>
      </c>
      <c r="H1355" s="3059" t="s">
        <v>3090</v>
      </c>
      <c r="I1355" s="3058" t="s">
        <v>3054</v>
      </c>
    </row>
    <row r="1356" spans="1:9">
      <c r="A1356" s="3059">
        <v>1566</v>
      </c>
      <c r="B1356" s="3062" t="s">
        <v>3092</v>
      </c>
      <c r="C1356" s="3062"/>
      <c r="D1356" s="3062" t="s">
        <v>3150</v>
      </c>
      <c r="E1356" s="3058">
        <v>12.72</v>
      </c>
      <c r="F1356" s="3058">
        <v>100000</v>
      </c>
      <c r="G1356" s="3059">
        <v>100000</v>
      </c>
      <c r="H1356" s="3059" t="s">
        <v>3090</v>
      </c>
      <c r="I1356" s="3058" t="s">
        <v>3054</v>
      </c>
    </row>
    <row r="1357" spans="1:9">
      <c r="A1357" s="3059">
        <v>1567</v>
      </c>
      <c r="B1357" s="3062" t="s">
        <v>3092</v>
      </c>
      <c r="C1357" s="3062"/>
      <c r="D1357" s="3062" t="s">
        <v>3149</v>
      </c>
      <c r="E1357" s="3058">
        <v>12.72</v>
      </c>
      <c r="F1357" s="3058">
        <v>100000</v>
      </c>
      <c r="G1357" s="3059">
        <v>100000</v>
      </c>
      <c r="H1357" s="3059" t="s">
        <v>3090</v>
      </c>
      <c r="I1357" s="3058" t="s">
        <v>3054</v>
      </c>
    </row>
    <row r="1358" spans="1:9">
      <c r="A1358" s="3059">
        <v>1568</v>
      </c>
      <c r="B1358" s="3062" t="s">
        <v>3092</v>
      </c>
      <c r="C1358" s="3062"/>
      <c r="D1358" s="3062" t="s">
        <v>3148</v>
      </c>
      <c r="E1358" s="3058">
        <v>12.72</v>
      </c>
      <c r="F1358" s="3058">
        <v>100000</v>
      </c>
      <c r="G1358" s="3059">
        <v>100000</v>
      </c>
      <c r="H1358" s="3059" t="s">
        <v>3090</v>
      </c>
      <c r="I1358" s="3058" t="s">
        <v>3054</v>
      </c>
    </row>
    <row r="1359" spans="1:9">
      <c r="A1359" s="3059">
        <v>1569</v>
      </c>
      <c r="B1359" s="3062" t="s">
        <v>3092</v>
      </c>
      <c r="C1359" s="3062"/>
      <c r="D1359" s="3062" t="s">
        <v>3147</v>
      </c>
      <c r="E1359" s="3058">
        <v>9.4600000000000009</v>
      </c>
      <c r="F1359" s="3058">
        <v>100000</v>
      </c>
      <c r="G1359" s="3059">
        <v>100000</v>
      </c>
      <c r="H1359" s="3059" t="s">
        <v>3090</v>
      </c>
      <c r="I1359" s="3058" t="s">
        <v>3054</v>
      </c>
    </row>
    <row r="1360" spans="1:9">
      <c r="A1360" s="3059">
        <v>1570</v>
      </c>
      <c r="B1360" s="3062" t="s">
        <v>3092</v>
      </c>
      <c r="C1360" s="3062"/>
      <c r="D1360" s="3062" t="s">
        <v>3146</v>
      </c>
      <c r="E1360" s="3058">
        <v>12.72</v>
      </c>
      <c r="F1360" s="3058">
        <v>100000</v>
      </c>
      <c r="G1360" s="3059">
        <v>100000</v>
      </c>
      <c r="H1360" s="3059" t="s">
        <v>3090</v>
      </c>
      <c r="I1360" s="3058" t="s">
        <v>3054</v>
      </c>
    </row>
    <row r="1361" spans="1:9">
      <c r="A1361" s="3059">
        <v>1571</v>
      </c>
      <c r="B1361" s="3062" t="s">
        <v>3092</v>
      </c>
      <c r="C1361" s="3062"/>
      <c r="D1361" s="3062" t="s">
        <v>3145</v>
      </c>
      <c r="E1361" s="3058">
        <v>13.78</v>
      </c>
      <c r="F1361" s="3058">
        <v>100000</v>
      </c>
      <c r="G1361" s="3059">
        <v>100000</v>
      </c>
      <c r="H1361" s="3059" t="s">
        <v>3090</v>
      </c>
      <c r="I1361" s="3058" t="s">
        <v>3054</v>
      </c>
    </row>
    <row r="1362" spans="1:9">
      <c r="A1362" s="3059">
        <v>1572</v>
      </c>
      <c r="B1362" s="3062" t="s">
        <v>3092</v>
      </c>
      <c r="C1362" s="3062"/>
      <c r="D1362" s="3062" t="s">
        <v>3144</v>
      </c>
      <c r="E1362" s="3058">
        <v>12.72</v>
      </c>
      <c r="F1362" s="3058">
        <v>100000</v>
      </c>
      <c r="G1362" s="3059">
        <v>100000</v>
      </c>
      <c r="H1362" s="3059" t="s">
        <v>3090</v>
      </c>
      <c r="I1362" s="3058" t="s">
        <v>3054</v>
      </c>
    </row>
    <row r="1363" spans="1:9">
      <c r="A1363" s="3059">
        <v>1573</v>
      </c>
      <c r="B1363" s="3062" t="s">
        <v>3092</v>
      </c>
      <c r="C1363" s="3062"/>
      <c r="D1363" s="3062" t="s">
        <v>3143</v>
      </c>
      <c r="E1363" s="3058">
        <v>12.72</v>
      </c>
      <c r="F1363" s="3058">
        <v>100000</v>
      </c>
      <c r="G1363" s="3059">
        <v>100000</v>
      </c>
      <c r="H1363" s="3059" t="s">
        <v>3090</v>
      </c>
      <c r="I1363" s="3058" t="s">
        <v>3054</v>
      </c>
    </row>
    <row r="1364" spans="1:9">
      <c r="A1364" s="3059">
        <v>1574</v>
      </c>
      <c r="B1364" s="3062" t="s">
        <v>3092</v>
      </c>
      <c r="C1364" s="3062"/>
      <c r="D1364" s="3062" t="s">
        <v>3142</v>
      </c>
      <c r="E1364" s="3058">
        <v>12.72</v>
      </c>
      <c r="F1364" s="3058">
        <v>100000</v>
      </c>
      <c r="G1364" s="3059">
        <v>100000</v>
      </c>
      <c r="H1364" s="3059" t="s">
        <v>3090</v>
      </c>
      <c r="I1364" s="3058" t="s">
        <v>3054</v>
      </c>
    </row>
    <row r="1365" spans="1:9">
      <c r="A1365" s="3059">
        <v>1575</v>
      </c>
      <c r="B1365" s="3062" t="s">
        <v>3092</v>
      </c>
      <c r="C1365" s="3062"/>
      <c r="D1365" s="3062" t="s">
        <v>3141</v>
      </c>
      <c r="E1365" s="3058">
        <v>13.78</v>
      </c>
      <c r="F1365" s="3058">
        <v>100000</v>
      </c>
      <c r="G1365" s="3059">
        <v>100000</v>
      </c>
      <c r="H1365" s="3059" t="s">
        <v>3090</v>
      </c>
      <c r="I1365" s="3058" t="s">
        <v>3054</v>
      </c>
    </row>
    <row r="1366" spans="1:9">
      <c r="A1366" s="3059">
        <v>1576</v>
      </c>
      <c r="B1366" s="3062" t="s">
        <v>3092</v>
      </c>
      <c r="C1366" s="3062"/>
      <c r="D1366" s="3062" t="s">
        <v>3140</v>
      </c>
      <c r="E1366" s="3058">
        <v>12.72</v>
      </c>
      <c r="F1366" s="3058">
        <v>100000</v>
      </c>
      <c r="G1366" s="3059">
        <v>100000</v>
      </c>
      <c r="H1366" s="3059" t="s">
        <v>3090</v>
      </c>
      <c r="I1366" s="3058" t="s">
        <v>3054</v>
      </c>
    </row>
    <row r="1367" spans="1:9">
      <c r="A1367" s="3059">
        <v>1577</v>
      </c>
      <c r="B1367" s="3062" t="s">
        <v>3092</v>
      </c>
      <c r="C1367" s="3062"/>
      <c r="D1367" s="3062" t="s">
        <v>3139</v>
      </c>
      <c r="E1367" s="3058">
        <v>9.4600000000000009</v>
      </c>
      <c r="F1367" s="3058">
        <v>100000</v>
      </c>
      <c r="G1367" s="3059">
        <v>100000</v>
      </c>
      <c r="H1367" s="3059" t="s">
        <v>3090</v>
      </c>
      <c r="I1367" s="3058" t="s">
        <v>3054</v>
      </c>
    </row>
    <row r="1368" spans="1:9">
      <c r="A1368" s="3059">
        <v>1578</v>
      </c>
      <c r="B1368" s="3062" t="s">
        <v>3092</v>
      </c>
      <c r="C1368" s="3062"/>
      <c r="D1368" s="3062" t="s">
        <v>3138</v>
      </c>
      <c r="E1368" s="3058">
        <v>12.72</v>
      </c>
      <c r="F1368" s="3058">
        <v>100000</v>
      </c>
      <c r="G1368" s="3059">
        <v>100000</v>
      </c>
      <c r="H1368" s="3059" t="s">
        <v>3090</v>
      </c>
      <c r="I1368" s="3058" t="s">
        <v>3054</v>
      </c>
    </row>
    <row r="1369" spans="1:9">
      <c r="A1369" s="3059">
        <v>1579</v>
      </c>
      <c r="B1369" s="3062" t="s">
        <v>3092</v>
      </c>
      <c r="C1369" s="3062"/>
      <c r="D1369" s="3062" t="s">
        <v>3137</v>
      </c>
      <c r="E1369" s="3058">
        <v>12.72</v>
      </c>
      <c r="F1369" s="3058">
        <v>100000</v>
      </c>
      <c r="G1369" s="3059">
        <v>100000</v>
      </c>
      <c r="H1369" s="3059" t="s">
        <v>3090</v>
      </c>
      <c r="I1369" s="3058" t="s">
        <v>3054</v>
      </c>
    </row>
    <row r="1370" spans="1:9">
      <c r="A1370" s="3059">
        <v>1580</v>
      </c>
      <c r="B1370" s="3062" t="s">
        <v>3092</v>
      </c>
      <c r="C1370" s="3062"/>
      <c r="D1370" s="3062" t="s">
        <v>3136</v>
      </c>
      <c r="E1370" s="3058">
        <v>12.72</v>
      </c>
      <c r="F1370" s="3058">
        <v>100000</v>
      </c>
      <c r="G1370" s="3059">
        <v>100000</v>
      </c>
      <c r="H1370" s="3059" t="s">
        <v>3090</v>
      </c>
      <c r="I1370" s="3058" t="s">
        <v>3054</v>
      </c>
    </row>
    <row r="1371" spans="1:9">
      <c r="A1371" s="3059">
        <v>1581</v>
      </c>
      <c r="B1371" s="3062" t="s">
        <v>3092</v>
      </c>
      <c r="C1371" s="3062"/>
      <c r="D1371" s="3062" t="s">
        <v>3135</v>
      </c>
      <c r="E1371" s="3058">
        <v>12.72</v>
      </c>
      <c r="F1371" s="3058">
        <v>100000</v>
      </c>
      <c r="G1371" s="3059">
        <v>100000</v>
      </c>
      <c r="H1371" s="3059" t="s">
        <v>3090</v>
      </c>
      <c r="I1371" s="3058" t="s">
        <v>3054</v>
      </c>
    </row>
    <row r="1372" spans="1:9">
      <c r="A1372" s="3059">
        <v>1582</v>
      </c>
      <c r="B1372" s="3062" t="s">
        <v>3092</v>
      </c>
      <c r="C1372" s="3062"/>
      <c r="D1372" s="3062" t="s">
        <v>3134</v>
      </c>
      <c r="E1372" s="3058">
        <v>12.72</v>
      </c>
      <c r="F1372" s="3058">
        <v>100000</v>
      </c>
      <c r="G1372" s="3059">
        <v>100000</v>
      </c>
      <c r="H1372" s="3059" t="s">
        <v>3090</v>
      </c>
      <c r="I1372" s="3058" t="s">
        <v>3054</v>
      </c>
    </row>
    <row r="1373" spans="1:9">
      <c r="A1373" s="3059">
        <v>1583</v>
      </c>
      <c r="B1373" s="3062" t="s">
        <v>3092</v>
      </c>
      <c r="C1373" s="3062"/>
      <c r="D1373" s="3062" t="s">
        <v>3133</v>
      </c>
      <c r="E1373" s="3058">
        <v>12.72</v>
      </c>
      <c r="F1373" s="3058">
        <v>100000</v>
      </c>
      <c r="G1373" s="3059">
        <v>100000</v>
      </c>
      <c r="H1373" s="3059" t="s">
        <v>3090</v>
      </c>
      <c r="I1373" s="3058" t="s">
        <v>3054</v>
      </c>
    </row>
    <row r="1374" spans="1:9">
      <c r="A1374" s="3059">
        <v>1584</v>
      </c>
      <c r="B1374" s="3062" t="s">
        <v>3092</v>
      </c>
      <c r="C1374" s="3062"/>
      <c r="D1374" s="3062" t="s">
        <v>3132</v>
      </c>
      <c r="E1374" s="3058">
        <v>12.72</v>
      </c>
      <c r="F1374" s="3058">
        <v>100000</v>
      </c>
      <c r="G1374" s="3059">
        <v>100000</v>
      </c>
      <c r="H1374" s="3059" t="s">
        <v>3090</v>
      </c>
      <c r="I1374" s="3058" t="s">
        <v>3054</v>
      </c>
    </row>
    <row r="1375" spans="1:9">
      <c r="A1375" s="3059">
        <v>1585</v>
      </c>
      <c r="B1375" s="3062" t="s">
        <v>3092</v>
      </c>
      <c r="C1375" s="3062"/>
      <c r="D1375" s="3062" t="s">
        <v>3131</v>
      </c>
      <c r="E1375" s="3058">
        <v>12.72</v>
      </c>
      <c r="F1375" s="3058">
        <v>100000</v>
      </c>
      <c r="G1375" s="3059">
        <v>100000</v>
      </c>
      <c r="H1375" s="3059" t="s">
        <v>3090</v>
      </c>
      <c r="I1375" s="3058" t="s">
        <v>3054</v>
      </c>
    </row>
    <row r="1376" spans="1:9">
      <c r="A1376" s="3059">
        <v>1586</v>
      </c>
      <c r="B1376" s="3062" t="s">
        <v>3092</v>
      </c>
      <c r="C1376" s="3062"/>
      <c r="D1376" s="3062" t="s">
        <v>3130</v>
      </c>
      <c r="E1376" s="3058">
        <v>12.72</v>
      </c>
      <c r="F1376" s="3058">
        <v>100000</v>
      </c>
      <c r="G1376" s="3059">
        <v>100000</v>
      </c>
      <c r="H1376" s="3059" t="s">
        <v>3090</v>
      </c>
      <c r="I1376" s="3058" t="s">
        <v>3054</v>
      </c>
    </row>
    <row r="1377" spans="1:9">
      <c r="A1377" s="3059">
        <v>1587</v>
      </c>
      <c r="B1377" s="3062" t="s">
        <v>3092</v>
      </c>
      <c r="C1377" s="3062"/>
      <c r="D1377" s="3062" t="s">
        <v>3129</v>
      </c>
      <c r="E1377" s="3058">
        <v>12.72</v>
      </c>
      <c r="F1377" s="3058">
        <v>100000</v>
      </c>
      <c r="G1377" s="3059">
        <v>100000</v>
      </c>
      <c r="H1377" s="3059" t="s">
        <v>3090</v>
      </c>
      <c r="I1377" s="3058" t="s">
        <v>3054</v>
      </c>
    </row>
    <row r="1378" spans="1:9">
      <c r="A1378" s="3059">
        <v>1588</v>
      </c>
      <c r="B1378" s="3062" t="s">
        <v>3092</v>
      </c>
      <c r="C1378" s="3062"/>
      <c r="D1378" s="3062" t="s">
        <v>3128</v>
      </c>
      <c r="E1378" s="3058">
        <v>12.72</v>
      </c>
      <c r="F1378" s="3058">
        <v>100000</v>
      </c>
      <c r="G1378" s="3059">
        <v>100000</v>
      </c>
      <c r="H1378" s="3059" t="s">
        <v>3090</v>
      </c>
      <c r="I1378" s="3058" t="s">
        <v>3054</v>
      </c>
    </row>
    <row r="1379" spans="1:9">
      <c r="A1379" s="3059">
        <v>1589</v>
      </c>
      <c r="B1379" s="3062" t="s">
        <v>3092</v>
      </c>
      <c r="C1379" s="3062"/>
      <c r="D1379" s="3062" t="s">
        <v>3127</v>
      </c>
      <c r="E1379" s="3058">
        <v>12.72</v>
      </c>
      <c r="F1379" s="3058">
        <v>100000</v>
      </c>
      <c r="G1379" s="3059">
        <v>100000</v>
      </c>
      <c r="H1379" s="3059" t="s">
        <v>3090</v>
      </c>
      <c r="I1379" s="3058" t="s">
        <v>3054</v>
      </c>
    </row>
    <row r="1380" spans="1:9">
      <c r="A1380" s="3059">
        <v>1590</v>
      </c>
      <c r="B1380" s="3062" t="s">
        <v>3092</v>
      </c>
      <c r="C1380" s="3062"/>
      <c r="D1380" s="3062" t="s">
        <v>3126</v>
      </c>
      <c r="E1380" s="3058">
        <v>12.72</v>
      </c>
      <c r="F1380" s="3058">
        <v>100000</v>
      </c>
      <c r="G1380" s="3059">
        <v>100000</v>
      </c>
      <c r="H1380" s="3059" t="s">
        <v>3090</v>
      </c>
      <c r="I1380" s="3058" t="s">
        <v>3054</v>
      </c>
    </row>
    <row r="1381" spans="1:9">
      <c r="A1381" s="3059">
        <v>1591</v>
      </c>
      <c r="B1381" s="3062" t="s">
        <v>3092</v>
      </c>
      <c r="C1381" s="3062"/>
      <c r="D1381" s="3062" t="s">
        <v>3125</v>
      </c>
      <c r="E1381" s="3058">
        <v>12.72</v>
      </c>
      <c r="F1381" s="3058">
        <v>100000</v>
      </c>
      <c r="G1381" s="3059">
        <v>100000</v>
      </c>
      <c r="H1381" s="3059" t="s">
        <v>3090</v>
      </c>
      <c r="I1381" s="3058" t="s">
        <v>3054</v>
      </c>
    </row>
    <row r="1382" spans="1:9">
      <c r="A1382" s="3059">
        <v>1592</v>
      </c>
      <c r="B1382" s="3062" t="s">
        <v>3092</v>
      </c>
      <c r="C1382" s="3062"/>
      <c r="D1382" s="3062" t="s">
        <v>3124</v>
      </c>
      <c r="E1382" s="3058">
        <v>12.72</v>
      </c>
      <c r="F1382" s="3058">
        <v>100000</v>
      </c>
      <c r="G1382" s="3059">
        <v>100000</v>
      </c>
      <c r="H1382" s="3059" t="s">
        <v>3090</v>
      </c>
      <c r="I1382" s="3058" t="s">
        <v>3054</v>
      </c>
    </row>
    <row r="1383" spans="1:9">
      <c r="A1383" s="3059">
        <v>1593</v>
      </c>
      <c r="B1383" s="3062" t="s">
        <v>3092</v>
      </c>
      <c r="C1383" s="3062"/>
      <c r="D1383" s="3062" t="s">
        <v>3123</v>
      </c>
      <c r="E1383" s="3058">
        <v>12.72</v>
      </c>
      <c r="F1383" s="3058">
        <v>100000</v>
      </c>
      <c r="G1383" s="3059">
        <v>100000</v>
      </c>
      <c r="H1383" s="3059" t="s">
        <v>3090</v>
      </c>
      <c r="I1383" s="3058" t="s">
        <v>3054</v>
      </c>
    </row>
    <row r="1384" spans="1:9">
      <c r="A1384" s="3059">
        <v>1594</v>
      </c>
      <c r="B1384" s="3062" t="s">
        <v>3092</v>
      </c>
      <c r="C1384" s="3062"/>
      <c r="D1384" s="3062" t="s">
        <v>3122</v>
      </c>
      <c r="E1384" s="3058">
        <v>12.72</v>
      </c>
      <c r="F1384" s="3058">
        <v>100000</v>
      </c>
      <c r="G1384" s="3059">
        <v>100000</v>
      </c>
      <c r="H1384" s="3059" t="s">
        <v>3090</v>
      </c>
      <c r="I1384" s="3058" t="s">
        <v>3054</v>
      </c>
    </row>
    <row r="1385" spans="1:9">
      <c r="A1385" s="3059">
        <v>1595</v>
      </c>
      <c r="B1385" s="3062" t="s">
        <v>3092</v>
      </c>
      <c r="C1385" s="3062"/>
      <c r="D1385" s="3062" t="s">
        <v>3121</v>
      </c>
      <c r="E1385" s="3058">
        <v>12.72</v>
      </c>
      <c r="F1385" s="3058">
        <v>100000</v>
      </c>
      <c r="G1385" s="3059">
        <v>100000</v>
      </c>
      <c r="H1385" s="3059" t="s">
        <v>3090</v>
      </c>
      <c r="I1385" s="3058" t="s">
        <v>3054</v>
      </c>
    </row>
    <row r="1386" spans="1:9">
      <c r="A1386" s="3059">
        <v>1596</v>
      </c>
      <c r="B1386" s="3062" t="s">
        <v>3092</v>
      </c>
      <c r="C1386" s="3062"/>
      <c r="D1386" s="3062" t="s">
        <v>3120</v>
      </c>
      <c r="E1386" s="3058">
        <v>12.72</v>
      </c>
      <c r="F1386" s="3058">
        <v>100000</v>
      </c>
      <c r="G1386" s="3059">
        <v>100000</v>
      </c>
      <c r="H1386" s="3059" t="s">
        <v>3090</v>
      </c>
      <c r="I1386" s="3058" t="s">
        <v>3054</v>
      </c>
    </row>
    <row r="1387" spans="1:9">
      <c r="A1387" s="3059">
        <v>1597</v>
      </c>
      <c r="B1387" s="3062" t="s">
        <v>3092</v>
      </c>
      <c r="C1387" s="3062"/>
      <c r="D1387" s="3062" t="s">
        <v>3119</v>
      </c>
      <c r="E1387" s="3058">
        <v>12.72</v>
      </c>
      <c r="F1387" s="3058">
        <v>100000</v>
      </c>
      <c r="G1387" s="3059">
        <v>100000</v>
      </c>
      <c r="H1387" s="3059" t="s">
        <v>3090</v>
      </c>
      <c r="I1387" s="3058" t="s">
        <v>3054</v>
      </c>
    </row>
    <row r="1388" spans="1:9">
      <c r="A1388" s="3059">
        <v>1598</v>
      </c>
      <c r="B1388" s="3062" t="s">
        <v>3092</v>
      </c>
      <c r="C1388" s="3062"/>
      <c r="D1388" s="3062" t="s">
        <v>3118</v>
      </c>
      <c r="E1388" s="3058">
        <v>12.72</v>
      </c>
      <c r="F1388" s="3058">
        <v>100000</v>
      </c>
      <c r="G1388" s="3059">
        <v>100000</v>
      </c>
      <c r="H1388" s="3059" t="s">
        <v>3090</v>
      </c>
      <c r="I1388" s="3058" t="s">
        <v>3054</v>
      </c>
    </row>
    <row r="1389" spans="1:9">
      <c r="A1389" s="3059">
        <v>1599</v>
      </c>
      <c r="B1389" s="3062" t="s">
        <v>3092</v>
      </c>
      <c r="C1389" s="3062"/>
      <c r="D1389" s="3062" t="s">
        <v>3117</v>
      </c>
      <c r="E1389" s="3058">
        <v>12.72</v>
      </c>
      <c r="F1389" s="3058">
        <v>100000</v>
      </c>
      <c r="G1389" s="3059">
        <v>100000</v>
      </c>
      <c r="H1389" s="3059" t="s">
        <v>3090</v>
      </c>
      <c r="I1389" s="3058" t="s">
        <v>3054</v>
      </c>
    </row>
    <row r="1390" spans="1:9">
      <c r="A1390" s="3059">
        <v>1600</v>
      </c>
      <c r="B1390" s="3062" t="s">
        <v>3092</v>
      </c>
      <c r="C1390" s="3062"/>
      <c r="D1390" s="3062" t="s">
        <v>3116</v>
      </c>
      <c r="E1390" s="3058">
        <v>12.72</v>
      </c>
      <c r="F1390" s="3058">
        <v>100000</v>
      </c>
      <c r="G1390" s="3059">
        <v>100000</v>
      </c>
      <c r="H1390" s="3059" t="s">
        <v>3090</v>
      </c>
      <c r="I1390" s="3058" t="s">
        <v>3054</v>
      </c>
    </row>
    <row r="1391" spans="1:9">
      <c r="A1391" s="3059">
        <v>1601</v>
      </c>
      <c r="B1391" s="3062" t="s">
        <v>3092</v>
      </c>
      <c r="C1391" s="3062"/>
      <c r="D1391" s="3062" t="s">
        <v>3115</v>
      </c>
      <c r="E1391" s="3058">
        <v>12.72</v>
      </c>
      <c r="F1391" s="3058">
        <v>100000</v>
      </c>
      <c r="G1391" s="3059">
        <v>100000</v>
      </c>
      <c r="H1391" s="3059" t="s">
        <v>3090</v>
      </c>
      <c r="I1391" s="3058" t="s">
        <v>3054</v>
      </c>
    </row>
    <row r="1392" spans="1:9">
      <c r="A1392" s="3059">
        <v>1602</v>
      </c>
      <c r="B1392" s="3062" t="s">
        <v>3092</v>
      </c>
      <c r="C1392" s="3062"/>
      <c r="D1392" s="3062" t="s">
        <v>3114</v>
      </c>
      <c r="E1392" s="3058">
        <v>12.72</v>
      </c>
      <c r="F1392" s="3058">
        <v>100000</v>
      </c>
      <c r="G1392" s="3059">
        <v>100000</v>
      </c>
      <c r="H1392" s="3059" t="s">
        <v>3090</v>
      </c>
      <c r="I1392" s="3058" t="s">
        <v>3054</v>
      </c>
    </row>
    <row r="1393" spans="1:9">
      <c r="A1393" s="3059">
        <v>1603</v>
      </c>
      <c r="B1393" s="3062" t="s">
        <v>3092</v>
      </c>
      <c r="C1393" s="3062"/>
      <c r="D1393" s="3062" t="s">
        <v>3113</v>
      </c>
      <c r="E1393" s="3058">
        <v>12.72</v>
      </c>
      <c r="F1393" s="3058">
        <v>100000</v>
      </c>
      <c r="G1393" s="3059">
        <v>100000</v>
      </c>
      <c r="H1393" s="3059" t="s">
        <v>3090</v>
      </c>
      <c r="I1393" s="3058" t="s">
        <v>3054</v>
      </c>
    </row>
    <row r="1394" spans="1:9">
      <c r="A1394" s="3059">
        <v>1604</v>
      </c>
      <c r="B1394" s="3062" t="s">
        <v>3092</v>
      </c>
      <c r="C1394" s="3062"/>
      <c r="D1394" s="3062" t="s">
        <v>3112</v>
      </c>
      <c r="E1394" s="3058">
        <v>12.72</v>
      </c>
      <c r="F1394" s="3058">
        <v>100000</v>
      </c>
      <c r="G1394" s="3059">
        <v>100000</v>
      </c>
      <c r="H1394" s="3059" t="s">
        <v>3090</v>
      </c>
      <c r="I1394" s="3058" t="s">
        <v>3054</v>
      </c>
    </row>
    <row r="1395" spans="1:9">
      <c r="A1395" s="3059">
        <v>1605</v>
      </c>
      <c r="B1395" s="3062" t="s">
        <v>3092</v>
      </c>
      <c r="C1395" s="3062"/>
      <c r="D1395" s="3062" t="s">
        <v>3111</v>
      </c>
      <c r="E1395" s="3058">
        <v>12.72</v>
      </c>
      <c r="F1395" s="3058">
        <v>100000</v>
      </c>
      <c r="G1395" s="3059">
        <v>100000</v>
      </c>
      <c r="H1395" s="3059" t="s">
        <v>3090</v>
      </c>
      <c r="I1395" s="3058" t="s">
        <v>3054</v>
      </c>
    </row>
    <row r="1396" spans="1:9">
      <c r="A1396" s="3059">
        <v>1606</v>
      </c>
      <c r="B1396" s="3062" t="s">
        <v>3092</v>
      </c>
      <c r="C1396" s="3062"/>
      <c r="D1396" s="3062" t="s">
        <v>3110</v>
      </c>
      <c r="E1396" s="3058">
        <v>12.72</v>
      </c>
      <c r="F1396" s="3058">
        <v>100000</v>
      </c>
      <c r="G1396" s="3059">
        <v>100000</v>
      </c>
      <c r="H1396" s="3059" t="s">
        <v>3090</v>
      </c>
      <c r="I1396" s="3058" t="s">
        <v>3054</v>
      </c>
    </row>
    <row r="1397" spans="1:9">
      <c r="A1397" s="3059">
        <v>1607</v>
      </c>
      <c r="B1397" s="3062" t="s">
        <v>3092</v>
      </c>
      <c r="C1397" s="3062"/>
      <c r="D1397" s="3062" t="s">
        <v>3109</v>
      </c>
      <c r="E1397" s="3058">
        <v>12.72</v>
      </c>
      <c r="F1397" s="3058">
        <v>100000</v>
      </c>
      <c r="G1397" s="3059">
        <v>100000</v>
      </c>
      <c r="H1397" s="3059" t="s">
        <v>3090</v>
      </c>
      <c r="I1397" s="3058" t="s">
        <v>3054</v>
      </c>
    </row>
    <row r="1398" spans="1:9">
      <c r="A1398" s="3059">
        <v>1608</v>
      </c>
      <c r="B1398" s="3062" t="s">
        <v>3092</v>
      </c>
      <c r="C1398" s="3062"/>
      <c r="D1398" s="3062" t="s">
        <v>3108</v>
      </c>
      <c r="E1398" s="3058">
        <v>9.4600000000000009</v>
      </c>
      <c r="F1398" s="3058">
        <v>100000</v>
      </c>
      <c r="G1398" s="3059">
        <v>100000</v>
      </c>
      <c r="H1398" s="3059" t="s">
        <v>3090</v>
      </c>
      <c r="I1398" s="3058" t="s">
        <v>3054</v>
      </c>
    </row>
    <row r="1399" spans="1:9">
      <c r="A1399" s="3059">
        <v>1609</v>
      </c>
      <c r="B1399" s="3062" t="s">
        <v>3092</v>
      </c>
      <c r="C1399" s="3062"/>
      <c r="D1399" s="3062" t="s">
        <v>3107</v>
      </c>
      <c r="E1399" s="3058">
        <v>12.72</v>
      </c>
      <c r="F1399" s="3058">
        <v>100000</v>
      </c>
      <c r="G1399" s="3059">
        <v>100000</v>
      </c>
      <c r="H1399" s="3059" t="s">
        <v>3090</v>
      </c>
      <c r="I1399" s="3058" t="s">
        <v>3054</v>
      </c>
    </row>
    <row r="1400" spans="1:9">
      <c r="A1400" s="3059">
        <v>1610</v>
      </c>
      <c r="B1400" s="3062" t="s">
        <v>3092</v>
      </c>
      <c r="C1400" s="3062"/>
      <c r="D1400" s="3062" t="s">
        <v>3106</v>
      </c>
      <c r="E1400" s="3058">
        <v>12.72</v>
      </c>
      <c r="F1400" s="3058">
        <v>100000</v>
      </c>
      <c r="G1400" s="3059">
        <v>100000</v>
      </c>
      <c r="H1400" s="3059" t="s">
        <v>3090</v>
      </c>
      <c r="I1400" s="3058" t="s">
        <v>3054</v>
      </c>
    </row>
    <row r="1401" spans="1:9">
      <c r="A1401" s="3059">
        <v>1611</v>
      </c>
      <c r="B1401" s="3062" t="s">
        <v>3092</v>
      </c>
      <c r="C1401" s="3062"/>
      <c r="D1401" s="3062" t="s">
        <v>3105</v>
      </c>
      <c r="E1401" s="3058">
        <v>12.72</v>
      </c>
      <c r="F1401" s="3058">
        <v>100000</v>
      </c>
      <c r="G1401" s="3059">
        <v>100000</v>
      </c>
      <c r="H1401" s="3059" t="s">
        <v>3090</v>
      </c>
      <c r="I1401" s="3058" t="s">
        <v>3054</v>
      </c>
    </row>
    <row r="1402" spans="1:9">
      <c r="A1402" s="3059">
        <v>1612</v>
      </c>
      <c r="B1402" s="3062" t="s">
        <v>3092</v>
      </c>
      <c r="C1402" s="3062"/>
      <c r="D1402" s="3062" t="s">
        <v>3104</v>
      </c>
      <c r="E1402" s="3058">
        <v>12.72</v>
      </c>
      <c r="F1402" s="3058">
        <v>100000</v>
      </c>
      <c r="G1402" s="3059">
        <v>100000</v>
      </c>
      <c r="H1402" s="3059" t="s">
        <v>3090</v>
      </c>
      <c r="I1402" s="3058" t="s">
        <v>3054</v>
      </c>
    </row>
    <row r="1403" spans="1:9">
      <c r="A1403" s="3059">
        <v>1613</v>
      </c>
      <c r="B1403" s="3062" t="s">
        <v>3092</v>
      </c>
      <c r="C1403" s="3062"/>
      <c r="D1403" s="3062" t="s">
        <v>3103</v>
      </c>
      <c r="E1403" s="3058">
        <v>12.72</v>
      </c>
      <c r="F1403" s="3058">
        <v>100000</v>
      </c>
      <c r="G1403" s="3059">
        <v>100000</v>
      </c>
      <c r="H1403" s="3059" t="s">
        <v>3090</v>
      </c>
      <c r="I1403" s="3058" t="s">
        <v>3054</v>
      </c>
    </row>
    <row r="1404" spans="1:9">
      <c r="A1404" s="3059">
        <v>1614</v>
      </c>
      <c r="B1404" s="3062" t="s">
        <v>3092</v>
      </c>
      <c r="C1404" s="3062"/>
      <c r="D1404" s="3062" t="s">
        <v>3102</v>
      </c>
      <c r="E1404" s="3058">
        <v>12.72</v>
      </c>
      <c r="F1404" s="3058">
        <v>100000</v>
      </c>
      <c r="G1404" s="3059">
        <v>100000</v>
      </c>
      <c r="H1404" s="3059" t="s">
        <v>3090</v>
      </c>
      <c r="I1404" s="3058" t="s">
        <v>3054</v>
      </c>
    </row>
    <row r="1405" spans="1:9">
      <c r="A1405" s="3059">
        <v>1615</v>
      </c>
      <c r="B1405" s="3062" t="s">
        <v>3092</v>
      </c>
      <c r="C1405" s="3062"/>
      <c r="D1405" s="3062" t="s">
        <v>3101</v>
      </c>
      <c r="E1405" s="3058">
        <v>12.72</v>
      </c>
      <c r="F1405" s="3058">
        <v>100000</v>
      </c>
      <c r="G1405" s="3059">
        <v>100000</v>
      </c>
      <c r="H1405" s="3059" t="s">
        <v>3090</v>
      </c>
      <c r="I1405" s="3058" t="s">
        <v>3054</v>
      </c>
    </row>
    <row r="1406" spans="1:9">
      <c r="A1406" s="3059">
        <v>1616</v>
      </c>
      <c r="B1406" s="3062" t="s">
        <v>3092</v>
      </c>
      <c r="C1406" s="3062"/>
      <c r="D1406" s="3062" t="s">
        <v>3100</v>
      </c>
      <c r="E1406" s="3058">
        <v>12.72</v>
      </c>
      <c r="F1406" s="3058">
        <v>100000</v>
      </c>
      <c r="G1406" s="3059">
        <v>100000</v>
      </c>
      <c r="H1406" s="3059" t="s">
        <v>3090</v>
      </c>
      <c r="I1406" s="3058" t="s">
        <v>3054</v>
      </c>
    </row>
    <row r="1407" spans="1:9">
      <c r="A1407" s="3059">
        <v>1617</v>
      </c>
      <c r="B1407" s="3062" t="s">
        <v>3092</v>
      </c>
      <c r="C1407" s="3062"/>
      <c r="D1407" s="3062" t="s">
        <v>3099</v>
      </c>
      <c r="E1407" s="3058">
        <v>12.72</v>
      </c>
      <c r="F1407" s="3058">
        <v>100000</v>
      </c>
      <c r="G1407" s="3059">
        <v>100000</v>
      </c>
      <c r="H1407" s="3059" t="s">
        <v>3090</v>
      </c>
      <c r="I1407" s="3058" t="s">
        <v>3054</v>
      </c>
    </row>
    <row r="1408" spans="1:9">
      <c r="A1408" s="3059">
        <v>1618</v>
      </c>
      <c r="B1408" s="3062" t="s">
        <v>3092</v>
      </c>
      <c r="C1408" s="3062"/>
      <c r="D1408" s="3062" t="s">
        <v>3098</v>
      </c>
      <c r="E1408" s="3058">
        <v>13.78</v>
      </c>
      <c r="F1408" s="3058">
        <v>100000</v>
      </c>
      <c r="G1408" s="3059">
        <v>100000</v>
      </c>
      <c r="H1408" s="3059" t="s">
        <v>3090</v>
      </c>
      <c r="I1408" s="3058" t="s">
        <v>3054</v>
      </c>
    </row>
    <row r="1409" spans="1:9">
      <c r="A1409" s="3059">
        <v>1619</v>
      </c>
      <c r="B1409" s="3062" t="s">
        <v>3092</v>
      </c>
      <c r="C1409" s="3062"/>
      <c r="D1409" s="3062" t="s">
        <v>3097</v>
      </c>
      <c r="E1409" s="3058">
        <v>12.72</v>
      </c>
      <c r="F1409" s="3058">
        <v>100000</v>
      </c>
      <c r="G1409" s="3059">
        <v>100000</v>
      </c>
      <c r="H1409" s="3059" t="s">
        <v>3090</v>
      </c>
      <c r="I1409" s="3058" t="s">
        <v>3054</v>
      </c>
    </row>
    <row r="1410" spans="1:9">
      <c r="A1410" s="3059">
        <v>1620</v>
      </c>
      <c r="B1410" s="3062" t="s">
        <v>3092</v>
      </c>
      <c r="C1410" s="3062"/>
      <c r="D1410" s="3062" t="s">
        <v>3096</v>
      </c>
      <c r="E1410" s="3058">
        <v>12.72</v>
      </c>
      <c r="F1410" s="3058">
        <v>100000</v>
      </c>
      <c r="G1410" s="3059">
        <v>100000</v>
      </c>
      <c r="H1410" s="3059" t="s">
        <v>3090</v>
      </c>
      <c r="I1410" s="3058" t="s">
        <v>3054</v>
      </c>
    </row>
    <row r="1411" spans="1:9">
      <c r="A1411" s="3059">
        <v>1621</v>
      </c>
      <c r="B1411" s="3062" t="s">
        <v>3092</v>
      </c>
      <c r="C1411" s="3062"/>
      <c r="D1411" s="3062" t="s">
        <v>3095</v>
      </c>
      <c r="E1411" s="3058">
        <v>12.72</v>
      </c>
      <c r="F1411" s="3058">
        <v>100000</v>
      </c>
      <c r="G1411" s="3059">
        <v>100000</v>
      </c>
      <c r="H1411" s="3059" t="s">
        <v>3090</v>
      </c>
      <c r="I1411" s="3058" t="s">
        <v>3054</v>
      </c>
    </row>
    <row r="1412" spans="1:9">
      <c r="A1412" s="3059">
        <v>1622</v>
      </c>
      <c r="B1412" s="3062" t="s">
        <v>3092</v>
      </c>
      <c r="C1412" s="3062"/>
      <c r="D1412" s="3062" t="s">
        <v>3094</v>
      </c>
      <c r="E1412" s="3058">
        <v>12.72</v>
      </c>
      <c r="F1412" s="3058">
        <v>100000</v>
      </c>
      <c r="G1412" s="3059">
        <v>100000</v>
      </c>
      <c r="H1412" s="3059" t="s">
        <v>3090</v>
      </c>
      <c r="I1412" s="3058" t="s">
        <v>3054</v>
      </c>
    </row>
    <row r="1413" spans="1:9">
      <c r="A1413" s="3059">
        <v>1623</v>
      </c>
      <c r="B1413" s="3062" t="s">
        <v>3092</v>
      </c>
      <c r="C1413" s="3062"/>
      <c r="D1413" s="3062" t="s">
        <v>3093</v>
      </c>
      <c r="E1413" s="3058">
        <v>9.4600000000000009</v>
      </c>
      <c r="F1413" s="3058">
        <v>100000</v>
      </c>
      <c r="G1413" s="3059">
        <v>100000</v>
      </c>
      <c r="H1413" s="3059" t="s">
        <v>3090</v>
      </c>
      <c r="I1413" s="3058" t="s">
        <v>3054</v>
      </c>
    </row>
    <row r="1414" spans="1:9">
      <c r="A1414" s="3059">
        <v>1624</v>
      </c>
      <c r="B1414" s="3062" t="s">
        <v>3092</v>
      </c>
      <c r="C1414" s="3062"/>
      <c r="D1414" s="3062" t="s">
        <v>3091</v>
      </c>
      <c r="E1414" s="3058">
        <v>13.78</v>
      </c>
      <c r="F1414" s="3058">
        <v>100000</v>
      </c>
      <c r="G1414" s="3059">
        <v>100000</v>
      </c>
      <c r="H1414" s="3059" t="s">
        <v>3090</v>
      </c>
      <c r="I1414" s="3058" t="s">
        <v>3054</v>
      </c>
    </row>
    <row r="1415" spans="1:9">
      <c r="E1415" s="3058">
        <f>SUM(E1:E1414)</f>
        <v>18146.759999999813</v>
      </c>
    </row>
  </sheetData>
  <phoneticPr fontId="141" type="noConversion"/>
  <pageMargins left="0.75" right="0.75" top="1" bottom="1" header="0.51180555555555551" footer="0.51180555555555551"/>
  <pageSetup paperSize="9" orientation="portrait" horizontalDpi="0" verticalDpi="0"/>
  <headerFooter scaleWithDoc="0"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N28" sqref="N28"/>
    </sheetView>
  </sheetViews>
  <sheetFormatPr defaultRowHeight="14.25"/>
  <cols>
    <col min="1" max="3" width="9" style="3058"/>
    <col min="4" max="4" width="16.125" style="3058" bestFit="1" customWidth="1"/>
    <col min="5" max="16384" width="9" style="3058"/>
  </cols>
  <sheetData>
    <row r="1" spans="1:10">
      <c r="A1" s="3059">
        <v>2193</v>
      </c>
      <c r="B1" s="3058" t="s">
        <v>4525</v>
      </c>
      <c r="D1" s="3058" t="s">
        <v>4536</v>
      </c>
      <c r="E1" s="3058">
        <v>102.63</v>
      </c>
      <c r="F1" s="3058">
        <v>25000</v>
      </c>
      <c r="G1" s="3059">
        <f t="shared" ref="G1:G24" si="0">E1*F1</f>
        <v>2565750</v>
      </c>
      <c r="H1" s="3059" t="s">
        <v>4509</v>
      </c>
      <c r="I1" s="3058" t="s">
        <v>3072</v>
      </c>
    </row>
    <row r="2" spans="1:10">
      <c r="A2" s="3059">
        <v>2194</v>
      </c>
      <c r="B2" s="3058" t="s">
        <v>4525</v>
      </c>
      <c r="D2" s="3058" t="s">
        <v>4535</v>
      </c>
      <c r="E2" s="3058">
        <v>133.86000000000001</v>
      </c>
      <c r="F2" s="3058">
        <v>25000</v>
      </c>
      <c r="G2" s="3059">
        <f t="shared" si="0"/>
        <v>3346500.0000000005</v>
      </c>
      <c r="H2" s="3059" t="s">
        <v>4509</v>
      </c>
      <c r="I2" s="3058" t="s">
        <v>3072</v>
      </c>
    </row>
    <row r="3" spans="1:10">
      <c r="A3" s="3059">
        <v>2195</v>
      </c>
      <c r="B3" s="3058" t="s">
        <v>4525</v>
      </c>
      <c r="D3" s="3058" t="s">
        <v>4534</v>
      </c>
      <c r="E3" s="3058">
        <v>128.37</v>
      </c>
      <c r="F3" s="3058">
        <v>25000</v>
      </c>
      <c r="G3" s="3059">
        <f t="shared" si="0"/>
        <v>3209250</v>
      </c>
      <c r="H3" s="3059" t="s">
        <v>4509</v>
      </c>
      <c r="I3" s="3058" t="s">
        <v>3072</v>
      </c>
    </row>
    <row r="4" spans="1:10">
      <c r="A4" s="3059">
        <v>2196</v>
      </c>
      <c r="B4" s="3058" t="s">
        <v>4525</v>
      </c>
      <c r="D4" s="3058" t="s">
        <v>4533</v>
      </c>
      <c r="E4" s="3058">
        <v>153.9</v>
      </c>
      <c r="F4" s="3058">
        <v>25000</v>
      </c>
      <c r="G4" s="3059">
        <f t="shared" si="0"/>
        <v>3847500</v>
      </c>
      <c r="H4" s="3059" t="s">
        <v>4509</v>
      </c>
      <c r="I4" s="3058" t="s">
        <v>3072</v>
      </c>
    </row>
    <row r="5" spans="1:10">
      <c r="A5" s="3059">
        <v>2197</v>
      </c>
      <c r="B5" s="3058" t="s">
        <v>4525</v>
      </c>
      <c r="D5" s="3058" t="s">
        <v>4532</v>
      </c>
      <c r="E5" s="3058">
        <v>57.74</v>
      </c>
      <c r="F5" s="3058">
        <v>25000</v>
      </c>
      <c r="G5" s="3059">
        <f t="shared" si="0"/>
        <v>1443500</v>
      </c>
      <c r="H5" s="3059" t="s">
        <v>4509</v>
      </c>
      <c r="I5" s="3058" t="s">
        <v>3072</v>
      </c>
    </row>
    <row r="6" spans="1:10">
      <c r="A6" s="3059">
        <v>2198</v>
      </c>
      <c r="B6" s="3058" t="s">
        <v>4525</v>
      </c>
      <c r="D6" s="3058" t="s">
        <v>4531</v>
      </c>
      <c r="E6" s="3058">
        <v>128.16999999999999</v>
      </c>
      <c r="F6" s="3058">
        <v>25000</v>
      </c>
      <c r="G6" s="3059">
        <f t="shared" si="0"/>
        <v>3204249.9999999995</v>
      </c>
      <c r="H6" s="3059" t="s">
        <v>4509</v>
      </c>
      <c r="I6" s="3058" t="s">
        <v>3072</v>
      </c>
    </row>
    <row r="7" spans="1:10">
      <c r="A7" s="3059">
        <v>2199</v>
      </c>
      <c r="B7" s="3058" t="s">
        <v>4525</v>
      </c>
      <c r="D7" s="3058" t="s">
        <v>4530</v>
      </c>
      <c r="E7" s="3058">
        <v>124.22</v>
      </c>
      <c r="F7" s="3058">
        <v>25000</v>
      </c>
      <c r="G7" s="3059">
        <f t="shared" si="0"/>
        <v>3105500</v>
      </c>
      <c r="H7" s="3059" t="s">
        <v>4509</v>
      </c>
      <c r="I7" s="3058" t="s">
        <v>3072</v>
      </c>
    </row>
    <row r="8" spans="1:10">
      <c r="A8" s="3059">
        <v>2200</v>
      </c>
      <c r="B8" s="3058" t="s">
        <v>4525</v>
      </c>
      <c r="D8" s="3058" t="s">
        <v>4529</v>
      </c>
      <c r="E8" s="3058">
        <v>124.22</v>
      </c>
      <c r="F8" s="3058">
        <v>25000</v>
      </c>
      <c r="G8" s="3059">
        <f t="shared" si="0"/>
        <v>3105500</v>
      </c>
      <c r="H8" s="3059" t="s">
        <v>4509</v>
      </c>
      <c r="I8" s="3058" t="s">
        <v>3072</v>
      </c>
    </row>
    <row r="9" spans="1:10">
      <c r="A9" s="3059">
        <v>2201</v>
      </c>
      <c r="B9" s="3058" t="s">
        <v>4525</v>
      </c>
      <c r="D9" s="3058" t="s">
        <v>4528</v>
      </c>
      <c r="E9" s="3058">
        <v>101.55</v>
      </c>
      <c r="F9" s="3058">
        <v>25000</v>
      </c>
      <c r="G9" s="3059">
        <f t="shared" si="0"/>
        <v>2538750</v>
      </c>
      <c r="H9" s="3059" t="s">
        <v>4509</v>
      </c>
      <c r="I9" s="3058" t="s">
        <v>3072</v>
      </c>
    </row>
    <row r="10" spans="1:10">
      <c r="A10" s="3059">
        <v>2202</v>
      </c>
      <c r="B10" s="3058" t="s">
        <v>4525</v>
      </c>
      <c r="D10" s="3058" t="s">
        <v>4527</v>
      </c>
      <c r="E10" s="3058">
        <v>99.17</v>
      </c>
      <c r="F10" s="3058">
        <v>25000</v>
      </c>
      <c r="G10" s="3059">
        <f t="shared" si="0"/>
        <v>2479250</v>
      </c>
      <c r="H10" s="3059" t="s">
        <v>4509</v>
      </c>
      <c r="I10" s="3058" t="s">
        <v>3072</v>
      </c>
    </row>
    <row r="11" spans="1:10">
      <c r="A11" s="3059">
        <v>2203</v>
      </c>
      <c r="B11" s="3058" t="s">
        <v>4525</v>
      </c>
      <c r="D11" s="3058" t="s">
        <v>4526</v>
      </c>
      <c r="E11" s="3058">
        <v>32.94</v>
      </c>
      <c r="F11" s="3058">
        <v>25000</v>
      </c>
      <c r="G11" s="3059">
        <f t="shared" si="0"/>
        <v>823500</v>
      </c>
      <c r="H11" s="3059" t="s">
        <v>4509</v>
      </c>
      <c r="I11" s="3058" t="s">
        <v>3072</v>
      </c>
    </row>
    <row r="12" spans="1:10">
      <c r="A12" s="3059">
        <v>2204</v>
      </c>
      <c r="B12" s="3058" t="s">
        <v>4525</v>
      </c>
      <c r="D12" s="3058" t="s">
        <v>4524</v>
      </c>
      <c r="E12" s="3058">
        <v>36</v>
      </c>
      <c r="F12" s="3058">
        <v>25000</v>
      </c>
      <c r="G12" s="3059">
        <f t="shared" si="0"/>
        <v>900000</v>
      </c>
      <c r="H12" s="3059" t="s">
        <v>4509</v>
      </c>
      <c r="I12" s="3058" t="s">
        <v>3072</v>
      </c>
      <c r="J12" s="3058">
        <f>SUM(E1:E12)</f>
        <v>1222.7700000000002</v>
      </c>
    </row>
    <row r="13" spans="1:10">
      <c r="A13" s="3059">
        <v>2205</v>
      </c>
      <c r="B13" s="3058" t="s">
        <v>4519</v>
      </c>
      <c r="D13" s="3058" t="s">
        <v>4523</v>
      </c>
      <c r="E13" s="3058">
        <v>297.01</v>
      </c>
      <c r="F13" s="3058">
        <v>25000</v>
      </c>
      <c r="G13" s="3059">
        <f t="shared" si="0"/>
        <v>7425250</v>
      </c>
      <c r="H13" s="3059" t="s">
        <v>4509</v>
      </c>
      <c r="I13" s="3058" t="s">
        <v>3072</v>
      </c>
    </row>
    <row r="14" spans="1:10">
      <c r="A14" s="3059">
        <v>2206</v>
      </c>
      <c r="B14" s="3058" t="s">
        <v>4519</v>
      </c>
      <c r="D14" s="3058" t="s">
        <v>4522</v>
      </c>
      <c r="E14" s="3058">
        <v>38.950000000000003</v>
      </c>
      <c r="F14" s="3058">
        <v>25000</v>
      </c>
      <c r="G14" s="3059">
        <f t="shared" si="0"/>
        <v>973750.00000000012</v>
      </c>
      <c r="H14" s="3059" t="s">
        <v>4509</v>
      </c>
      <c r="I14" s="3058" t="s">
        <v>3072</v>
      </c>
    </row>
    <row r="15" spans="1:10">
      <c r="A15" s="3059">
        <v>2207</v>
      </c>
      <c r="B15" s="3058" t="s">
        <v>4519</v>
      </c>
      <c r="D15" s="3058" t="s">
        <v>4521</v>
      </c>
      <c r="E15" s="3058">
        <v>38.950000000000003</v>
      </c>
      <c r="F15" s="3058">
        <v>25000</v>
      </c>
      <c r="G15" s="3059">
        <f t="shared" si="0"/>
        <v>973750.00000000012</v>
      </c>
      <c r="H15" s="3059" t="s">
        <v>4509</v>
      </c>
      <c r="I15" s="3058" t="s">
        <v>3072</v>
      </c>
    </row>
    <row r="16" spans="1:10">
      <c r="A16" s="3059">
        <v>2208</v>
      </c>
      <c r="B16" s="3058" t="s">
        <v>4519</v>
      </c>
      <c r="D16" s="3058" t="s">
        <v>4520</v>
      </c>
      <c r="E16" s="3058">
        <v>88.56</v>
      </c>
      <c r="F16" s="3058">
        <v>25000</v>
      </c>
      <c r="G16" s="3059">
        <f t="shared" si="0"/>
        <v>2214000</v>
      </c>
      <c r="H16" s="3059" t="s">
        <v>4509</v>
      </c>
      <c r="I16" s="3058" t="s">
        <v>3072</v>
      </c>
    </row>
    <row r="17" spans="1:10">
      <c r="A17" s="3059">
        <v>2209</v>
      </c>
      <c r="B17" s="3058" t="s">
        <v>4519</v>
      </c>
      <c r="D17" s="3058" t="s">
        <v>4518</v>
      </c>
      <c r="E17" s="3058">
        <v>120.31</v>
      </c>
      <c r="F17" s="3058">
        <v>25000</v>
      </c>
      <c r="G17" s="3059">
        <f t="shared" si="0"/>
        <v>3007750</v>
      </c>
      <c r="H17" s="3059" t="s">
        <v>4509</v>
      </c>
      <c r="I17" s="3058" t="s">
        <v>3072</v>
      </c>
      <c r="J17" s="3058">
        <f>SUM(E13:E17)</f>
        <v>583.78</v>
      </c>
    </row>
    <row r="18" spans="1:10">
      <c r="A18" s="3059">
        <v>2210</v>
      </c>
      <c r="B18" s="3058" t="s">
        <v>4511</v>
      </c>
      <c r="D18" s="3058" t="s">
        <v>4517</v>
      </c>
      <c r="E18" s="3058">
        <v>120.99</v>
      </c>
      <c r="F18" s="3058">
        <v>25000</v>
      </c>
      <c r="G18" s="3059">
        <f t="shared" si="0"/>
        <v>3024750</v>
      </c>
      <c r="H18" s="3059" t="s">
        <v>4509</v>
      </c>
      <c r="I18" s="3058" t="s">
        <v>3072</v>
      </c>
    </row>
    <row r="19" spans="1:10">
      <c r="A19" s="3059">
        <v>2211</v>
      </c>
      <c r="B19" s="3058" t="s">
        <v>4511</v>
      </c>
      <c r="D19" s="3058" t="s">
        <v>4516</v>
      </c>
      <c r="E19" s="3058">
        <v>255.33</v>
      </c>
      <c r="F19" s="3058">
        <v>25000</v>
      </c>
      <c r="G19" s="3059">
        <f t="shared" si="0"/>
        <v>6383250</v>
      </c>
      <c r="H19" s="3059" t="s">
        <v>4509</v>
      </c>
      <c r="I19" s="3058" t="s">
        <v>3072</v>
      </c>
    </row>
    <row r="20" spans="1:10">
      <c r="A20" s="3059">
        <v>2212</v>
      </c>
      <c r="B20" s="3058" t="s">
        <v>4511</v>
      </c>
      <c r="D20" s="3058" t="s">
        <v>4515</v>
      </c>
      <c r="E20" s="3058">
        <v>23.49</v>
      </c>
      <c r="F20" s="3058">
        <v>25000</v>
      </c>
      <c r="G20" s="3059">
        <f t="shared" si="0"/>
        <v>587250</v>
      </c>
      <c r="H20" s="3059" t="s">
        <v>4509</v>
      </c>
      <c r="I20" s="3058" t="s">
        <v>3072</v>
      </c>
    </row>
    <row r="21" spans="1:10">
      <c r="A21" s="3059">
        <v>2213</v>
      </c>
      <c r="B21" s="3058" t="s">
        <v>4511</v>
      </c>
      <c r="D21" s="3058" t="s">
        <v>4514</v>
      </c>
      <c r="E21" s="3058">
        <v>23.49</v>
      </c>
      <c r="F21" s="3058">
        <v>25000</v>
      </c>
      <c r="G21" s="3059">
        <f t="shared" si="0"/>
        <v>587250</v>
      </c>
      <c r="H21" s="3059" t="s">
        <v>4509</v>
      </c>
      <c r="I21" s="3058" t="s">
        <v>3072</v>
      </c>
    </row>
    <row r="22" spans="1:10">
      <c r="A22" s="3059">
        <v>2214</v>
      </c>
      <c r="B22" s="3058" t="s">
        <v>4511</v>
      </c>
      <c r="D22" s="3058" t="s">
        <v>4513</v>
      </c>
      <c r="E22" s="3058">
        <v>23.49</v>
      </c>
      <c r="F22" s="3058">
        <v>25000</v>
      </c>
      <c r="G22" s="3059">
        <f t="shared" si="0"/>
        <v>587250</v>
      </c>
      <c r="H22" s="3059" t="s">
        <v>4509</v>
      </c>
      <c r="I22" s="3058" t="s">
        <v>3072</v>
      </c>
    </row>
    <row r="23" spans="1:10">
      <c r="A23" s="3059">
        <v>2215</v>
      </c>
      <c r="B23" s="3058" t="s">
        <v>4511</v>
      </c>
      <c r="D23" s="3058" t="s">
        <v>4512</v>
      </c>
      <c r="E23" s="3058">
        <v>219.74</v>
      </c>
      <c r="F23" s="3058">
        <v>25000</v>
      </c>
      <c r="G23" s="3059">
        <f t="shared" si="0"/>
        <v>5493500</v>
      </c>
      <c r="H23" s="3059" t="s">
        <v>4509</v>
      </c>
      <c r="I23" s="3058" t="s">
        <v>3072</v>
      </c>
    </row>
    <row r="24" spans="1:10">
      <c r="A24" s="3059">
        <v>2216</v>
      </c>
      <c r="B24" s="3058" t="s">
        <v>4511</v>
      </c>
      <c r="D24" s="3058" t="s">
        <v>4510</v>
      </c>
      <c r="E24" s="3058">
        <v>17.73</v>
      </c>
      <c r="F24" s="3058">
        <v>25000</v>
      </c>
      <c r="G24" s="3059">
        <f t="shared" si="0"/>
        <v>443250</v>
      </c>
      <c r="H24" s="3059" t="s">
        <v>4509</v>
      </c>
      <c r="I24" s="3058" t="s">
        <v>3072</v>
      </c>
      <c r="J24" s="3058">
        <f>SUM(E18:E24)</f>
        <v>684.26</v>
      </c>
    </row>
  </sheetData>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7" sqref="E17:I17"/>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2" customWidth="1"/>
    <col min="12" max="13" width="10" style="2853"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7" t="s">
        <v>2913</v>
      </c>
      <c r="B1" s="3150" t="str">
        <f>IF(B10="北京市","北京市",C10)&amp;F10&amp;IF(结果表!G1="在建","出让国有建设用地使用权及在建建筑物",IF(结果表!G1="土地","出让国有建设用地使用权",))&amp;B9&amp;"预评估"</f>
        <v>预评估</v>
      </c>
      <c r="C1" s="3151"/>
      <c r="D1" s="3151"/>
      <c r="E1" s="3151"/>
      <c r="F1" s="3151"/>
      <c r="G1" s="3151"/>
      <c r="H1" s="3151"/>
      <c r="I1" s="3152"/>
      <c r="J1" s="2694"/>
      <c r="K1" s="2589"/>
      <c r="L1" s="2590"/>
      <c r="M1" s="2590"/>
      <c r="N1" s="2591"/>
      <c r="O1" s="1760"/>
      <c r="P1" s="2591"/>
      <c r="Q1" s="2591"/>
      <c r="R1" s="2591"/>
      <c r="S1" s="1867" t="str">
        <f>IF(B10="北京市","北京市",C10)&amp;F10&amp;IF(结果表!G1="在建","出让国有建设用地使用权及在建建筑物房地产抵押价值",IF(结果表!G1="土地","出让国有建设用地使用权抵押价值",B9))</f>
        <v/>
      </c>
      <c r="T1" s="1930"/>
      <c r="U1" s="1930"/>
      <c r="V1" s="1930"/>
      <c r="W1" s="1930"/>
      <c r="X1" s="1930"/>
      <c r="Y1" s="1930"/>
      <c r="Z1" s="1930"/>
      <c r="AA1" s="1930"/>
      <c r="AB1" s="1930"/>
    </row>
    <row r="2" spans="1:28">
      <c r="A2" s="2588" t="s">
        <v>2914</v>
      </c>
      <c r="B2" s="2592"/>
      <c r="C2" s="2593"/>
      <c r="D2" s="2896"/>
      <c r="E2" s="2886"/>
      <c r="F2" s="2886"/>
      <c r="G2" s="2887"/>
      <c r="H2" s="2887"/>
      <c r="I2" s="2887"/>
      <c r="J2" s="2694"/>
      <c r="K2" s="2589"/>
      <c r="L2" s="2590"/>
      <c r="M2" s="2590"/>
      <c r="N2" s="2591"/>
      <c r="O2" s="1760"/>
      <c r="P2" s="2591"/>
      <c r="Q2" s="2591"/>
      <c r="R2" s="2591"/>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7" t="s">
        <v>2915</v>
      </c>
      <c r="B3" s="2594">
        <v>44478</v>
      </c>
      <c r="C3" s="2595" t="s">
        <v>2916</v>
      </c>
      <c r="D3" s="2594">
        <f>B3</f>
        <v>44478</v>
      </c>
      <c r="E3" s="2887"/>
      <c r="F3" s="2887"/>
      <c r="G3" s="2887"/>
      <c r="H3" s="2887"/>
      <c r="I3" s="2887"/>
      <c r="J3" s="2694"/>
      <c r="K3" s="2589"/>
      <c r="L3" s="2590"/>
      <c r="M3" s="2590"/>
      <c r="N3" s="2591"/>
      <c r="O3" s="1760"/>
      <c r="P3" s="2591"/>
      <c r="Q3" s="2591"/>
      <c r="R3" s="2591"/>
      <c r="S3" s="1867"/>
      <c r="T3" s="1930"/>
      <c r="U3" s="1930"/>
      <c r="V3" s="1930"/>
      <c r="W3" s="1930"/>
      <c r="X3" s="1930"/>
      <c r="Y3" s="1930"/>
      <c r="Z3" s="1930"/>
      <c r="AA3" s="1930"/>
      <c r="AB3" s="1930"/>
    </row>
    <row r="4" spans="1:28" ht="13.5" thickBot="1">
      <c r="A4" s="1249" t="s">
        <v>2917</v>
      </c>
      <c r="B4" s="2596"/>
      <c r="C4" s="2597">
        <f>SUMIF(注册房地产估价师,B4,估价师及机构信息!B3:B24)</f>
        <v>0</v>
      </c>
      <c r="D4" s="2596"/>
      <c r="E4" s="2598">
        <f>SUMIF(注册房地产估价师,D4,估价师及机构信息!B3:B24)</f>
        <v>0</v>
      </c>
      <c r="F4" s="2596"/>
      <c r="G4" s="2598">
        <f>SUMIF(注册房地产估价师,F4,估价师及机构信息!B3:B24)</f>
        <v>0</v>
      </c>
      <c r="H4" s="2596"/>
      <c r="I4" s="2598">
        <f>SUMIF(注册房地产估价师,H4,估价师及机构信息!B3:B24)</f>
        <v>0</v>
      </c>
      <c r="J4" s="2662"/>
      <c r="K4" s="2599" t="str">
        <f>CONCATENATE(B4,"（注册号：",C4,")、",D4,"（注册号：",E4,")")</f>
        <v>（注册号：0)、（注册号：0)</v>
      </c>
      <c r="L4" s="2590"/>
      <c r="M4" s="2590"/>
      <c r="N4" s="2591"/>
      <c r="O4" s="1760"/>
      <c r="P4" s="2591"/>
      <c r="Q4" s="2591"/>
      <c r="R4" s="2591"/>
      <c r="S4" s="1867"/>
      <c r="T4" s="1930"/>
      <c r="U4" s="1930"/>
      <c r="V4" s="1930"/>
      <c r="W4" s="1930"/>
      <c r="X4" s="1930"/>
      <c r="Y4" s="1930"/>
      <c r="Z4" s="1930"/>
      <c r="AA4" s="1930"/>
      <c r="AB4" s="1930"/>
    </row>
    <row r="5" spans="1:28" ht="13.5" thickTop="1">
      <c r="A5" s="2600" t="s">
        <v>2918</v>
      </c>
      <c r="B5" s="2601"/>
      <c r="C5" s="2602"/>
      <c r="D5" s="2603"/>
      <c r="E5" s="2888"/>
      <c r="F5" s="2888"/>
      <c r="G5" s="2888"/>
      <c r="H5" s="2888"/>
      <c r="I5" s="2888"/>
      <c r="J5" s="2662"/>
      <c r="K5" s="2599" t="str">
        <f>IF(F4="——","",IF(H4="——",F4&amp;"（注册号："&amp;G4&amp;")",CONCATENATE(F4,"（注册号：",G4,")、",H4,"（注册号：",I4,")")))</f>
        <v>（注册号：0)、（注册号：0)</v>
      </c>
      <c r="L5" s="2590"/>
      <c r="M5" s="2590"/>
      <c r="N5" s="2591"/>
      <c r="O5" s="1760"/>
      <c r="P5" s="2591"/>
      <c r="Q5" s="2591"/>
      <c r="R5" s="2591"/>
      <c r="S5" s="1930"/>
      <c r="T5" s="1930"/>
      <c r="U5" s="1930"/>
      <c r="V5" s="1930"/>
      <c r="W5" s="1930"/>
      <c r="X5" s="1930"/>
      <c r="Y5" s="1930"/>
      <c r="Z5" s="1930"/>
      <c r="AA5" s="1930"/>
      <c r="AB5" s="1930"/>
    </row>
    <row r="6" spans="1:28">
      <c r="A6" s="2604" t="s">
        <v>2919</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2920</v>
      </c>
      <c r="B7" s="2608"/>
      <c r="C7" s="2606"/>
      <c r="D7" s="2607"/>
      <c r="E7" s="2886"/>
      <c r="F7" s="2888"/>
      <c r="G7" s="2888"/>
      <c r="H7" s="2888"/>
      <c r="I7" s="2888"/>
      <c r="J7" s="2662"/>
      <c r="K7" s="2839"/>
      <c r="L7" s="2836"/>
      <c r="M7" s="2836"/>
      <c r="N7" s="2662"/>
      <c r="O7" s="2673"/>
      <c r="P7" s="2662"/>
      <c r="Q7" s="2662"/>
      <c r="R7" s="2662"/>
    </row>
    <row r="8" spans="1:28">
      <c r="A8" s="2609" t="s">
        <v>2921</v>
      </c>
      <c r="B8" s="2610"/>
      <c r="C8" s="2611"/>
      <c r="D8" s="3153" t="s">
        <v>2922</v>
      </c>
      <c r="E8" s="2612"/>
      <c r="F8" s="2613"/>
      <c r="G8" s="2887"/>
      <c r="H8" s="2887"/>
      <c r="I8" s="2887"/>
      <c r="J8" s="2662"/>
      <c r="K8" s="2837"/>
      <c r="L8" s="2836"/>
      <c r="M8" s="2836"/>
      <c r="N8" s="2662"/>
      <c r="O8" s="2673"/>
      <c r="P8" s="2662"/>
      <c r="Q8" s="2662"/>
      <c r="R8" s="2662"/>
    </row>
    <row r="9" spans="1:28" ht="13.5" thickBot="1">
      <c r="A9" s="2614" t="s">
        <v>2923</v>
      </c>
      <c r="B9" s="2615"/>
      <c r="C9" s="2616"/>
      <c r="D9" s="3154"/>
      <c r="E9" s="2615"/>
      <c r="F9" s="2617"/>
      <c r="G9" s="2889"/>
      <c r="H9" s="2889"/>
      <c r="I9" s="2889"/>
      <c r="J9" s="2662"/>
      <c r="K9" s="2839"/>
      <c r="L9" s="2836"/>
      <c r="M9" s="2836"/>
      <c r="N9" s="2662"/>
      <c r="O9" s="2673"/>
      <c r="P9" s="2662"/>
      <c r="Q9" s="2662"/>
      <c r="R9" s="2662"/>
    </row>
    <row r="10" spans="1:28" ht="13.5" thickTop="1">
      <c r="A10" s="2618" t="s">
        <v>2924</v>
      </c>
      <c r="B10" s="2619"/>
      <c r="C10" s="2620"/>
      <c r="D10" s="2603"/>
      <c r="E10" s="2621" t="s">
        <v>2925</v>
      </c>
      <c r="F10" s="2890"/>
      <c r="G10" s="2891"/>
      <c r="H10" s="2892"/>
      <c r="I10" s="2893"/>
      <c r="J10" s="2662"/>
      <c r="K10" s="2839"/>
      <c r="L10" s="2836"/>
      <c r="M10" s="2836"/>
      <c r="N10" s="2662"/>
      <c r="O10" s="2673"/>
      <c r="P10" s="2662"/>
      <c r="Q10" s="2662"/>
      <c r="R10" s="2662"/>
    </row>
    <row r="11" spans="1:28">
      <c r="A11" s="2622" t="s">
        <v>2926</v>
      </c>
      <c r="B11" s="2623"/>
      <c r="C11" s="2624"/>
      <c r="D11" s="2625"/>
      <c r="E11" s="2591"/>
      <c r="F11" s="2591"/>
      <c r="G11" s="2591"/>
      <c r="H11" s="2591"/>
      <c r="I11" s="2591"/>
      <c r="J11" s="2662"/>
      <c r="K11" s="2839"/>
      <c r="L11" s="2836"/>
      <c r="M11" s="2836"/>
      <c r="N11" s="2662"/>
      <c r="O11" s="2673"/>
      <c r="P11" s="2662"/>
      <c r="Q11" s="2662"/>
      <c r="R11" s="2662"/>
    </row>
    <row r="12" spans="1:28">
      <c r="A12" s="2626" t="s">
        <v>2927</v>
      </c>
      <c r="B12" s="2623" t="s">
        <v>4537</v>
      </c>
      <c r="C12" s="328" t="s">
        <v>2928</v>
      </c>
      <c r="D12" s="2627" t="s">
        <v>2929</v>
      </c>
      <c r="E12" s="2627" t="s">
        <v>2930</v>
      </c>
      <c r="F12" s="2627" t="s">
        <v>2931</v>
      </c>
      <c r="G12" s="2627" t="s">
        <v>2932</v>
      </c>
      <c r="H12" s="2627" t="s">
        <v>2933</v>
      </c>
      <c r="I12" s="2627" t="s">
        <v>2934</v>
      </c>
      <c r="J12" s="2662"/>
      <c r="K12" s="2839"/>
      <c r="L12" s="2836"/>
      <c r="M12" s="2836"/>
      <c r="N12" s="2662"/>
      <c r="O12" s="2673"/>
      <c r="P12" s="2662"/>
      <c r="Q12" s="2662"/>
      <c r="R12" s="2662"/>
    </row>
    <row r="13" spans="1:28">
      <c r="A13" s="1240"/>
      <c r="B13" s="2628"/>
      <c r="C13" s="2629" t="s">
        <v>2935</v>
      </c>
      <c r="D13" s="964">
        <v>69560</v>
      </c>
      <c r="E13" s="964">
        <v>58603</v>
      </c>
      <c r="F13" s="964"/>
      <c r="G13" s="964">
        <v>62255</v>
      </c>
      <c r="H13" s="964"/>
      <c r="I13" s="964"/>
      <c r="J13" s="2662"/>
      <c r="K13" s="2839"/>
      <c r="L13" s="2836"/>
      <c r="M13" s="2836"/>
      <c r="N13" s="2662"/>
      <c r="O13" s="2673"/>
      <c r="P13" s="2662"/>
      <c r="Q13" s="2662"/>
      <c r="R13" s="2662"/>
    </row>
    <row r="14" spans="1:28">
      <c r="A14" s="1240"/>
      <c r="B14" s="2628"/>
      <c r="C14" s="2629" t="s">
        <v>2936</v>
      </c>
      <c r="D14" s="2630">
        <v>70</v>
      </c>
      <c r="E14" s="2630">
        <v>40</v>
      </c>
      <c r="F14" s="2630"/>
      <c r="G14" s="2630">
        <v>50</v>
      </c>
      <c r="H14" s="2630"/>
      <c r="I14" s="2630"/>
      <c r="J14" s="2662"/>
      <c r="K14" s="2840"/>
      <c r="L14" s="2836"/>
      <c r="M14" s="2836"/>
      <c r="N14" s="2662"/>
      <c r="O14" s="2673"/>
      <c r="P14" s="2662"/>
      <c r="Q14" s="2662"/>
      <c r="R14" s="2662"/>
    </row>
    <row r="15" spans="1:28">
      <c r="A15" s="325"/>
      <c r="B15" s="2631"/>
      <c r="C15" s="2632" t="s">
        <v>2937</v>
      </c>
      <c r="D15" s="2633">
        <f>IF(B12="出让",IF(D13="","",ROUNDDOWN(MIN((D13-$D$3)/365,D14),2)),D14)</f>
        <v>68.709999999999994</v>
      </c>
      <c r="E15" s="2633">
        <f>IF(B12="出让",IF(E13="","",ROUNDDOWN(MIN((E13-$D$3)/365,E14),2)),E14)</f>
        <v>38.69</v>
      </c>
      <c r="F15" s="2633" t="str">
        <f>IF(B12="出让",IF(F13="","",ROUNDDOWN(MIN((F13-$D$3)/365,F14),2)),F14)</f>
        <v/>
      </c>
      <c r="G15" s="2633">
        <f>IF(B12="出让",IF(G13="","",ROUNDDOWN(MIN((G13-$D$3)/365,G14),2)),G14)</f>
        <v>48.7</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1" t="s">
        <v>2938</v>
      </c>
      <c r="B16" s="3160"/>
      <c r="C16" s="3161"/>
      <c r="D16" s="3162"/>
      <c r="E16" s="2636" t="s">
        <v>2939</v>
      </c>
      <c r="F16" s="3163" t="s">
        <v>4743</v>
      </c>
      <c r="G16" s="3164"/>
      <c r="H16" s="3164"/>
      <c r="I16" s="3165"/>
      <c r="J16" s="2662"/>
      <c r="K16" s="2841"/>
      <c r="L16" s="2674"/>
      <c r="M16" s="2674"/>
      <c r="N16" s="2732"/>
      <c r="O16" s="2674"/>
      <c r="P16" s="2732"/>
      <c r="Q16" s="2662"/>
      <c r="R16" s="2662"/>
    </row>
    <row r="17" spans="1:28">
      <c r="A17" s="318" t="s">
        <v>2940</v>
      </c>
      <c r="B17" s="307" t="s">
        <v>2941</v>
      </c>
      <c r="C17" s="11">
        <f>'数据-汇总表'!E3</f>
        <v>117964.09999999983</v>
      </c>
      <c r="D17" s="2542" t="s">
        <v>2942</v>
      </c>
      <c r="E17" s="3166" t="s">
        <v>2943</v>
      </c>
      <c r="F17" s="3167"/>
      <c r="G17" s="3167"/>
      <c r="H17" s="3167"/>
      <c r="I17" s="3168"/>
      <c r="J17" s="2662"/>
      <c r="K17" s="2842"/>
      <c r="L17" s="2674"/>
      <c r="M17" s="2674"/>
      <c r="N17" s="2732"/>
      <c r="O17" s="2674"/>
      <c r="P17" s="2732"/>
      <c r="Q17" s="2662"/>
      <c r="R17" s="2662"/>
      <c r="S17" s="2662"/>
      <c r="T17" s="2662"/>
      <c r="U17" s="2662"/>
      <c r="V17" s="2662"/>
    </row>
    <row r="18" spans="1:28" ht="24.75" thickBot="1">
      <c r="A18" s="2637" t="s">
        <v>2944</v>
      </c>
      <c r="B18" s="1249" t="s">
        <v>2945</v>
      </c>
      <c r="C18" s="2638">
        <f>'数据-汇总表'!D3</f>
        <v>42598.89</v>
      </c>
      <c r="D18" s="1251" t="s">
        <v>2946</v>
      </c>
      <c r="E18" s="3169" t="s">
        <v>2947</v>
      </c>
      <c r="F18" s="3170"/>
      <c r="G18" s="3170"/>
      <c r="H18" s="3170"/>
      <c r="I18" s="3171"/>
      <c r="J18" s="2662"/>
      <c r="K18" s="2842"/>
      <c r="L18" s="2674"/>
      <c r="M18" s="2674"/>
      <c r="N18" s="2732"/>
      <c r="O18" s="2674"/>
      <c r="P18" s="2732"/>
      <c r="Q18" s="2662"/>
      <c r="R18" s="2662"/>
      <c r="S18" s="2662"/>
      <c r="T18" s="2662"/>
      <c r="U18" s="2662"/>
      <c r="V18" s="2662"/>
    </row>
    <row r="19" spans="1:28" ht="37.5" thickTop="1" thickBot="1">
      <c r="A19" s="332" t="s">
        <v>1741</v>
      </c>
      <c r="B19" s="312" t="s">
        <v>2948</v>
      </c>
      <c r="C19" s="1747"/>
      <c r="D19" s="1748" t="s">
        <v>2949</v>
      </c>
      <c r="E19" s="1749"/>
      <c r="F19" s="1750" t="str">
        <f>IF(AND(C19="是",E19="否"),"是否提供他项权证或相关说明","")</f>
        <v/>
      </c>
      <c r="G19" s="1751"/>
      <c r="H19" s="2888"/>
      <c r="I19" s="2888"/>
      <c r="J19" s="2662"/>
      <c r="K19" s="2839"/>
      <c r="L19" s="2836"/>
      <c r="M19" s="2836"/>
      <c r="N19" s="2732"/>
      <c r="O19" s="2674"/>
      <c r="P19" s="2732"/>
      <c r="Q19" s="2662"/>
      <c r="R19" s="2662"/>
      <c r="S19" s="2662"/>
      <c r="T19" s="2662"/>
      <c r="U19" s="2662"/>
      <c r="V19" s="2662"/>
    </row>
    <row r="20" spans="1:28">
      <c r="A20" s="2856" t="s">
        <v>2950</v>
      </c>
      <c r="B20" s="3156" t="s">
        <v>2951</v>
      </c>
      <c r="C20" s="3157"/>
      <c r="D20" s="3158" t="s">
        <v>2952</v>
      </c>
      <c r="E20" s="3159"/>
      <c r="F20" s="2871" t="s">
        <v>1742</v>
      </c>
      <c r="G20" s="2888"/>
      <c r="H20" s="2888"/>
      <c r="I20" s="2888"/>
      <c r="J20" s="2662"/>
      <c r="K20" s="3155"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30"/>
      <c r="X20" s="1930"/>
      <c r="Y20" s="1930"/>
      <c r="Z20" s="1930"/>
      <c r="AA20" s="1930"/>
      <c r="AB20" s="1930"/>
    </row>
    <row r="21" spans="1:28" ht="24.75" thickBot="1">
      <c r="A21" s="2856"/>
      <c r="B21" s="2857" t="s">
        <v>2954</v>
      </c>
      <c r="C21" s="2858" t="s">
        <v>1743</v>
      </c>
      <c r="D21" s="1752" t="s">
        <v>2955</v>
      </c>
      <c r="E21" s="2859" t="s">
        <v>1743</v>
      </c>
      <c r="F21" s="2872"/>
      <c r="G21" s="2888"/>
      <c r="H21" s="2888"/>
      <c r="I21" s="2888"/>
      <c r="J21" s="2662"/>
      <c r="K21" s="3155"/>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30"/>
      <c r="X21" s="1930"/>
      <c r="Y21" s="1930"/>
      <c r="Z21" s="1930"/>
      <c r="AA21" s="1930"/>
      <c r="AB21" s="1930"/>
    </row>
    <row r="22" spans="1:28" ht="24.75" thickBot="1">
      <c r="A22" s="2856"/>
      <c r="B22" s="2860" t="s">
        <v>2956</v>
      </c>
      <c r="C22" s="2858" t="s">
        <v>1744</v>
      </c>
      <c r="D22" s="2887"/>
      <c r="E22" s="2887"/>
      <c r="F22" s="2887"/>
      <c r="G22" s="2888"/>
      <c r="H22" s="2888"/>
      <c r="I22" s="2888"/>
      <c r="J22" s="2662"/>
      <c r="K22" s="3155"/>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30"/>
      <c r="X22" s="1930"/>
      <c r="Y22" s="1930"/>
      <c r="Z22" s="1930"/>
      <c r="AA22" s="1930"/>
      <c r="AB22" s="1930"/>
    </row>
    <row r="23" spans="1:28">
      <c r="A23" s="2861" t="s">
        <v>2957</v>
      </c>
      <c r="B23" s="2725" t="s">
        <v>2958</v>
      </c>
      <c r="C23" s="2862"/>
      <c r="D23" s="2863" t="s">
        <v>2958</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43" t="s">
        <v>2959</v>
      </c>
      <c r="B27" s="325" t="s">
        <v>2960</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143"/>
      <c r="B28" s="307" t="s">
        <v>2961</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43"/>
      <c r="B29" s="307" t="s">
        <v>2962</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44"/>
      <c r="B30" s="307" t="s">
        <v>2963</v>
      </c>
      <c r="C30" s="3145"/>
      <c r="D30" s="3146"/>
      <c r="E30" s="2888"/>
      <c r="F30" s="2888"/>
      <c r="G30" s="2888"/>
      <c r="H30" s="2888"/>
      <c r="I30" s="2888"/>
      <c r="J30" s="2662"/>
      <c r="K30" s="2839"/>
      <c r="L30" s="2836"/>
      <c r="M30" s="2836"/>
      <c r="N30" s="2662"/>
      <c r="O30" s="2673"/>
      <c r="P30" s="2662"/>
      <c r="Q30" s="2662"/>
      <c r="R30" s="2662"/>
      <c r="S30" s="2662"/>
      <c r="T30" s="2662"/>
      <c r="U30" s="2662"/>
      <c r="V30" s="2662"/>
    </row>
    <row r="31" spans="1:28">
      <c r="A31" s="3147" t="s">
        <v>2964</v>
      </c>
      <c r="B31" s="2645"/>
      <c r="C31" s="2543" t="str">
        <f>IF(B31="现房","成新及维护状况正常否",IF(B31="在建","工程状态是否正常",IF(B31="土地","是否闲置","-")))</f>
        <v>-</v>
      </c>
      <c r="D31" s="1556"/>
      <c r="E31" s="2646"/>
      <c r="F31" s="2888"/>
      <c r="G31" s="2888"/>
      <c r="H31" s="2888"/>
      <c r="I31" s="2888"/>
      <c r="J31" s="2662"/>
      <c r="K31" s="2838"/>
      <c r="L31" s="2836"/>
      <c r="M31" s="2836"/>
      <c r="N31" s="2662"/>
      <c r="O31" s="2673"/>
      <c r="P31" s="2662"/>
      <c r="Q31" s="2662"/>
      <c r="R31" s="2662"/>
      <c r="S31" s="2662"/>
      <c r="T31" s="2662"/>
      <c r="U31" s="2662"/>
      <c r="V31" s="2662"/>
    </row>
    <row r="32" spans="1:28">
      <c r="A32" s="3148"/>
      <c r="B32" s="2645"/>
      <c r="C32" s="2543" t="str">
        <f>IF(B32="现房","成新及维护状况是否正常",IF(B32="在建","工程状态是否正常",IF(B32="土地","是否闲置","-")))</f>
        <v>-</v>
      </c>
      <c r="D32" s="1556"/>
      <c r="E32" s="2646"/>
      <c r="F32" s="2888"/>
      <c r="G32" s="2888"/>
      <c r="H32" s="2888"/>
      <c r="I32" s="2888"/>
      <c r="J32" s="2662"/>
      <c r="K32" s="2839"/>
      <c r="L32" s="2836"/>
      <c r="M32" s="2836"/>
      <c r="N32" s="2662"/>
      <c r="O32" s="2673"/>
      <c r="P32" s="2662"/>
      <c r="Q32" s="2662"/>
      <c r="R32" s="2662"/>
      <c r="S32" s="2662"/>
      <c r="T32" s="2662"/>
      <c r="U32" s="2662"/>
      <c r="V32" s="2662"/>
    </row>
    <row r="33" spans="1:30">
      <c r="A33" s="3148"/>
      <c r="B33" s="2648"/>
      <c r="C33" s="1774" t="str">
        <f>IF(B33="现房","成新及维护状况是否正常",IF(B33="在建","工程状态是否正常",IF(B33="土地","是否闲置","-")))</f>
        <v>-</v>
      </c>
      <c r="D33" s="1548"/>
      <c r="E33" s="2649"/>
      <c r="F33" s="2888"/>
      <c r="G33" s="2888"/>
      <c r="H33" s="2888"/>
      <c r="I33" s="2888"/>
      <c r="J33" s="2662"/>
      <c r="K33" s="2839"/>
      <c r="L33" s="2836"/>
      <c r="M33" s="2836"/>
      <c r="N33" s="2662"/>
      <c r="O33" s="2673"/>
      <c r="P33" s="2662"/>
      <c r="Q33" s="2662"/>
      <c r="R33" s="2662"/>
      <c r="S33" s="2662"/>
      <c r="T33" s="2662"/>
      <c r="U33" s="2662"/>
      <c r="V33" s="2662"/>
    </row>
    <row r="34" spans="1:30">
      <c r="A34" s="307" t="s">
        <v>2965</v>
      </c>
      <c r="B34" s="2211"/>
      <c r="C34" s="2211"/>
      <c r="D34" s="2211"/>
      <c r="E34" s="2211"/>
      <c r="F34" s="2211"/>
      <c r="G34" s="2211"/>
      <c r="H34" s="2211"/>
      <c r="I34" s="2888"/>
      <c r="J34" s="2662"/>
      <c r="K34" s="2650">
        <f>COUNTIF(B34:H34,"——")</f>
        <v>0</v>
      </c>
      <c r="L34" s="328" t="s">
        <v>2966</v>
      </c>
      <c r="M34" s="328" t="s">
        <v>2967</v>
      </c>
      <c r="N34" s="328" t="s">
        <v>2968</v>
      </c>
      <c r="O34" s="328" t="s">
        <v>2969</v>
      </c>
      <c r="P34" s="328" t="s">
        <v>2970</v>
      </c>
      <c r="Q34" s="328" t="s">
        <v>2971</v>
      </c>
      <c r="R34" s="328" t="s">
        <v>2972</v>
      </c>
      <c r="S34" s="3142" t="s">
        <v>2973</v>
      </c>
      <c r="T34" s="2651" t="str">
        <f>NUMBERSTRING(7-K34,1)&amp;"通"</f>
        <v>七通</v>
      </c>
      <c r="U34" s="2662"/>
      <c r="V34" s="2662"/>
    </row>
    <row r="35" spans="1:30">
      <c r="A35" s="2652"/>
      <c r="B35" s="3149" t="s">
        <v>2974</v>
      </c>
      <c r="C35" s="3149"/>
      <c r="D35" s="3149"/>
      <c r="E35" s="3149"/>
      <c r="F35" s="672">
        <f>C10</f>
        <v>0</v>
      </c>
      <c r="G35" s="2888"/>
      <c r="H35" s="2888"/>
      <c r="I35" s="2888"/>
      <c r="J35" s="266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42"/>
      <c r="T35" s="334" t="str">
        <f>IF(T34="一通",L35,IF(T34="二通",M35,IF(T34="三通",N35,IF(T34="四通",O35,IF(T34="五通",P35,IF(T34="六通",Q35,R35))))))</f>
        <v>、、、、、、</v>
      </c>
      <c r="U35" s="2662"/>
      <c r="V35" s="2662"/>
    </row>
    <row r="36" spans="1:30">
      <c r="A36" s="2653"/>
      <c r="B36" s="672" t="s">
        <v>2930</v>
      </c>
      <c r="C36" s="672" t="s">
        <v>2931</v>
      </c>
      <c r="D36" s="672" t="s">
        <v>2929</v>
      </c>
      <c r="E36" s="672" t="s">
        <v>2934</v>
      </c>
      <c r="F36" s="2894"/>
      <c r="G36" s="2888"/>
      <c r="H36" s="2888"/>
      <c r="I36" s="2888"/>
      <c r="J36" s="2662"/>
      <c r="K36" s="2839"/>
      <c r="L36" s="2836"/>
      <c r="M36" s="2836"/>
      <c r="N36" s="2662"/>
      <c r="O36" s="2673"/>
      <c r="P36" s="2662"/>
      <c r="Q36" s="2662"/>
      <c r="R36" s="2662"/>
      <c r="S36" s="2662"/>
      <c r="T36" s="2662"/>
      <c r="U36" s="2662"/>
      <c r="V36" s="2662"/>
    </row>
    <row r="37" spans="1:30">
      <c r="A37" s="2854" t="s">
        <v>2975</v>
      </c>
      <c r="B37" s="2654"/>
      <c r="C37" s="2654"/>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2976</v>
      </c>
      <c r="B38" s="2655"/>
      <c r="C38" s="2655"/>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2977</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2"/>
      <c r="J40" s="2732"/>
      <c r="K40" s="2838"/>
      <c r="L40" s="2674"/>
      <c r="M40" s="2674"/>
      <c r="N40" s="2732"/>
      <c r="O40" s="2674"/>
      <c r="P40" s="2662"/>
      <c r="Q40" s="2662"/>
      <c r="R40" s="2662"/>
      <c r="S40" s="2662"/>
      <c r="T40" s="2662"/>
      <c r="U40" s="2662"/>
      <c r="V40" s="2662"/>
    </row>
    <row r="41" spans="1:30">
      <c r="A41" s="2659" t="s">
        <v>2978</v>
      </c>
      <c r="B41" s="1942"/>
      <c r="C41" s="1556"/>
      <c r="D41" s="2591"/>
      <c r="E41" s="2591"/>
      <c r="F41" s="2591"/>
      <c r="G41" s="2591"/>
      <c r="H41" s="2591"/>
      <c r="I41" s="1760"/>
      <c r="J41" s="2662"/>
      <c r="K41" s="2839"/>
      <c r="L41" s="2836"/>
      <c r="M41" s="2836"/>
      <c r="N41" s="2662"/>
      <c r="O41" s="2673"/>
      <c r="P41" s="2662"/>
      <c r="Q41" s="2662"/>
      <c r="R41" s="2662"/>
      <c r="S41" s="2662"/>
      <c r="T41" s="2662"/>
      <c r="U41" s="2662"/>
      <c r="V41" s="2662"/>
    </row>
    <row r="42" spans="1:30" ht="25.5">
      <c r="A42" s="328" t="s">
        <v>2979</v>
      </c>
      <c r="B42" s="11" t="s">
        <v>2980</v>
      </c>
      <c r="C42" s="11" t="s">
        <v>2981</v>
      </c>
      <c r="D42" s="11" t="s">
        <v>2982</v>
      </c>
      <c r="E42" s="11" t="s">
        <v>2983</v>
      </c>
      <c r="F42" s="11" t="s">
        <v>2984</v>
      </c>
      <c r="G42" s="11" t="s">
        <v>2985</v>
      </c>
      <c r="H42" s="11" t="s">
        <v>2986</v>
      </c>
      <c r="I42" s="11" t="s">
        <v>2987</v>
      </c>
      <c r="J42" s="2850" t="s">
        <v>2988</v>
      </c>
      <c r="K42" s="2851" t="s">
        <v>2989</v>
      </c>
      <c r="L42" s="2851" t="s">
        <v>2990</v>
      </c>
      <c r="M42" s="2851" t="s">
        <v>2991</v>
      </c>
      <c r="N42" s="2844" t="s">
        <v>2992</v>
      </c>
      <c r="O42" s="2844" t="s">
        <v>2993</v>
      </c>
      <c r="P42" s="2844" t="s">
        <v>2994</v>
      </c>
      <c r="Q42" s="2845" t="s">
        <v>2995</v>
      </c>
      <c r="R42" s="2845" t="s">
        <v>2996</v>
      </c>
      <c r="S42" s="2662"/>
      <c r="T42" s="2662"/>
      <c r="U42" s="2662"/>
      <c r="V42" s="2662"/>
    </row>
    <row r="43" spans="1:30" s="1928" customFormat="1">
      <c r="A43" s="1754"/>
      <c r="B43" s="1181"/>
      <c r="C43" s="1181"/>
      <c r="D43" s="1181"/>
      <c r="E43" s="1181"/>
      <c r="F43" s="1181"/>
      <c r="G43" s="1181"/>
      <c r="H43" s="1181"/>
      <c r="I43" s="1181"/>
      <c r="J43" s="2660"/>
      <c r="K43" s="2661"/>
      <c r="L43" s="2661"/>
      <c r="M43" s="1181"/>
      <c r="N43" s="1181"/>
      <c r="O43" s="1181"/>
      <c r="P43" s="1181"/>
      <c r="Q43" s="1181"/>
      <c r="R43" s="1181"/>
      <c r="S43" s="2662"/>
      <c r="T43" s="2662"/>
      <c r="U43" s="2662"/>
      <c r="V43" s="2662"/>
    </row>
    <row r="44" spans="1:30" s="1928" customFormat="1">
      <c r="A44" s="1754"/>
      <c r="B44" s="1754"/>
      <c r="C44" s="1181"/>
      <c r="D44" s="1181"/>
      <c r="E44" s="1181"/>
      <c r="F44" s="1181"/>
      <c r="G44" s="1181"/>
      <c r="H44" s="1181"/>
      <c r="I44" s="1181"/>
      <c r="J44" s="2660"/>
      <c r="K44" s="2661"/>
      <c r="L44" s="2661"/>
      <c r="M44" s="1181"/>
      <c r="N44" s="1181"/>
      <c r="O44" s="1181"/>
      <c r="P44" s="1181"/>
      <c r="Q44" s="1181"/>
      <c r="R44" s="1181"/>
      <c r="S44" s="2662"/>
      <c r="T44" s="2662"/>
      <c r="U44" s="2662"/>
      <c r="V44" s="2662"/>
    </row>
    <row r="45" spans="1:30" s="1928" customFormat="1">
      <c r="A45" s="1754"/>
      <c r="B45" s="1754"/>
      <c r="C45" s="1181"/>
      <c r="D45" s="1181"/>
      <c r="E45" s="1181"/>
      <c r="F45" s="1181"/>
      <c r="G45" s="1181"/>
      <c r="H45" s="1181"/>
      <c r="I45" s="1181"/>
      <c r="J45" s="2660"/>
      <c r="K45" s="2661"/>
      <c r="L45" s="2661"/>
      <c r="M45" s="1181"/>
      <c r="N45" s="1181"/>
      <c r="O45" s="1181"/>
      <c r="P45" s="1181"/>
      <c r="Q45" s="1181"/>
      <c r="R45" s="1181"/>
      <c r="S45" s="2662"/>
      <c r="T45" s="2662"/>
      <c r="U45" s="2662"/>
      <c r="V45" s="2662"/>
    </row>
    <row r="46" spans="1:30" s="1928" customFormat="1">
      <c r="A46" s="1754"/>
      <c r="B46" s="1754"/>
      <c r="C46" s="1181"/>
      <c r="D46" s="1181"/>
      <c r="E46" s="1181"/>
      <c r="F46" s="1181"/>
      <c r="G46" s="1181"/>
      <c r="H46" s="1181"/>
      <c r="I46" s="1181"/>
      <c r="J46" s="2660"/>
      <c r="K46" s="2661"/>
      <c r="L46" s="2661"/>
      <c r="M46" s="1181"/>
      <c r="N46" s="1181"/>
      <c r="O46" s="1181"/>
      <c r="P46" s="1181"/>
      <c r="Q46" s="1181"/>
      <c r="R46" s="1181"/>
      <c r="S46" s="2662"/>
      <c r="T46" s="2662"/>
      <c r="U46" s="2662"/>
      <c r="V46" s="2662"/>
    </row>
    <row r="47" spans="1:30" s="1928" customFormat="1">
      <c r="A47" s="1754"/>
      <c r="B47" s="1754"/>
      <c r="C47" s="1181"/>
      <c r="D47" s="1181"/>
      <c r="E47" s="1181"/>
      <c r="F47" s="1181"/>
      <c r="G47" s="1181"/>
      <c r="H47" s="1181"/>
      <c r="I47" s="1181"/>
      <c r="J47" s="2660"/>
      <c r="K47" s="2661"/>
      <c r="L47" s="2661"/>
      <c r="M47" s="1181"/>
      <c r="N47" s="1181"/>
      <c r="O47" s="1181"/>
      <c r="P47" s="1181"/>
      <c r="Q47" s="1181"/>
      <c r="R47" s="1181"/>
      <c r="S47" s="2662"/>
      <c r="T47" s="2662"/>
      <c r="U47" s="2662"/>
      <c r="V47" s="2662"/>
    </row>
    <row r="48" spans="1:30" s="1928" customFormat="1">
      <c r="A48" s="1754"/>
      <c r="B48" s="1754"/>
      <c r="C48" s="1181"/>
      <c r="D48" s="1181"/>
      <c r="E48" s="1181"/>
      <c r="F48" s="1181"/>
      <c r="G48" s="1181"/>
      <c r="H48" s="1181"/>
      <c r="I48" s="1181"/>
      <c r="J48" s="2660"/>
      <c r="K48" s="2661"/>
      <c r="L48" s="2661"/>
      <c r="M48" s="1181"/>
      <c r="N48" s="1181"/>
      <c r="O48" s="1181"/>
      <c r="P48" s="1181"/>
      <c r="Q48" s="1181"/>
      <c r="R48" s="1181"/>
      <c r="S48" s="2662"/>
      <c r="T48" s="2662"/>
      <c r="U48" s="2662"/>
      <c r="V48" s="2662"/>
    </row>
    <row r="49" spans="1:22" s="1928" customFormat="1">
      <c r="A49" s="1754"/>
      <c r="B49" s="1754"/>
      <c r="C49" s="1181"/>
      <c r="D49" s="1181"/>
      <c r="E49" s="1181"/>
      <c r="F49" s="1181"/>
      <c r="G49" s="1181"/>
      <c r="H49" s="1181"/>
      <c r="I49" s="1181"/>
      <c r="J49" s="2660"/>
      <c r="K49" s="2661"/>
      <c r="L49" s="2661"/>
      <c r="M49" s="1181"/>
      <c r="N49" s="1181"/>
      <c r="O49" s="1181"/>
      <c r="P49" s="1181"/>
      <c r="Q49" s="1181"/>
      <c r="R49" s="1181"/>
      <c r="S49" s="2662"/>
      <c r="T49" s="2662"/>
      <c r="U49" s="2662"/>
      <c r="V49" s="2662"/>
    </row>
    <row r="50" spans="1:22" s="1928" customFormat="1">
      <c r="A50" s="1754"/>
      <c r="B50" s="1754"/>
      <c r="C50" s="1181"/>
      <c r="D50" s="1181"/>
      <c r="E50" s="1181"/>
      <c r="F50" s="1181"/>
      <c r="G50" s="1181"/>
      <c r="H50" s="1181"/>
      <c r="I50" s="1181"/>
      <c r="J50" s="2660"/>
      <c r="K50" s="2661"/>
      <c r="L50" s="2661"/>
      <c r="M50" s="1181"/>
      <c r="N50" s="1181"/>
      <c r="O50" s="1181"/>
      <c r="P50" s="1181"/>
      <c r="Q50" s="1181"/>
      <c r="R50" s="1181"/>
      <c r="S50" s="2662"/>
      <c r="T50" s="2662"/>
      <c r="U50" s="2662"/>
      <c r="V50" s="2662"/>
    </row>
    <row r="51" spans="1:22" s="1928" customFormat="1">
      <c r="A51" s="1754"/>
      <c r="B51" s="1754"/>
      <c r="C51" s="1181"/>
      <c r="D51" s="1181"/>
      <c r="E51" s="1181"/>
      <c r="F51" s="1181"/>
      <c r="G51" s="1181"/>
      <c r="H51" s="1181"/>
      <c r="I51" s="1181"/>
      <c r="J51" s="2660"/>
      <c r="K51" s="2661"/>
      <c r="L51" s="2661"/>
      <c r="M51" s="1181"/>
      <c r="N51" s="1181"/>
      <c r="O51" s="1181"/>
      <c r="P51" s="1181"/>
      <c r="Q51" s="1181"/>
      <c r="R51" s="1181"/>
    </row>
    <row r="52" spans="1:22" s="1928" customFormat="1">
      <c r="A52" s="1754"/>
      <c r="B52" s="1754"/>
      <c r="C52" s="1754"/>
      <c r="D52" s="1754"/>
      <c r="E52" s="1754"/>
      <c r="F52" s="1181"/>
      <c r="G52" s="1754"/>
      <c r="H52" s="1754"/>
      <c r="I52" s="1754"/>
      <c r="J52" s="2663"/>
      <c r="K52" s="2661"/>
      <c r="L52" s="2661"/>
      <c r="M52" s="2661"/>
      <c r="N52" s="1754"/>
      <c r="O52" s="1754"/>
      <c r="P52" s="1754"/>
      <c r="Q52" s="1754"/>
      <c r="R52" s="1754"/>
    </row>
    <row r="53" spans="1:22" s="1928" customFormat="1">
      <c r="A53" s="1754"/>
      <c r="B53" s="1754"/>
      <c r="C53" s="1754"/>
      <c r="D53" s="1754"/>
      <c r="E53" s="1754"/>
      <c r="F53" s="1181"/>
      <c r="G53" s="1754"/>
      <c r="H53" s="1754"/>
      <c r="I53" s="1754"/>
      <c r="J53" s="2663"/>
      <c r="K53" s="2661"/>
      <c r="L53" s="2661"/>
      <c r="M53" s="2661"/>
      <c r="N53" s="1754"/>
      <c r="O53" s="1754"/>
      <c r="P53" s="1754"/>
      <c r="Q53" s="1754"/>
      <c r="R53" s="1754"/>
    </row>
    <row r="54" spans="1:22" s="1928" customFormat="1">
      <c r="A54" s="1754"/>
      <c r="B54" s="1754"/>
      <c r="C54" s="1754"/>
      <c r="D54" s="1754"/>
      <c r="E54" s="1754"/>
      <c r="F54" s="1181"/>
      <c r="G54" s="1754"/>
      <c r="H54" s="1754"/>
      <c r="I54" s="1754"/>
      <c r="J54" s="2663"/>
      <c r="K54" s="2661"/>
      <c r="L54" s="2661"/>
      <c r="M54" s="2661"/>
      <c r="N54" s="1754"/>
      <c r="O54" s="1754"/>
      <c r="P54" s="1754"/>
      <c r="Q54" s="1754"/>
      <c r="R54" s="1754"/>
    </row>
    <row r="55" spans="1:22" s="1928" customFormat="1">
      <c r="A55" s="1754"/>
      <c r="B55" s="1754"/>
      <c r="C55" s="1754"/>
      <c r="D55" s="1754"/>
      <c r="E55" s="1754"/>
      <c r="F55" s="1181"/>
      <c r="G55" s="1754"/>
      <c r="H55" s="1754"/>
      <c r="I55" s="1754"/>
      <c r="J55" s="2663"/>
      <c r="K55" s="2661"/>
      <c r="L55" s="2661"/>
      <c r="M55" s="2661"/>
      <c r="N55" s="1754"/>
      <c r="O55" s="1754"/>
      <c r="P55" s="1754"/>
      <c r="Q55" s="1754"/>
      <c r="R55" s="1754"/>
    </row>
    <row r="56" spans="1:22" s="1928" customFormat="1">
      <c r="A56" s="1754"/>
      <c r="B56" s="1754"/>
      <c r="C56" s="1754"/>
      <c r="D56" s="1754"/>
      <c r="E56" s="1754"/>
      <c r="F56" s="1181"/>
      <c r="G56" s="1754"/>
      <c r="H56" s="1754"/>
      <c r="I56" s="1754"/>
      <c r="J56" s="2663"/>
      <c r="K56" s="2661"/>
      <c r="L56" s="2661"/>
      <c r="M56" s="2661"/>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0" sqref="I30"/>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1753</v>
      </c>
      <c r="AZ2" s="1179"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67064</v>
      </c>
      <c r="B3" s="14">
        <f>IF(C3="否",G5-AT5,G5)</f>
        <v>185712.45999999982</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185712.45999999982</v>
      </c>
      <c r="H5" s="16">
        <f t="shared" ref="H5:AT5" si="0">SUM(H13:H656)</f>
        <v>185712.45999999982</v>
      </c>
      <c r="I5" s="16">
        <f t="shared" si="0"/>
        <v>167565.70000000001</v>
      </c>
      <c r="J5" s="16">
        <f t="shared" si="0"/>
        <v>0</v>
      </c>
      <c r="K5" s="16">
        <f t="shared" si="0"/>
        <v>18146.759999999813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117964.09999999983</v>
      </c>
      <c r="BA5" s="18">
        <f t="shared" si="1"/>
        <v>117964.09999999983</v>
      </c>
      <c r="BB5" s="18">
        <f t="shared" si="1"/>
        <v>99817.340000000026</v>
      </c>
      <c r="BC5" s="18">
        <f t="shared" si="1"/>
        <v>18146.759999999813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67064</v>
      </c>
      <c r="F6" s="16" t="s">
        <v>1</v>
      </c>
      <c r="G6" s="16" t="s">
        <v>2</v>
      </c>
      <c r="H6" s="20">
        <f>SUMIF(I$12:AB$12,"总值",I6:AB6)</f>
        <v>67064</v>
      </c>
      <c r="I6" s="16">
        <f t="shared" ref="I6:AB6" si="2">ROUND($A$3*I5/$B$3,2)</f>
        <v>60510.89</v>
      </c>
      <c r="J6" s="16">
        <f t="shared" si="2"/>
        <v>0</v>
      </c>
      <c r="K6" s="16">
        <f t="shared" si="2"/>
        <v>6553.11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42598.89</v>
      </c>
      <c r="AZ6" s="16" t="s">
        <v>3</v>
      </c>
      <c r="BA6" s="16">
        <f>ROUND($AY$6*BA5/$AZ$5,2)</f>
        <v>42598.89</v>
      </c>
      <c r="BB6" s="16">
        <f>ROUND($AY$6*BB5/$AZ$5,2)</f>
        <v>36045.78</v>
      </c>
      <c r="BC6" s="16">
        <f t="shared" ref="BC6:BH6" si="4">ROUND($AY$6*BC5/$AZ$5,2)</f>
        <v>6553.11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7" t="s">
        <v>1772</v>
      </c>
      <c r="AD8" s="1784"/>
      <c r="AE8" s="1776"/>
      <c r="AF8" s="1543"/>
      <c r="AG8" s="1543"/>
      <c r="AH8" s="1543"/>
      <c r="AI8" s="1543"/>
      <c r="AJ8" s="1543"/>
      <c r="AK8" s="1543"/>
      <c r="AL8" s="1543"/>
      <c r="AM8" s="1543"/>
      <c r="AN8" s="1543"/>
      <c r="AO8" s="1543"/>
      <c r="AP8" s="1543"/>
      <c r="AQ8" s="1543"/>
      <c r="AR8" s="1543"/>
      <c r="AS8" s="1543"/>
      <c r="AT8" s="1201" t="s">
        <v>1773</v>
      </c>
      <c r="AU8" s="1778" t="s">
        <v>1774</v>
      </c>
      <c r="AV8" s="1201"/>
      <c r="AW8" s="1761"/>
      <c r="AX8" s="1201"/>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1777</v>
      </c>
      <c r="I9" s="1787" t="s">
        <v>4538</v>
      </c>
      <c r="J9" s="917"/>
      <c r="K9" s="1787" t="s">
        <v>4551</v>
      </c>
      <c r="L9" s="917"/>
      <c r="M9" s="1787"/>
      <c r="N9" s="917"/>
      <c r="O9" s="1787"/>
      <c r="P9" s="917"/>
      <c r="Q9" s="1787"/>
      <c r="R9" s="917"/>
      <c r="S9" s="1787"/>
      <c r="T9" s="917"/>
      <c r="U9" s="1787"/>
      <c r="V9" s="917"/>
      <c r="W9" s="1787"/>
      <c r="X9" s="1788"/>
      <c r="Y9" s="1787"/>
      <c r="Z9" s="917"/>
      <c r="AA9" s="1787"/>
      <c r="AB9" s="917"/>
      <c r="AC9" s="1779"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9"/>
      <c r="AT9" s="1778"/>
      <c r="AU9" s="1778" t="s">
        <v>1780</v>
      </c>
      <c r="AV9" s="1201"/>
      <c r="AW9" s="1761"/>
      <c r="AX9" s="1201"/>
      <c r="AY9" s="28"/>
      <c r="AZ9" s="28" t="s">
        <v>1770</v>
      </c>
      <c r="BA9" s="1790" t="s">
        <v>1781</v>
      </c>
      <c r="BB9" s="1791"/>
      <c r="BC9" s="1247"/>
      <c r="BD9" s="1247"/>
      <c r="BE9" s="1247"/>
      <c r="BF9" s="1247"/>
      <c r="BG9" s="1247"/>
      <c r="BH9" s="1247"/>
      <c r="BI9" s="1247"/>
      <c r="BJ9" s="1247"/>
      <c r="BK9" s="1792"/>
      <c r="BL9" s="15" t="s">
        <v>1782</v>
      </c>
      <c r="BM9" s="1543"/>
      <c r="BN9" s="1781"/>
      <c r="BO9" s="1543"/>
      <c r="BP9" s="1543"/>
      <c r="BQ9" s="1543"/>
      <c r="BR9" s="1543"/>
      <c r="BS9" s="1543"/>
      <c r="BT9" s="26"/>
    </row>
    <row r="10" spans="1:72" s="1785" customFormat="1" ht="12.75">
      <c r="A10" s="1778"/>
      <c r="B10" s="1778"/>
      <c r="C10" s="1778"/>
      <c r="D10" s="1778"/>
      <c r="E10" s="1778"/>
      <c r="F10" s="1778"/>
      <c r="G10" s="1201"/>
      <c r="H10" s="28"/>
      <c r="I10" s="1787"/>
      <c r="J10" s="917"/>
      <c r="K10" s="1793"/>
      <c r="L10" s="917"/>
      <c r="M10" s="1793"/>
      <c r="N10" s="917"/>
      <c r="O10" s="1793"/>
      <c r="P10" s="917"/>
      <c r="Q10" s="1793"/>
      <c r="R10" s="917"/>
      <c r="S10" s="1793"/>
      <c r="T10" s="917"/>
      <c r="U10" s="1793"/>
      <c r="V10" s="917"/>
      <c r="W10" s="1793"/>
      <c r="X10" s="917"/>
      <c r="Y10" s="1793"/>
      <c r="Z10" s="917"/>
      <c r="AA10" s="1793"/>
      <c r="AB10" s="917"/>
      <c r="AC10" s="1201"/>
      <c r="AD10" s="15" t="s">
        <v>1783</v>
      </c>
      <c r="AE10" s="1794"/>
      <c r="AF10" s="15" t="s">
        <v>1783</v>
      </c>
      <c r="AG10" s="1794"/>
      <c r="AH10" s="15" t="s">
        <v>1784</v>
      </c>
      <c r="AI10" s="1794"/>
      <c r="AJ10" s="15" t="s">
        <v>1784</v>
      </c>
      <c r="AK10" s="1794"/>
      <c r="AL10" s="15" t="s">
        <v>1785</v>
      </c>
      <c r="AM10" s="1207"/>
      <c r="AN10" s="15" t="s">
        <v>1785</v>
      </c>
      <c r="AO10" s="1207"/>
      <c r="AP10" s="15" t="s">
        <v>1786</v>
      </c>
      <c r="AQ10" s="1207"/>
      <c r="AR10" s="15" t="s">
        <v>1786</v>
      </c>
      <c r="AS10" s="1207"/>
      <c r="AT10" s="1778"/>
      <c r="AU10" s="1778"/>
      <c r="AV10" s="1201"/>
      <c r="AW10" s="1761"/>
      <c r="AX10" s="1201"/>
      <c r="AY10" s="28"/>
      <c r="AZ10" s="28"/>
      <c r="BA10" s="1795" t="s">
        <v>1777</v>
      </c>
      <c r="BB10" s="1796" t="str">
        <f>I9</f>
        <v>地上</v>
      </c>
      <c r="BC10" s="29" t="str">
        <f>K9</f>
        <v>地下</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1"/>
      <c r="AW11" s="1761"/>
      <c r="AX11" s="1201"/>
      <c r="AY11" s="28"/>
      <c r="AZ11" s="28"/>
      <c r="BA11" s="28"/>
      <c r="BB11" s="1783">
        <f>I10</f>
        <v>0</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1"/>
      <c r="B13" s="1181"/>
      <c r="C13" s="1181">
        <v>1</v>
      </c>
      <c r="D13" s="1809" t="s">
        <v>4539</v>
      </c>
      <c r="E13" s="16">
        <f>IF($C$3="是",ROUND($A$3*G13/$B$3,2),ROUND($A$3*(G13-AT13)/$B$3,2))</f>
        <v>3918.67</v>
      </c>
      <c r="F13" s="32"/>
      <c r="G13" s="33">
        <f>H13+AC13+AT13</f>
        <v>10851.500000000005</v>
      </c>
      <c r="H13" s="20">
        <f>SUMIF(I$12:AB$12,"总值",I13:AB13)</f>
        <v>10851.500000000005</v>
      </c>
      <c r="I13" s="1810">
        <f>未取证!L3</f>
        <v>10851.500000000005</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1</v>
      </c>
      <c r="AY13" s="1532">
        <f>ROUND($AY$6*AZ13/$AZ$5,2)</f>
        <v>3918.67</v>
      </c>
      <c r="AZ13" s="16">
        <f>BA13+BL13</f>
        <v>10851.500000000005</v>
      </c>
      <c r="BA13" s="16">
        <f>SUM(BB13:BK13)</f>
        <v>10851.500000000005</v>
      </c>
      <c r="BB13" s="16">
        <f>IF($D13="是",I13-J13,0)</f>
        <v>10851.500000000005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181">
        <v>2</v>
      </c>
      <c r="D14" s="1809" t="s">
        <v>4539</v>
      </c>
      <c r="E14" s="16">
        <f>IF($C$3="是",ROUND($A$3*G14/$B$3,2),ROUND($A$3*(G14-AT14)/$B$3,2))</f>
        <v>3763.91</v>
      </c>
      <c r="F14" s="32"/>
      <c r="G14" s="33">
        <f>H14+AC14+AT14</f>
        <v>10422.959999999992</v>
      </c>
      <c r="H14" s="20">
        <f>SUMIF(I$12:AB$12,"总值",I14:AB14)</f>
        <v>10422.959999999992</v>
      </c>
      <c r="I14" s="1810">
        <f>未取证!L4</f>
        <v>10422.959999999992</v>
      </c>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2</v>
      </c>
      <c r="AY14" s="1532">
        <f>ROUND($AY$6*AZ14/$AZ$5,2)</f>
        <v>3763.91</v>
      </c>
      <c r="AZ14" s="16">
        <f>BA14+BL14</f>
        <v>10422.959999999992</v>
      </c>
      <c r="BA14" s="16">
        <f>SUM(BB14:BK14)</f>
        <v>10422.959999999992</v>
      </c>
      <c r="BB14" s="16">
        <f>IF($D14="是",I14-J14,0)</f>
        <v>10422.959999999992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181">
        <v>3</v>
      </c>
      <c r="D15" s="1809" t="s">
        <v>4539</v>
      </c>
      <c r="E15" s="16">
        <f>IF($C$3="是",ROUND($A$3*G15/$B$3,2),ROUND($A$3*(G15-AT15)/$B$3,2))</f>
        <v>4332.4799999999996</v>
      </c>
      <c r="F15" s="32"/>
      <c r="G15" s="33">
        <f>H15+AC15+AT15</f>
        <v>11997.429999999997</v>
      </c>
      <c r="H15" s="20">
        <f>SUMIF(I$12:AB$12,"总值",I15:AB15)</f>
        <v>11997.429999999997</v>
      </c>
      <c r="I15" s="1810">
        <f>未取证!L5</f>
        <v>11997.429999999997</v>
      </c>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3</v>
      </c>
      <c r="AY15" s="1532">
        <f>ROUND($AY$6*AZ15/$AZ$5,2)</f>
        <v>4332.4799999999996</v>
      </c>
      <c r="AZ15" s="16">
        <f>BA15+BL15</f>
        <v>11997.429999999997</v>
      </c>
      <c r="BA15" s="16">
        <f>SUM(BB15:BK15)</f>
        <v>11997.429999999997</v>
      </c>
      <c r="BB15" s="16">
        <f>IF($D15="是",I15-J15,0)</f>
        <v>11997.429999999997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181">
        <v>4</v>
      </c>
      <c r="D16" s="1809" t="s">
        <v>4539</v>
      </c>
      <c r="E16" s="16">
        <f>IF($C$3="是",ROUND($A$3*G16/$B$3,2),ROUND($A$3*(G16-AT16)/$B$3,2))</f>
        <v>4259.6899999999996</v>
      </c>
      <c r="F16" s="32"/>
      <c r="G16" s="33">
        <f>H16+AC16+AT16</f>
        <v>11795.849999999988</v>
      </c>
      <c r="H16" s="20">
        <f>SUMIF(I$12:AB$12,"总值",I16:AB16)</f>
        <v>11795.849999999988</v>
      </c>
      <c r="I16" s="1810">
        <f>未取证!L6</f>
        <v>11795.849999999988</v>
      </c>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4</v>
      </c>
      <c r="AY16" s="1532">
        <f>ROUND($AY$6*AZ16/$AZ$5,2)</f>
        <v>4259.6899999999996</v>
      </c>
      <c r="AZ16" s="16">
        <f>BA16+BL16</f>
        <v>11795.849999999988</v>
      </c>
      <c r="BA16" s="16">
        <f>SUM(BB16:BK16)</f>
        <v>11795.849999999988</v>
      </c>
      <c r="BB16" s="16">
        <f>IF($D16="是",I16-J16,0)</f>
        <v>11795.849999999988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181">
        <v>5</v>
      </c>
      <c r="D17" s="1809" t="s">
        <v>4539</v>
      </c>
      <c r="E17" s="16">
        <f>IF($C$3="是",ROUND($A$3*G17/$B$3,2),ROUND($A$3*(G17-AT17)/$B$3,2))</f>
        <v>4085.36</v>
      </c>
      <c r="F17" s="32"/>
      <c r="G17" s="33">
        <f>H17+AC17+AT17</f>
        <v>11313.120000000014</v>
      </c>
      <c r="H17" s="20">
        <f>SUMIF(I$12:AB$12,"总值",I17:AB17)</f>
        <v>11313.120000000014</v>
      </c>
      <c r="I17" s="1810">
        <f>未取证!L7</f>
        <v>11313.120000000014</v>
      </c>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5</v>
      </c>
      <c r="AY17" s="1532">
        <f>ROUND($AY$6*AZ17/$AZ$5,2)</f>
        <v>4085.36</v>
      </c>
      <c r="AZ17" s="16">
        <f>BA17+BL17</f>
        <v>11313.120000000014</v>
      </c>
      <c r="BA17" s="16">
        <f>SUM(BB17:BK17)</f>
        <v>11313.120000000014</v>
      </c>
      <c r="BB17" s="16">
        <f>IF($D17="是",I17-J17,0)</f>
        <v>11313.120000000014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1">
        <v>6</v>
      </c>
      <c r="D18" s="1809" t="s">
        <v>4539</v>
      </c>
      <c r="E18" s="35">
        <f t="shared" ref="E18:E112" si="7">IF($C$3="是",ROUND($A$3*G18/$B$3,2),ROUND($A$3*(G18-AT18)/$B$3,2))</f>
        <v>4511.08</v>
      </c>
      <c r="F18" s="36"/>
      <c r="G18" s="37">
        <f t="shared" ref="G18:G109" si="8">H18+AC18+AT18</f>
        <v>12492.000000000016</v>
      </c>
      <c r="H18" s="38">
        <f t="shared" ref="H18:H109" si="9">SUMIF(I$12:AB$12,"总值",I18:AB18)</f>
        <v>12492.000000000016</v>
      </c>
      <c r="I18" s="1810">
        <f>未取证!L8</f>
        <v>12492.000000000016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6</v>
      </c>
      <c r="AY18" s="42">
        <f t="shared" ref="AY18:AY109" si="14">ROUND($AY$6*AZ18/$AZ$5,2)</f>
        <v>4511.08</v>
      </c>
      <c r="AZ18" s="35">
        <f t="shared" ref="AZ18:AZ109" si="15">BA18+BL18</f>
        <v>12492.000000000016</v>
      </c>
      <c r="BA18" s="35">
        <f t="shared" ref="BA18:BA109" si="16">SUM(BB18:BK18)</f>
        <v>12492.000000000016</v>
      </c>
      <c r="BB18" s="35">
        <f t="shared" ref="BB18:BB109" si="17">IF($D18="是",I18-J18,0)</f>
        <v>12492.000000000016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1">
        <v>7</v>
      </c>
      <c r="D19" s="1809" t="s">
        <v>4539</v>
      </c>
      <c r="E19" s="35">
        <f t="shared" si="7"/>
        <v>1011.54</v>
      </c>
      <c r="F19" s="36"/>
      <c r="G19" s="37">
        <f t="shared" si="8"/>
        <v>2801.15</v>
      </c>
      <c r="H19" s="38">
        <f t="shared" si="9"/>
        <v>2801.15</v>
      </c>
      <c r="I19" s="1810">
        <f>未取证!L9</f>
        <v>2801.15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7</v>
      </c>
      <c r="AY19" s="42">
        <f t="shared" si="14"/>
        <v>1011.54</v>
      </c>
      <c r="AZ19" s="35">
        <f t="shared" si="15"/>
        <v>2801.15</v>
      </c>
      <c r="BA19" s="35">
        <f t="shared" si="16"/>
        <v>2801.15</v>
      </c>
      <c r="BB19" s="35">
        <f t="shared" si="17"/>
        <v>2801.15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1">
        <v>8</v>
      </c>
      <c r="D20" s="1809" t="s">
        <v>4539</v>
      </c>
      <c r="E20" s="35">
        <f t="shared" si="7"/>
        <v>2801.87</v>
      </c>
      <c r="F20" s="36"/>
      <c r="G20" s="37">
        <f t="shared" si="8"/>
        <v>7758.8900000000076</v>
      </c>
      <c r="H20" s="38">
        <f t="shared" si="9"/>
        <v>7758.8900000000076</v>
      </c>
      <c r="I20" s="1810">
        <f>未取证!L10</f>
        <v>7758.8900000000076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8</v>
      </c>
      <c r="AY20" s="42">
        <f t="shared" si="14"/>
        <v>2801.87</v>
      </c>
      <c r="AZ20" s="35">
        <f t="shared" si="15"/>
        <v>7758.8900000000076</v>
      </c>
      <c r="BA20" s="35">
        <f t="shared" si="16"/>
        <v>7758.8900000000076</v>
      </c>
      <c r="BB20" s="35">
        <f t="shared" si="17"/>
        <v>7758.8900000000076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1">
        <v>9</v>
      </c>
      <c r="D21" s="1809" t="s">
        <v>4539</v>
      </c>
      <c r="E21" s="35">
        <f t="shared" si="7"/>
        <v>2375.44</v>
      </c>
      <c r="F21" s="36"/>
      <c r="G21" s="37">
        <f t="shared" si="8"/>
        <v>6578.03</v>
      </c>
      <c r="H21" s="38">
        <f t="shared" si="9"/>
        <v>6578.03</v>
      </c>
      <c r="I21" s="1810">
        <f>未取证!L11</f>
        <v>6578.03</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9</v>
      </c>
      <c r="AY21" s="42">
        <f t="shared" si="14"/>
        <v>2375.44</v>
      </c>
      <c r="AZ21" s="35">
        <f t="shared" si="15"/>
        <v>6578.03</v>
      </c>
      <c r="BA21" s="35">
        <f t="shared" si="16"/>
        <v>6578.03</v>
      </c>
      <c r="BB21" s="35">
        <f t="shared" si="17"/>
        <v>6578.03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1">
        <v>10</v>
      </c>
      <c r="D22" s="1809" t="s">
        <v>4539</v>
      </c>
      <c r="E22" s="35">
        <f t="shared" si="7"/>
        <v>1124.01</v>
      </c>
      <c r="F22" s="36"/>
      <c r="G22" s="37">
        <f t="shared" si="8"/>
        <v>3112.58</v>
      </c>
      <c r="H22" s="38">
        <f t="shared" si="9"/>
        <v>3112.58</v>
      </c>
      <c r="I22" s="1810">
        <f>未取证!L12</f>
        <v>3112.58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10</v>
      </c>
      <c r="AY22" s="42">
        <f t="shared" si="14"/>
        <v>1124.01</v>
      </c>
      <c r="AZ22" s="35">
        <f t="shared" si="15"/>
        <v>3112.58</v>
      </c>
      <c r="BA22" s="35">
        <f t="shared" si="16"/>
        <v>3112.58</v>
      </c>
      <c r="BB22" s="35">
        <f t="shared" si="17"/>
        <v>3112.58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1">
        <v>11</v>
      </c>
      <c r="D23" s="1809" t="s">
        <v>4539</v>
      </c>
      <c r="E23" s="35">
        <f t="shared" si="7"/>
        <v>1146.3</v>
      </c>
      <c r="F23" s="36"/>
      <c r="G23" s="37">
        <f t="shared" si="8"/>
        <v>3174.3200000000006</v>
      </c>
      <c r="H23" s="38">
        <f t="shared" si="9"/>
        <v>3174.3200000000006</v>
      </c>
      <c r="I23" s="1810">
        <f>未取证!L13</f>
        <v>3174.3200000000006</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11</v>
      </c>
      <c r="AY23" s="42">
        <f t="shared" si="14"/>
        <v>1146.3</v>
      </c>
      <c r="AZ23" s="35">
        <f t="shared" si="15"/>
        <v>3174.3200000000006</v>
      </c>
      <c r="BA23" s="35">
        <f t="shared" si="16"/>
        <v>3174.3200000000006</v>
      </c>
      <c r="BB23" s="35">
        <f t="shared" si="17"/>
        <v>3174.3200000000006</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12</v>
      </c>
      <c r="D24" s="1809" t="s">
        <v>4539</v>
      </c>
      <c r="E24" s="35">
        <f t="shared" si="7"/>
        <v>1498.79</v>
      </c>
      <c r="F24" s="36"/>
      <c r="G24" s="37">
        <f t="shared" si="8"/>
        <v>4150.4099999999989</v>
      </c>
      <c r="H24" s="38">
        <f t="shared" si="9"/>
        <v>4150.4099999999989</v>
      </c>
      <c r="I24" s="1810">
        <f>未取证!L14</f>
        <v>4150.4099999999989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12</v>
      </c>
      <c r="AY24" s="42">
        <f t="shared" si="14"/>
        <v>1498.79</v>
      </c>
      <c r="AZ24" s="35">
        <f t="shared" si="15"/>
        <v>4150.4099999999989</v>
      </c>
      <c r="BA24" s="35">
        <f t="shared" si="16"/>
        <v>4150.4099999999989</v>
      </c>
      <c r="BB24" s="35">
        <f t="shared" si="17"/>
        <v>4150.4099999999989</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13</v>
      </c>
      <c r="D25" s="1809" t="s">
        <v>4539</v>
      </c>
      <c r="E25" s="35">
        <f t="shared" si="7"/>
        <v>317.17</v>
      </c>
      <c r="F25" s="36"/>
      <c r="G25" s="37">
        <f t="shared" si="8"/>
        <v>878.29</v>
      </c>
      <c r="H25" s="38">
        <f t="shared" si="9"/>
        <v>878.29</v>
      </c>
      <c r="I25" s="1810">
        <f>未取证!L15</f>
        <v>878.29</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13</v>
      </c>
      <c r="AY25" s="42">
        <f t="shared" si="14"/>
        <v>317.17</v>
      </c>
      <c r="AZ25" s="35">
        <f t="shared" si="15"/>
        <v>878.29</v>
      </c>
      <c r="BA25" s="35">
        <f t="shared" si="16"/>
        <v>878.29</v>
      </c>
      <c r="BB25" s="35">
        <f t="shared" si="17"/>
        <v>878.29</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063" t="s">
        <v>4548</v>
      </c>
      <c r="D26" s="1814" t="s">
        <v>4539</v>
      </c>
      <c r="E26" s="35">
        <f t="shared" si="7"/>
        <v>441.56</v>
      </c>
      <c r="F26" s="36"/>
      <c r="G26" s="37">
        <f t="shared" si="8"/>
        <v>1222.7700000000002</v>
      </c>
      <c r="H26" s="38">
        <f t="shared" si="9"/>
        <v>1222.7700000000002</v>
      </c>
      <c r="I26" s="1810">
        <f>未取证!L16</f>
        <v>1222.7700000000002</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t="str">
        <f t="shared" si="13"/>
        <v>商业15</v>
      </c>
      <c r="AY26" s="42">
        <f t="shared" si="14"/>
        <v>441.56</v>
      </c>
      <c r="AZ26" s="35">
        <f t="shared" si="15"/>
        <v>1222.7700000000002</v>
      </c>
      <c r="BA26" s="35">
        <f t="shared" si="16"/>
        <v>1222.7700000000002</v>
      </c>
      <c r="BB26" s="35">
        <f t="shared" si="17"/>
        <v>1222.7700000000002</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t="s">
        <v>4549</v>
      </c>
      <c r="D27" s="1814" t="s">
        <v>4539</v>
      </c>
      <c r="E27" s="35">
        <f t="shared" si="7"/>
        <v>210.81</v>
      </c>
      <c r="F27" s="36"/>
      <c r="G27" s="37">
        <f t="shared" si="8"/>
        <v>583.78</v>
      </c>
      <c r="H27" s="38">
        <f t="shared" si="9"/>
        <v>583.78</v>
      </c>
      <c r="I27" s="1810">
        <f>未取证!L17</f>
        <v>583.78</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t="str">
        <f t="shared" si="13"/>
        <v>商业16</v>
      </c>
      <c r="AY27" s="42">
        <f t="shared" si="14"/>
        <v>210.81</v>
      </c>
      <c r="AZ27" s="35">
        <f t="shared" si="15"/>
        <v>583.78</v>
      </c>
      <c r="BA27" s="35">
        <f t="shared" si="16"/>
        <v>583.78</v>
      </c>
      <c r="BB27" s="35">
        <f t="shared" si="17"/>
        <v>583.78</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t="s">
        <v>4550</v>
      </c>
      <c r="D28" s="1814" t="s">
        <v>4539</v>
      </c>
      <c r="E28" s="35">
        <f t="shared" si="7"/>
        <v>247.1</v>
      </c>
      <c r="F28" s="36"/>
      <c r="G28" s="37">
        <f t="shared" si="8"/>
        <v>684.26</v>
      </c>
      <c r="H28" s="38">
        <f t="shared" si="9"/>
        <v>684.26</v>
      </c>
      <c r="I28" s="1810">
        <f>未取证!L18</f>
        <v>684.26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t="str">
        <f t="shared" si="13"/>
        <v>商业17</v>
      </c>
      <c r="AY28" s="42">
        <f t="shared" si="14"/>
        <v>247.1</v>
      </c>
      <c r="AZ28" s="35">
        <f t="shared" si="15"/>
        <v>684.26</v>
      </c>
      <c r="BA28" s="35">
        <f t="shared" si="16"/>
        <v>684.26</v>
      </c>
      <c r="BB28" s="35">
        <f t="shared" si="17"/>
        <v>684.26</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063" t="s">
        <v>4547</v>
      </c>
      <c r="D29" s="1814" t="s">
        <v>4539</v>
      </c>
      <c r="E29" s="35">
        <f t="shared" si="7"/>
        <v>6553.11</v>
      </c>
      <c r="F29" s="36"/>
      <c r="G29" s="37">
        <f t="shared" si="8"/>
        <v>18146.759999999813</v>
      </c>
      <c r="H29" s="38">
        <f t="shared" si="9"/>
        <v>18146.759999999813</v>
      </c>
      <c r="I29" s="39"/>
      <c r="J29" s="39"/>
      <c r="K29" s="39">
        <f>车位!E1415</f>
        <v>18146.759999999813</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t="str">
        <f t="shared" si="13"/>
        <v>地下车库</v>
      </c>
      <c r="AY29" s="42">
        <f t="shared" si="14"/>
        <v>6553.11</v>
      </c>
      <c r="AZ29" s="35">
        <f t="shared" si="15"/>
        <v>18146.759999999813</v>
      </c>
      <c r="BA29" s="35">
        <f t="shared" si="16"/>
        <v>18146.759999999813</v>
      </c>
      <c r="BB29" s="35">
        <f t="shared" si="17"/>
        <v>0</v>
      </c>
      <c r="BC29" s="35">
        <f t="shared" si="18"/>
        <v>18146.759999999813</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063" t="s">
        <v>4733</v>
      </c>
      <c r="D30" s="1814" t="s">
        <v>4734</v>
      </c>
      <c r="E30" s="35">
        <f t="shared" si="7"/>
        <v>24465.11</v>
      </c>
      <c r="F30" s="36"/>
      <c r="G30" s="37">
        <f t="shared" si="8"/>
        <v>67748.359999999986</v>
      </c>
      <c r="H30" s="38">
        <f t="shared" si="9"/>
        <v>67748.359999999986</v>
      </c>
      <c r="I30" s="39">
        <f>167565.7-SUM(I13:I28)</f>
        <v>67748.359999999986</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t="str">
        <f t="shared" si="13"/>
        <v>其余</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2" t="s">
        <v>0</v>
      </c>
      <c r="B1" s="3172" t="s">
        <v>4</v>
      </c>
      <c r="C1" s="3172" t="s">
        <v>5</v>
      </c>
      <c r="D1" s="3173" t="s">
        <v>53</v>
      </c>
      <c r="E1" s="3173" t="s">
        <v>54</v>
      </c>
      <c r="F1" s="3173"/>
      <c r="G1" s="3173"/>
      <c r="H1" s="3173"/>
      <c r="I1" s="3173"/>
      <c r="J1" s="3173"/>
      <c r="K1" s="3173"/>
      <c r="L1" s="3173"/>
      <c r="M1" s="3173"/>
    </row>
    <row r="2" spans="1:13" ht="27" customHeight="1">
      <c r="A2" s="3172"/>
      <c r="B2" s="3172"/>
      <c r="C2" s="3172"/>
      <c r="D2" s="3173"/>
      <c r="E2" s="3173" t="s">
        <v>37</v>
      </c>
      <c r="F2" s="3173" t="s">
        <v>38</v>
      </c>
      <c r="G2" s="3173"/>
      <c r="H2" s="3173"/>
      <c r="I2" s="3173"/>
      <c r="J2" s="3173" t="s">
        <v>39</v>
      </c>
      <c r="K2" s="3173"/>
      <c r="L2" s="3173"/>
      <c r="M2" s="3173"/>
    </row>
    <row r="3" spans="1:13" ht="28.5">
      <c r="A3" s="3172"/>
      <c r="B3" s="3172"/>
      <c r="C3" s="3172"/>
      <c r="D3" s="3173"/>
      <c r="E3" s="31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3" t="s">
        <v>55</v>
      </c>
      <c r="B9" s="3173"/>
      <c r="C9" s="31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9" sqref="M49"/>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3"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183" t="s">
        <v>1817</v>
      </c>
      <c r="B2" s="3183"/>
      <c r="C2" s="3183"/>
      <c r="D2" s="903" t="s">
        <v>1793</v>
      </c>
      <c r="E2" s="1823" t="s">
        <v>1794</v>
      </c>
      <c r="F2" s="2883"/>
      <c r="G2" s="2874"/>
      <c r="H2" s="2875"/>
      <c r="I2" s="2545" t="s">
        <v>1818</v>
      </c>
      <c r="J2" s="2883"/>
      <c r="K2" s="2883"/>
      <c r="L2" s="2883"/>
      <c r="M2" s="2883"/>
      <c r="N2" s="2885"/>
      <c r="O2" s="2883"/>
      <c r="P2" s="2883"/>
    </row>
    <row r="3" spans="1:16" ht="15.75" thickBot="1">
      <c r="A3" s="3184" t="s">
        <v>1791</v>
      </c>
      <c r="B3" s="3184"/>
      <c r="C3" s="3184"/>
      <c r="D3" s="46">
        <f>'数据-基础表'!AY6</f>
        <v>42598.89</v>
      </c>
      <c r="E3" s="46">
        <f>'数据-基础表'!AZ5</f>
        <v>117964.09999999983</v>
      </c>
      <c r="F3" s="2883"/>
      <c r="G3" s="1306"/>
      <c r="H3" s="1156" t="s">
        <v>1792</v>
      </c>
      <c r="I3" s="963">
        <f>ROUND('数据-基础表'!B3/'数据-基础表'!A3,2)</f>
        <v>2.77</v>
      </c>
      <c r="J3" s="2883"/>
      <c r="K3" s="2883"/>
      <c r="L3" s="2883"/>
      <c r="M3" s="2883"/>
      <c r="N3" s="2885"/>
      <c r="O3" s="2883"/>
      <c r="P3" s="2883"/>
    </row>
    <row r="4" spans="1:16" ht="15">
      <c r="A4" s="3185"/>
      <c r="B4" s="3186"/>
      <c r="C4" s="3187"/>
      <c r="D4" s="1825" t="s">
        <v>1793</v>
      </c>
      <c r="E4" s="1826" t="s">
        <v>1794</v>
      </c>
      <c r="F4" s="2883"/>
      <c r="G4" s="2876" t="s">
        <v>1819</v>
      </c>
      <c r="H4" s="1156" t="s">
        <v>1799</v>
      </c>
      <c r="I4" s="963">
        <f>ROUND(SUMIF('数据-基础表'!I9:AS9,"地上",'数据-基础表'!I5:AS5)/'数据-基础表'!A3,2)</f>
        <v>2.5</v>
      </c>
      <c r="J4" s="2883"/>
      <c r="K4" s="2883"/>
      <c r="L4" s="2883"/>
      <c r="M4" s="2883"/>
      <c r="N4" s="2885"/>
      <c r="O4" s="2883"/>
      <c r="P4" s="2883"/>
    </row>
    <row r="5" spans="1:16">
      <c r="A5" s="47" t="s">
        <v>1795</v>
      </c>
      <c r="B5" s="3188" t="s">
        <v>1796</v>
      </c>
      <c r="C5" s="3188"/>
      <c r="D5" s="48">
        <f>ROUND($D$3*E5/$E$3,2)</f>
        <v>0</v>
      </c>
      <c r="E5" s="49">
        <f>SUMIF('数据-基础表'!$11:$11,"住宅",'数据-基础表'!$5:$5)</f>
        <v>0</v>
      </c>
      <c r="F5" s="2883"/>
      <c r="G5" s="1306"/>
      <c r="H5" s="1156" t="s">
        <v>1792</v>
      </c>
      <c r="I5" s="963">
        <f>ROUND(E31/D31,2)</f>
        <v>2.77</v>
      </c>
      <c r="J5" s="2883"/>
      <c r="K5" s="2883"/>
      <c r="L5" s="2883"/>
      <c r="M5" s="2883"/>
      <c r="N5" s="2883"/>
      <c r="O5" s="2883"/>
      <c r="P5" s="2883"/>
    </row>
    <row r="6" spans="1:16" ht="15" thickBot="1">
      <c r="A6" s="1828"/>
      <c r="B6" s="3188" t="s">
        <v>1797</v>
      </c>
      <c r="C6" s="3188"/>
      <c r="D6" s="48">
        <f>ROUND($D$3*E6/$E$3,2)</f>
        <v>42598.89</v>
      </c>
      <c r="E6" s="49">
        <f>E3-E5</f>
        <v>117964.09999999983</v>
      </c>
      <c r="F6" s="2883"/>
      <c r="G6" s="2877" t="s">
        <v>1798</v>
      </c>
      <c r="H6" s="1307" t="s">
        <v>1799</v>
      </c>
      <c r="I6" s="2878">
        <f>ROUND(F31/D31,2)</f>
        <v>2.34</v>
      </c>
      <c r="J6" s="2883"/>
      <c r="K6" s="2883"/>
      <c r="L6" s="2883"/>
      <c r="M6" s="2883"/>
      <c r="N6" s="2883"/>
      <c r="O6" s="2883"/>
      <c r="P6" s="2883"/>
    </row>
    <row r="7" spans="1:16" ht="15.75" thickBot="1">
      <c r="A7" s="3180"/>
      <c r="B7" s="3181"/>
      <c r="C7" s="3182"/>
      <c r="D7" s="1825" t="s">
        <v>1793</v>
      </c>
      <c r="E7" s="1829" t="s">
        <v>1800</v>
      </c>
      <c r="F7" s="2883"/>
      <c r="G7" s="2879" t="s">
        <v>1801</v>
      </c>
      <c r="H7" s="2880"/>
      <c r="I7" s="2881">
        <v>2.5</v>
      </c>
      <c r="J7" s="2883"/>
      <c r="K7" s="2883"/>
      <c r="L7" s="2883"/>
      <c r="M7" s="2883"/>
      <c r="N7" s="2883"/>
      <c r="O7" s="2883"/>
      <c r="P7" s="2883"/>
    </row>
    <row r="8" spans="1:16">
      <c r="A8" s="47" t="s">
        <v>1802</v>
      </c>
      <c r="B8" s="50" t="s">
        <v>1803</v>
      </c>
      <c r="C8" s="48" t="s">
        <v>1804</v>
      </c>
      <c r="D8" s="48">
        <f t="shared" ref="D8:D15" si="0">ROUND($D$3*E8/$E$3,2)</f>
        <v>36045.78</v>
      </c>
      <c r="E8" s="51">
        <f>SUMIF('数据-基础表'!BB10:BK10,"地上",'数据-基础表'!BB5:BK5)</f>
        <v>99817.340000000026</v>
      </c>
      <c r="F8" s="2883"/>
      <c r="G8" s="2884"/>
      <c r="H8" s="2884"/>
      <c r="I8" s="2883"/>
      <c r="J8" s="2883"/>
      <c r="K8" s="2883"/>
      <c r="L8" s="2883"/>
      <c r="M8" s="2883"/>
      <c r="N8" s="2883"/>
      <c r="O8" s="2883"/>
      <c r="P8" s="2883"/>
    </row>
    <row r="9" spans="1:16">
      <c r="A9" s="1830"/>
      <c r="B9" s="1831"/>
      <c r="C9" s="48" t="s">
        <v>1805</v>
      </c>
      <c r="D9" s="48">
        <f t="shared" si="0"/>
        <v>0</v>
      </c>
      <c r="E9" s="52">
        <v>0</v>
      </c>
      <c r="F9" s="2883"/>
      <c r="G9" s="2884"/>
      <c r="H9" s="2884"/>
      <c r="I9" s="2883"/>
      <c r="J9" s="2883"/>
      <c r="K9" s="2883"/>
      <c r="L9" s="2883"/>
      <c r="M9" s="2883"/>
      <c r="N9" s="2883"/>
      <c r="O9" s="2883"/>
      <c r="P9" s="2883"/>
    </row>
    <row r="10" spans="1:16">
      <c r="A10" s="1830"/>
      <c r="B10" s="1831"/>
      <c r="C10" s="48" t="s">
        <v>1814</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30"/>
      <c r="B11" s="1831"/>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0"/>
      <c r="B12" s="1831"/>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0"/>
      <c r="B13" s="1831"/>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30"/>
      <c r="B14" s="1831"/>
      <c r="C14" s="48" t="s">
        <v>1820</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0"/>
      <c r="B15" s="1831"/>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8"/>
      <c r="B16" s="1831"/>
      <c r="C16" s="50" t="s">
        <v>1809</v>
      </c>
      <c r="D16" s="50">
        <f>SUM(D8:D15)</f>
        <v>36045.78</v>
      </c>
      <c r="E16" s="53">
        <f>SUM(E8:E15)</f>
        <v>99817.340000000026</v>
      </c>
      <c r="F16" s="2883"/>
      <c r="G16" s="2884"/>
      <c r="H16" s="1832" t="s">
        <v>1821</v>
      </c>
      <c r="I16" s="1833"/>
      <c r="J16" s="1300"/>
      <c r="K16" s="3177" t="s">
        <v>1821</v>
      </c>
      <c r="L16" s="3178"/>
      <c r="M16" s="3178"/>
      <c r="N16" s="3178"/>
      <c r="O16" s="3178"/>
      <c r="P16" s="3179"/>
    </row>
    <row r="17" spans="1:19" ht="15">
      <c r="A17" s="1834" t="s">
        <v>1822</v>
      </c>
      <c r="B17" s="1835" t="s">
        <v>1823</v>
      </c>
      <c r="C17" s="1836" t="s">
        <v>1824</v>
      </c>
      <c r="D17" s="1837" t="s">
        <v>1812</v>
      </c>
      <c r="E17" s="1838" t="s">
        <v>1813</v>
      </c>
      <c r="F17" s="1839"/>
      <c r="G17" s="1840"/>
      <c r="H17" s="1841" t="s">
        <v>1825</v>
      </c>
      <c r="I17" s="1842" t="s">
        <v>1810</v>
      </c>
      <c r="J17" s="1300"/>
      <c r="K17" s="3174" t="s">
        <v>1826</v>
      </c>
      <c r="L17" s="3175"/>
      <c r="M17" s="3176"/>
      <c r="N17" s="3174" t="s">
        <v>1827</v>
      </c>
      <c r="O17" s="3175"/>
      <c r="P17" s="3176"/>
      <c r="R17" s="1824" t="s">
        <v>1828</v>
      </c>
      <c r="S17" s="59"/>
    </row>
    <row r="18" spans="1:19" ht="15">
      <c r="A18" s="1830"/>
      <c r="B18" s="1843"/>
      <c r="C18" s="1844"/>
      <c r="D18" s="1845"/>
      <c r="E18" s="1846" t="s">
        <v>1829</v>
      </c>
      <c r="F18" s="1847" t="s">
        <v>1830</v>
      </c>
      <c r="G18" s="1848" t="s">
        <v>1831</v>
      </c>
      <c r="H18" s="1171" t="s">
        <v>1832</v>
      </c>
      <c r="I18" s="1849" t="s">
        <v>1833</v>
      </c>
      <c r="J18" s="1300"/>
      <c r="K18" s="1171" t="s">
        <v>1834</v>
      </c>
      <c r="L18" s="1850" t="s">
        <v>1835</v>
      </c>
      <c r="M18" s="963" t="s">
        <v>1836</v>
      </c>
      <c r="N18" s="1171" t="s">
        <v>1834</v>
      </c>
      <c r="O18" s="1850" t="s">
        <v>1835</v>
      </c>
      <c r="P18" s="963" t="s">
        <v>1836</v>
      </c>
      <c r="R18" s="1156" t="s">
        <v>1837</v>
      </c>
      <c r="S18" s="1156" t="s">
        <v>1838</v>
      </c>
    </row>
    <row r="19" spans="1:19">
      <c r="A19" s="1851"/>
      <c r="B19" s="50" t="s">
        <v>1811</v>
      </c>
      <c r="C19" s="3064" t="s">
        <v>4546</v>
      </c>
      <c r="D19" s="48">
        <f>ROUND($D$3*E19/$E$3,2)</f>
        <v>24871.19</v>
      </c>
      <c r="E19" s="56">
        <f t="shared" ref="E19:E26" si="1">SUM(F19:G19)</f>
        <v>68872.860000000015</v>
      </c>
      <c r="F19" s="3023">
        <f>SUM('数据-基础表'!I13:I18)</f>
        <v>68872.860000000015</v>
      </c>
      <c r="G19" s="3024"/>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3"/>
      <c r="O19" s="1854"/>
      <c r="P19" s="1311">
        <f>N19+O19</f>
        <v>0</v>
      </c>
      <c r="R19" s="1156">
        <f t="shared" ref="R19:S26" si="5">D19+H19</f>
        <v>24871.19</v>
      </c>
      <c r="S19" s="1157">
        <f t="shared" si="5"/>
        <v>68872.860000000015</v>
      </c>
    </row>
    <row r="20" spans="1:19">
      <c r="A20" s="1855"/>
      <c r="B20" s="50" t="s">
        <v>1839</v>
      </c>
      <c r="C20" s="1852" t="s">
        <v>4544</v>
      </c>
      <c r="D20" s="48">
        <f t="shared" ref="D20:D26" si="6">ROUND($D$3*E20/$E$3,2)</f>
        <v>2452.7199999999998</v>
      </c>
      <c r="E20" s="56">
        <f t="shared" si="1"/>
        <v>6792.0199999999995</v>
      </c>
      <c r="F20" s="3023">
        <f>'数据-基础表'!I19+'数据-基础表'!I22+'数据-基础表'!I25</f>
        <v>6792.0199999999995</v>
      </c>
      <c r="G20" s="3024"/>
      <c r="H20" s="678">
        <f t="shared" ref="H20:H26" si="7">ROUND($D$3*I20/$E$3,2)</f>
        <v>0</v>
      </c>
      <c r="I20" s="51">
        <f t="shared" si="2"/>
        <v>0</v>
      </c>
      <c r="J20" s="1300"/>
      <c r="K20" s="1299">
        <f t="shared" si="3"/>
        <v>0</v>
      </c>
      <c r="L20" s="1156">
        <f t="shared" si="4"/>
        <v>0</v>
      </c>
      <c r="M20" s="1311">
        <f t="shared" ref="M20:M26" si="8">K20+L20</f>
        <v>0</v>
      </c>
      <c r="N20" s="1853"/>
      <c r="O20" s="1854"/>
      <c r="P20" s="1311">
        <f t="shared" ref="P20:P26" si="9">N20+O20</f>
        <v>0</v>
      </c>
      <c r="R20" s="1156">
        <f t="shared" si="5"/>
        <v>2452.7199999999998</v>
      </c>
      <c r="S20" s="1157">
        <f t="shared" si="5"/>
        <v>6792.0199999999995</v>
      </c>
    </row>
    <row r="21" spans="1:19">
      <c r="A21" s="1855"/>
      <c r="B21" s="50" t="s">
        <v>1839</v>
      </c>
      <c r="C21" s="1852" t="s">
        <v>4543</v>
      </c>
      <c r="D21" s="48">
        <f t="shared" si="6"/>
        <v>5177.3100000000004</v>
      </c>
      <c r="E21" s="56">
        <f t="shared" si="1"/>
        <v>14336.920000000007</v>
      </c>
      <c r="F21" s="3023">
        <f>'数据-基础表'!I20+'数据-基础表'!I21</f>
        <v>14336.920000000007</v>
      </c>
      <c r="G21" s="3024"/>
      <c r="H21" s="678">
        <f t="shared" si="7"/>
        <v>0</v>
      </c>
      <c r="I21" s="51">
        <f t="shared" si="2"/>
        <v>0</v>
      </c>
      <c r="J21" s="1300"/>
      <c r="K21" s="1299">
        <f t="shared" si="3"/>
        <v>0</v>
      </c>
      <c r="L21" s="1156">
        <f t="shared" si="4"/>
        <v>0</v>
      </c>
      <c r="M21" s="1311">
        <f t="shared" si="8"/>
        <v>0</v>
      </c>
      <c r="N21" s="1853"/>
      <c r="O21" s="1854"/>
      <c r="P21" s="1311">
        <f t="shared" si="9"/>
        <v>0</v>
      </c>
      <c r="R21" s="1156">
        <f t="shared" si="5"/>
        <v>5177.3100000000004</v>
      </c>
      <c r="S21" s="1157">
        <f t="shared" si="5"/>
        <v>14336.920000000007</v>
      </c>
    </row>
    <row r="22" spans="1:19">
      <c r="A22" s="1855"/>
      <c r="B22" s="50" t="s">
        <v>1839</v>
      </c>
      <c r="C22" s="58" t="s">
        <v>4542</v>
      </c>
      <c r="D22" s="48">
        <f t="shared" si="6"/>
        <v>2645.09</v>
      </c>
      <c r="E22" s="56">
        <f t="shared" si="1"/>
        <v>7324.73</v>
      </c>
      <c r="F22" s="3025">
        <f>'数据-基础表'!I23+'数据-基础表'!I24</f>
        <v>7324.73</v>
      </c>
      <c r="G22" s="3026"/>
      <c r="H22" s="678">
        <f t="shared" si="7"/>
        <v>0</v>
      </c>
      <c r="I22" s="51">
        <f t="shared" si="2"/>
        <v>0</v>
      </c>
      <c r="J22" s="1300"/>
      <c r="K22" s="1299">
        <f t="shared" si="3"/>
        <v>0</v>
      </c>
      <c r="L22" s="1156">
        <f t="shared" si="4"/>
        <v>0</v>
      </c>
      <c r="M22" s="1311">
        <f t="shared" si="8"/>
        <v>0</v>
      </c>
      <c r="N22" s="1853"/>
      <c r="O22" s="1854"/>
      <c r="P22" s="1311">
        <f t="shared" si="9"/>
        <v>0</v>
      </c>
      <c r="R22" s="1156">
        <f t="shared" si="5"/>
        <v>2645.09</v>
      </c>
      <c r="S22" s="1157">
        <f t="shared" si="5"/>
        <v>7324.73</v>
      </c>
    </row>
    <row r="23" spans="1:19">
      <c r="A23" s="1855"/>
      <c r="B23" s="50" t="s">
        <v>1839</v>
      </c>
      <c r="C23" s="58" t="s">
        <v>4739</v>
      </c>
      <c r="D23" s="48">
        <f>ROUND($D$3*E23/$E$3,2)</f>
        <v>441.56</v>
      </c>
      <c r="E23" s="56">
        <f>SUM(F23:G23)</f>
        <v>1222.7700000000002</v>
      </c>
      <c r="F23" s="3025">
        <f>'数据-基础表'!I26</f>
        <v>1222.7700000000002</v>
      </c>
      <c r="G23" s="3026"/>
      <c r="H23" s="678">
        <f>ROUND($D$3*I23/$E$3,2)</f>
        <v>0</v>
      </c>
      <c r="I23" s="51">
        <f t="shared" si="2"/>
        <v>0</v>
      </c>
      <c r="J23" s="1300"/>
      <c r="K23" s="1299">
        <f t="shared" si="3"/>
        <v>0</v>
      </c>
      <c r="L23" s="1156">
        <f t="shared" si="4"/>
        <v>0</v>
      </c>
      <c r="M23" s="1311">
        <f t="shared" si="8"/>
        <v>0</v>
      </c>
      <c r="N23" s="1853"/>
      <c r="O23" s="1854"/>
      <c r="P23" s="1311">
        <f t="shared" si="9"/>
        <v>0</v>
      </c>
      <c r="R23" s="1156">
        <f t="shared" si="5"/>
        <v>441.56</v>
      </c>
      <c r="S23" s="1157">
        <f t="shared" si="5"/>
        <v>1222.7700000000002</v>
      </c>
    </row>
    <row r="24" spans="1:19">
      <c r="A24" s="1855"/>
      <c r="B24" s="50" t="s">
        <v>1839</v>
      </c>
      <c r="C24" s="3068" t="s">
        <v>4736</v>
      </c>
      <c r="D24" s="48">
        <f>ROUND($D$3*E24/$E$3,2)</f>
        <v>210.81</v>
      </c>
      <c r="E24" s="56">
        <f>SUM(F24:G24)</f>
        <v>583.78</v>
      </c>
      <c r="F24" s="3025">
        <f>'数据-基础表'!I27</f>
        <v>583.78</v>
      </c>
      <c r="G24" s="3026"/>
      <c r="H24" s="678">
        <f>ROUND($D$3*I24/$E$3,2)</f>
        <v>0</v>
      </c>
      <c r="I24" s="51">
        <f t="shared" si="2"/>
        <v>0</v>
      </c>
      <c r="J24" s="1300"/>
      <c r="K24" s="1299">
        <f t="shared" si="3"/>
        <v>0</v>
      </c>
      <c r="L24" s="1156">
        <f t="shared" si="4"/>
        <v>0</v>
      </c>
      <c r="M24" s="1311">
        <f t="shared" si="8"/>
        <v>0</v>
      </c>
      <c r="N24" s="1853"/>
      <c r="O24" s="1854"/>
      <c r="P24" s="1311">
        <f t="shared" si="9"/>
        <v>0</v>
      </c>
      <c r="R24" s="1156">
        <f t="shared" si="5"/>
        <v>210.81</v>
      </c>
      <c r="S24" s="1157">
        <f t="shared" si="5"/>
        <v>583.78</v>
      </c>
    </row>
    <row r="25" spans="1:19">
      <c r="A25" s="1855"/>
      <c r="B25" s="50" t="s">
        <v>1839</v>
      </c>
      <c r="C25" s="3068" t="s">
        <v>4737</v>
      </c>
      <c r="D25" s="48">
        <f t="shared" si="6"/>
        <v>247.1</v>
      </c>
      <c r="E25" s="56">
        <f t="shared" si="1"/>
        <v>684.26</v>
      </c>
      <c r="F25" s="3025">
        <f>'数据-基础表'!I28</f>
        <v>684.26</v>
      </c>
      <c r="G25" s="3026"/>
      <c r="H25" s="47">
        <f t="shared" si="7"/>
        <v>0</v>
      </c>
      <c r="I25" s="51">
        <f t="shared" si="2"/>
        <v>0</v>
      </c>
      <c r="J25" s="1300"/>
      <c r="K25" s="1299">
        <f t="shared" si="3"/>
        <v>0</v>
      </c>
      <c r="L25" s="1156">
        <f t="shared" si="4"/>
        <v>0</v>
      </c>
      <c r="M25" s="1311">
        <f t="shared" si="8"/>
        <v>0</v>
      </c>
      <c r="N25" s="1853"/>
      <c r="O25" s="1854"/>
      <c r="P25" s="1311">
        <f t="shared" si="9"/>
        <v>0</v>
      </c>
      <c r="R25" s="1156">
        <f t="shared" si="5"/>
        <v>247.1</v>
      </c>
      <c r="S25" s="1157">
        <f t="shared" si="5"/>
        <v>684.26</v>
      </c>
    </row>
    <row r="26" spans="1:19">
      <c r="A26" s="1855"/>
      <c r="B26" s="50" t="s">
        <v>1839</v>
      </c>
      <c r="C26" s="3098" t="s">
        <v>4738</v>
      </c>
      <c r="D26" s="48">
        <f t="shared" si="6"/>
        <v>6553.11</v>
      </c>
      <c r="E26" s="56">
        <f t="shared" si="1"/>
        <v>18146.759999999813</v>
      </c>
      <c r="F26" s="3025"/>
      <c r="G26" s="3026">
        <f>'数据-基础表'!K29</f>
        <v>18146.759999999813</v>
      </c>
      <c r="H26" s="47">
        <f t="shared" si="7"/>
        <v>0</v>
      </c>
      <c r="I26" s="51">
        <f t="shared" si="2"/>
        <v>0</v>
      </c>
      <c r="J26" s="1300"/>
      <c r="K26" s="1306">
        <f t="shared" si="3"/>
        <v>0</v>
      </c>
      <c r="L26" s="1307">
        <f t="shared" si="4"/>
        <v>0</v>
      </c>
      <c r="M26" s="62">
        <f t="shared" si="8"/>
        <v>0</v>
      </c>
      <c r="N26" s="1856"/>
      <c r="O26" s="1857"/>
      <c r="P26" s="62">
        <f t="shared" si="9"/>
        <v>0</v>
      </c>
      <c r="R26" s="1156">
        <f t="shared" si="5"/>
        <v>6553.11</v>
      </c>
      <c r="S26" s="1157">
        <f t="shared" si="5"/>
        <v>18146.759999999813</v>
      </c>
    </row>
    <row r="27" spans="1:19" ht="15.75" thickBot="1">
      <c r="A27" s="1855"/>
      <c r="B27" s="48"/>
      <c r="C27" s="1858" t="s">
        <v>1840</v>
      </c>
      <c r="D27" s="1301">
        <f>SUM(D19:D26)</f>
        <v>42598.889999999992</v>
      </c>
      <c r="E27" s="1302">
        <f>IF(SUM(E19:E26)='数据-基础表'!BA5,SUM(E19:E26),IF(F27="地上面积有误","面积有误","地下面积有误"))</f>
        <v>117964.09999999983</v>
      </c>
      <c r="F27" s="1301">
        <f>IF(SUM(F19:F26)=E8,SUM(F19:F26),"地上面积有误")</f>
        <v>99817.340000000026</v>
      </c>
      <c r="G27" s="1303">
        <f>SUM(G19:G26)</f>
        <v>18146.759999999813</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42598.889999999992</v>
      </c>
      <c r="S27" s="1156">
        <f>IF(SUM(S19:S26)=$E$3,SUM(S19:S26),SUM(S19:S26)&amp;"误差"&amp;ROUND(SUM(S19:S26)-E3,2))</f>
        <v>117964.09999999983</v>
      </c>
    </row>
    <row r="28" spans="1:19">
      <c r="A28" s="1855"/>
      <c r="B28" s="50" t="s">
        <v>1841</v>
      </c>
      <c r="C28" s="1168" t="s">
        <v>1842</v>
      </c>
      <c r="D28" s="48">
        <f>ROUND($D$3*E28/$E$3,2)</f>
        <v>0</v>
      </c>
      <c r="E28" s="56">
        <f>SUM(F28:G28)</f>
        <v>0</v>
      </c>
      <c r="F28" s="59">
        <f>'数据-基础表'!BQ5+'数据-基础表'!BS5</f>
        <v>0</v>
      </c>
      <c r="G28" s="60">
        <f>'数据-基础表'!BR5+'数据-基础表'!BT5</f>
        <v>0</v>
      </c>
      <c r="H28" s="2883"/>
      <c r="I28" s="2883"/>
      <c r="J28" s="2883"/>
      <c r="K28" s="2883"/>
      <c r="L28" s="2883"/>
      <c r="M28" s="2883"/>
      <c r="N28" s="2883"/>
      <c r="O28" s="2883"/>
      <c r="P28" s="2883"/>
    </row>
    <row r="29" spans="1:19">
      <c r="A29" s="1855"/>
      <c r="B29" s="50" t="s">
        <v>1841</v>
      </c>
      <c r="C29" s="1859" t="s">
        <v>1843</v>
      </c>
      <c r="D29" s="48">
        <f>ROUND($D$3*E29/$E$3,2)</f>
        <v>0</v>
      </c>
      <c r="E29" s="56">
        <f>SUM(F29:G29)</f>
        <v>0</v>
      </c>
      <c r="F29" s="61">
        <f>'数据-基础表'!BM5+'数据-基础表'!BO5</f>
        <v>0</v>
      </c>
      <c r="G29" s="62">
        <f>'数据-基础表'!BN5+'数据-基础表'!BP5</f>
        <v>0</v>
      </c>
      <c r="H29" s="2883"/>
      <c r="I29" s="2883"/>
      <c r="J29" s="2883"/>
      <c r="K29" s="2883"/>
      <c r="L29" s="2883"/>
      <c r="M29" s="2883"/>
      <c r="N29" s="2883"/>
      <c r="O29" s="2883"/>
      <c r="P29" s="2883"/>
    </row>
    <row r="30" spans="1:19" ht="15">
      <c r="A30" s="1855"/>
      <c r="B30" s="50"/>
      <c r="C30" s="1860" t="s">
        <v>1840</v>
      </c>
      <c r="D30" s="1301">
        <f>SUM(D28:D29)</f>
        <v>0</v>
      </c>
      <c r="E30" s="1301">
        <f>SUM(E28:E29)</f>
        <v>0</v>
      </c>
      <c r="F30" s="1301">
        <f>SUM(F28:F29)</f>
        <v>0</v>
      </c>
      <c r="G30" s="1303">
        <f>SUM(G28:G29)</f>
        <v>0</v>
      </c>
      <c r="H30" s="2883"/>
      <c r="I30" s="2883"/>
      <c r="J30" s="2883"/>
      <c r="K30" s="2883"/>
      <c r="L30" s="2883"/>
      <c r="M30" s="2883"/>
      <c r="N30" s="2883"/>
      <c r="O30" s="2883"/>
      <c r="P30" s="2883"/>
    </row>
    <row r="31" spans="1:19" ht="15.75" thickBot="1">
      <c r="A31" s="1861"/>
      <c r="B31" s="1862"/>
      <c r="C31" s="943" t="s">
        <v>1844</v>
      </c>
      <c r="D31" s="684">
        <f>D27+D30</f>
        <v>42598.889999999992</v>
      </c>
      <c r="E31" s="684">
        <f>E27+E30</f>
        <v>117964.09999999983</v>
      </c>
      <c r="F31" s="685">
        <f>F27+F30</f>
        <v>99817.340000000026</v>
      </c>
      <c r="G31" s="686">
        <f>G27+G30</f>
        <v>18146.759999999813</v>
      </c>
      <c r="H31" s="2883"/>
      <c r="I31" s="2883"/>
      <c r="J31" s="2883"/>
      <c r="K31" s="2883"/>
      <c r="L31" s="2883"/>
      <c r="M31" s="2883"/>
      <c r="N31" s="2883"/>
      <c r="O31" s="2883"/>
      <c r="P31" s="2883"/>
    </row>
    <row r="32" spans="1:19">
      <c r="A32" s="1827"/>
      <c r="B32" s="1827" t="s">
        <v>1845</v>
      </c>
      <c r="C32" s="1827"/>
      <c r="D32" s="1827"/>
      <c r="E32" s="1183">
        <f>SUMIF(C19:C26,"*住宅*",E19:E26)</f>
        <v>0</v>
      </c>
      <c r="F32" s="1827"/>
      <c r="G32" s="1827"/>
      <c r="H32" s="2883"/>
      <c r="I32" s="2883"/>
      <c r="J32" s="2883"/>
      <c r="K32" s="2883"/>
      <c r="L32" s="2883"/>
      <c r="M32" s="2883"/>
      <c r="N32" s="2883"/>
      <c r="O32" s="2883"/>
      <c r="P32" s="2883"/>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G28" sqref="G28"/>
    </sheetView>
  </sheetViews>
  <sheetFormatPr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24" width="6.75" style="1867" customWidth="1"/>
    <col min="25" max="25" width="7.875" style="1867" bestFit="1" customWidth="1"/>
    <col min="26"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9" style="1866"/>
    <col min="68" max="16384" width="9" style="1867"/>
  </cols>
  <sheetData>
    <row r="1" spans="1:67" ht="19.5" thickBot="1">
      <c r="A1" s="1864" t="s">
        <v>1846</v>
      </c>
      <c r="B1" s="687"/>
      <c r="C1" s="1352"/>
      <c r="D1" s="1865"/>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7"/>
      <c r="AO1" s="2897"/>
      <c r="AP1" s="2897"/>
      <c r="AQ1" s="2897"/>
      <c r="AR1" s="2897"/>
    </row>
    <row r="2" spans="1:67" s="1743" customFormat="1" ht="15.75" thickBot="1">
      <c r="A2" s="1868" t="s">
        <v>1847</v>
      </c>
      <c r="B2" s="1175">
        <f>项目基本情况!D3</f>
        <v>44478</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9"/>
      <c r="AO2" s="2899"/>
      <c r="AP2" s="2899"/>
      <c r="AQ2" s="2899"/>
      <c r="AR2" s="2899"/>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9"/>
      <c r="AO3" s="2899"/>
      <c r="AP3" s="2899"/>
      <c r="AQ3" s="2899"/>
      <c r="AR3" s="2899"/>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3" t="s">
        <v>1848</v>
      </c>
      <c r="B4" s="1873"/>
      <c r="C4" s="1874"/>
      <c r="D4" s="1875"/>
      <c r="E4" s="1874" t="s">
        <v>1849</v>
      </c>
      <c r="F4" s="1874"/>
      <c r="G4" s="1874"/>
      <c r="H4" s="1874"/>
      <c r="I4" s="1874"/>
      <c r="J4" s="1876"/>
      <c r="K4" s="1877"/>
      <c r="L4" s="1878"/>
      <c r="M4" s="1874"/>
      <c r="N4" s="1874" t="s">
        <v>1850</v>
      </c>
      <c r="O4" s="1874"/>
      <c r="P4" s="1874"/>
      <c r="Q4" s="1874"/>
      <c r="R4" s="1874"/>
      <c r="S4" s="1876"/>
      <c r="T4" s="2882"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899"/>
      <c r="AO4" s="2899"/>
      <c r="AP4" s="2899"/>
      <c r="AQ4" s="2899"/>
      <c r="AR4" s="2899"/>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7" t="s">
        <v>1858</v>
      </c>
      <c r="F5" s="1884" t="s">
        <v>1859</v>
      </c>
      <c r="G5" s="1177" t="s">
        <v>1860</v>
      </c>
      <c r="H5" s="1177" t="s">
        <v>1861</v>
      </c>
      <c r="I5" s="1177" t="s">
        <v>1862</v>
      </c>
      <c r="J5" s="1885" t="s">
        <v>1863</v>
      </c>
      <c r="K5" s="1886" t="s">
        <v>1864</v>
      </c>
      <c r="L5" s="1887" t="s">
        <v>1865</v>
      </c>
      <c r="M5" s="1888" t="s">
        <v>1866</v>
      </c>
      <c r="N5" s="1889" t="s">
        <v>1867</v>
      </c>
      <c r="O5" s="1887" t="s">
        <v>1868</v>
      </c>
      <c r="P5" s="1890" t="s">
        <v>1869</v>
      </c>
      <c r="Q5" s="64" t="s">
        <v>1870</v>
      </c>
      <c r="R5" s="1891" t="s">
        <v>1871</v>
      </c>
      <c r="S5" s="1892" t="s">
        <v>1872</v>
      </c>
      <c r="T5" s="1893" t="s">
        <v>1873</v>
      </c>
      <c r="U5" s="1176" t="s">
        <v>1874</v>
      </c>
      <c r="V5" s="1177" t="s">
        <v>1875</v>
      </c>
      <c r="W5" s="1177" t="s">
        <v>1876</v>
      </c>
      <c r="X5" s="66"/>
      <c r="Y5" s="65" t="s">
        <v>1877</v>
      </c>
      <c r="Z5" s="1894" t="s">
        <v>1874</v>
      </c>
      <c r="AA5" s="1177" t="s">
        <v>1875</v>
      </c>
      <c r="AB5" s="1177" t="s">
        <v>1876</v>
      </c>
      <c r="AC5" s="66"/>
      <c r="AD5" s="66" t="s">
        <v>1877</v>
      </c>
      <c r="AE5" s="1176" t="s">
        <v>1878</v>
      </c>
      <c r="AF5" s="1177" t="s">
        <v>1879</v>
      </c>
      <c r="AG5" s="65" t="s">
        <v>1880</v>
      </c>
      <c r="AH5" s="1176" t="s">
        <v>1881</v>
      </c>
      <c r="AI5" s="1894" t="s">
        <v>1882</v>
      </c>
      <c r="AJ5" s="1894" t="s">
        <v>1883</v>
      </c>
      <c r="AK5" s="1177" t="s">
        <v>1884</v>
      </c>
      <c r="AL5" s="1177" t="s">
        <v>1885</v>
      </c>
      <c r="AM5" s="65" t="s">
        <v>1886</v>
      </c>
      <c r="AN5" s="1895" t="s">
        <v>1887</v>
      </c>
      <c r="AO5" s="1746" t="s">
        <v>1888</v>
      </c>
      <c r="AP5" s="1158" t="s">
        <v>1889</v>
      </c>
      <c r="AQ5" s="1896" t="s">
        <v>1890</v>
      </c>
      <c r="AR5" s="1896" t="s">
        <v>1891</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1、2、3、4、5、6</v>
      </c>
      <c r="B6" s="1898" t="str">
        <f>IF(A6=0,"","经营性")</f>
        <v>经营性</v>
      </c>
      <c r="C6" s="1899" t="s">
        <v>4540</v>
      </c>
      <c r="D6" s="966">
        <f>SUMIF(项目基本情况!D$12:I$12,C6,项目基本情况!D$14:I$14)</f>
        <v>70</v>
      </c>
      <c r="E6" s="965">
        <f>IF(B6="","",SUMIF(项目基本情况!D$12:I$12,C6,项目基本情况!D$13:I$13))</f>
        <v>69560</v>
      </c>
      <c r="F6" s="67">
        <f>SUMIF(项目基本情况!D$12:I$12,C6,项目基本情况!D$15:I$15)</f>
        <v>68.709999999999994</v>
      </c>
      <c r="G6" s="68">
        <f>IF(ISERROR(ROUND(POWER(1+H6,D6-F6)*(POWER(1+H6,F6)-1)/(POWER(1+H6,D6)-1),3)),0,ROUND(POWER(1+H6,D6-F6)*(POWER(1+H6,F6)-1)/(POWER(1+H6,D6)-1),3))</f>
        <v>0.997</v>
      </c>
      <c r="H6" s="740">
        <v>4.4999999999999998E-2</v>
      </c>
      <c r="I6" s="740">
        <v>0.05</v>
      </c>
      <c r="J6" s="69">
        <v>8.5000000000000006E-2</v>
      </c>
      <c r="K6" s="1160">
        <f>SUMIF('数据-汇总表'!C$19:C$33,A6,'数据-汇总表'!E$19:E$33)</f>
        <v>68872.860000000015</v>
      </c>
      <c r="L6" s="741">
        <v>3500</v>
      </c>
      <c r="M6" s="70">
        <f t="shared" ref="M6:M14" si="0">ROUND(K6*L6/10000,0)</f>
        <v>24106</v>
      </c>
      <c r="N6" s="739">
        <v>0</v>
      </c>
      <c r="O6" s="70">
        <f>IF($N$5="成新度","——",ROUND(M6*N6,0))</f>
        <v>0</v>
      </c>
      <c r="P6" s="71">
        <f>IF($N$5="成新度","——",M6-O6)</f>
        <v>24106</v>
      </c>
      <c r="Q6" s="742">
        <v>0.1</v>
      </c>
      <c r="R6" s="72">
        <f ca="1">SUMIF('数据-汇总表'!C$19:C$33,A6,'数据-汇总表'!R$19:R$27)</f>
        <v>24871.19</v>
      </c>
      <c r="S6" s="54">
        <f>IF('数据-汇总表'!$I$17="按面积比例",SUMIF('数据-汇总表'!C$19:C$33,A6,'数据-汇总表'!K$19:K$33),SUMIF('数据-汇总表'!C$19:C$33,A6,'数据-汇总表'!N$19:N$33))</f>
        <v>0</v>
      </c>
      <c r="T6" s="1333">
        <f>ROUND($L$14*S6/10000,0)</f>
        <v>0</v>
      </c>
      <c r="U6" s="73"/>
      <c r="V6" s="74"/>
      <c r="W6" s="74"/>
      <c r="X6" s="1170"/>
      <c r="Y6" s="75"/>
      <c r="Z6" s="76"/>
      <c r="AA6" s="69"/>
      <c r="AB6" s="69"/>
      <c r="AC6" s="1170"/>
      <c r="AD6" s="77"/>
      <c r="AE6" s="1171">
        <f ca="1">IF(AN6="",0,SUMIF(INDIRECT("'"&amp;AN6&amp;"'"&amp;"!E:E"),$AE$5,INDIRECT("'"&amp;AN6&amp;"'"&amp;"!F:F")))</f>
        <v>0</v>
      </c>
      <c r="AF6" s="1531"/>
      <c r="AG6" s="142">
        <f>IF(AF6="",0,AE6-AF6)</f>
        <v>0</v>
      </c>
      <c r="AH6" s="78"/>
      <c r="AI6" s="80"/>
      <c r="AJ6" s="81"/>
      <c r="AK6" s="82"/>
      <c r="AL6" s="83"/>
      <c r="AM6" s="84"/>
      <c r="AN6" s="1900"/>
      <c r="AO6" s="55" t="e">
        <f ca="1">SUMIF(INDIRECT("'"&amp;AN6&amp;"'"&amp;"!A:A"),"总价",INDIRECT("'"&amp;AN6&amp;"'"&amp;"!B:B"))</f>
        <v>#REF!</v>
      </c>
      <c r="AP6" s="1901">
        <f>IF(C6="住宅",K6*L6,0)</f>
        <v>241055010.00000006</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7、10、13</v>
      </c>
      <c r="B7" s="1898" t="str">
        <f t="shared" ref="B7:B13" si="1">IF(A7=0,"","经营性")</f>
        <v>经营性</v>
      </c>
      <c r="C7" s="1899" t="s">
        <v>4540</v>
      </c>
      <c r="D7" s="966">
        <f>SUMIF(项目基本情况!D$12:I$12,C7,项目基本情况!D$14:I$14)</f>
        <v>70</v>
      </c>
      <c r="E7" s="965">
        <f>IF(B7="","",SUMIF(项目基本情况!D$12:I$12,C7,项目基本情况!D$13:I$13))</f>
        <v>69560</v>
      </c>
      <c r="F7" s="67">
        <f>SUMIF(项目基本情况!D$12:I$12,C7,项目基本情况!D$15:I$15)</f>
        <v>68.709999999999994</v>
      </c>
      <c r="G7" s="68">
        <f t="shared" ref="G7:G11" si="2">IF(ISERROR(ROUND(POWER(1+H7,D7-F7)*(POWER(1+H7,F7)-1)/(POWER(1+H7,D7)-1),3)),0,ROUND(POWER(1+H7,D7-F7)*(POWER(1+H7,F7)-1)/(POWER(1+H7,D7)-1),3))</f>
        <v>0.997</v>
      </c>
      <c r="H7" s="740">
        <v>4.4999999999999998E-2</v>
      </c>
      <c r="I7" s="740">
        <v>0.05</v>
      </c>
      <c r="J7" s="69">
        <v>8.5000000000000006E-2</v>
      </c>
      <c r="K7" s="1160">
        <f>SUMIF('数据-汇总表'!C$19:C$33,A7,'数据-汇总表'!E$19:E$33)</f>
        <v>6792.0199999999995</v>
      </c>
      <c r="L7" s="3076">
        <v>3500</v>
      </c>
      <c r="M7" s="70">
        <f t="shared" si="0"/>
        <v>2377</v>
      </c>
      <c r="N7" s="739">
        <v>0.4</v>
      </c>
      <c r="O7" s="70">
        <f t="shared" ref="O7:O14" si="3">IF($N$5="成新度","——",ROUND(M7*N7,0))</f>
        <v>951</v>
      </c>
      <c r="P7" s="71">
        <f t="shared" ref="P7:P14" si="4">IF($N$5="成新度","——",M7-O7)</f>
        <v>1426</v>
      </c>
      <c r="Q7" s="742">
        <v>0.1</v>
      </c>
      <c r="R7" s="72">
        <f ca="1">SUMIF('数据-汇总表'!C$19:C$33,A7,'数据-汇总表'!R$19:R$27)</f>
        <v>2452.7199999999998</v>
      </c>
      <c r="S7" s="54">
        <f>IF('数据-汇总表'!$I$17="按面积比例",SUMIF('数据-汇总表'!C$19:C$33,A7,'数据-汇总表'!K$19:K$33),SUMIF('数据-汇总表'!C$19:C$33,A7,'数据-汇总表'!N$19:N$33))</f>
        <v>0</v>
      </c>
      <c r="T7" s="1333">
        <f t="shared" ref="T7:T13" si="5">ROUND($L$14*S7/10000,0)</f>
        <v>0</v>
      </c>
      <c r="U7" s="73"/>
      <c r="V7" s="74"/>
      <c r="W7" s="74"/>
      <c r="X7" s="1170"/>
      <c r="Y7" s="75"/>
      <c r="Z7" s="76"/>
      <c r="AA7" s="69"/>
      <c r="AB7" s="69"/>
      <c r="AC7" s="1170"/>
      <c r="AD7" s="77"/>
      <c r="AE7" s="1171">
        <f t="shared" ref="AE7:AE13" ca="1" si="6">IF(AN7="",0,SUMIF(INDIRECT("'"&amp;AN7&amp;"'"&amp;"!E:E"),$AE$5,INDIRECT("'"&amp;AN7&amp;"'"&amp;"!F:F")))</f>
        <v>0</v>
      </c>
      <c r="AF7" s="1531"/>
      <c r="AG7" s="142">
        <f t="shared" ref="AG7:AG13" si="7">IF(AF7="",0,AE7-AF7)</f>
        <v>0</v>
      </c>
      <c r="AH7" s="78"/>
      <c r="AI7" s="80"/>
      <c r="AJ7" s="81"/>
      <c r="AK7" s="82"/>
      <c r="AL7" s="83"/>
      <c r="AM7" s="84"/>
      <c r="AN7" s="1900"/>
      <c r="AO7" s="55" t="e">
        <f t="shared" ref="AO7:AO13" ca="1" si="8">SUMIF(INDIRECT("'"&amp;AN7&amp;"'"&amp;"!A:A"),"总价",INDIRECT("'"&amp;AN7&amp;"'"&amp;"!B:B"))</f>
        <v>#REF!</v>
      </c>
      <c r="AP7" s="1901">
        <f t="shared" ref="AP7:AP13" si="9">IF(C7="住宅",K7*L7,0)</f>
        <v>23772070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t="str">
        <f>'数据-汇总表'!C21</f>
        <v>8、9</v>
      </c>
      <c r="B8" s="1898" t="str">
        <f t="shared" si="1"/>
        <v>经营性</v>
      </c>
      <c r="C8" s="1899" t="s">
        <v>4540</v>
      </c>
      <c r="D8" s="966">
        <f>SUMIF(项目基本情况!D$12:I$12,C8,项目基本情况!D$14:I$14)</f>
        <v>70</v>
      </c>
      <c r="E8" s="965">
        <f>IF(B8="","",SUMIF(项目基本情况!D$12:I$12,C8,项目基本情况!D$13:I$13))</f>
        <v>69560</v>
      </c>
      <c r="F8" s="67">
        <f>SUMIF(项目基本情况!D$12:I$12,C8,项目基本情况!D$15:I$15)</f>
        <v>68.709999999999994</v>
      </c>
      <c r="G8" s="68">
        <f t="shared" si="2"/>
        <v>0.997</v>
      </c>
      <c r="H8" s="740">
        <v>4.4999999999999998E-2</v>
      </c>
      <c r="I8" s="740">
        <v>0.05</v>
      </c>
      <c r="J8" s="69">
        <v>8.5000000000000006E-2</v>
      </c>
      <c r="K8" s="1160">
        <f>SUMIF('数据-汇总表'!C$19:C$33,A8,'数据-汇总表'!E$19:E$33)</f>
        <v>14336.920000000007</v>
      </c>
      <c r="L8" s="3076">
        <v>3500</v>
      </c>
      <c r="M8" s="70">
        <f>ROUND(K8*L8/10000,0)</f>
        <v>5018</v>
      </c>
      <c r="N8" s="739">
        <v>0.45</v>
      </c>
      <c r="O8" s="70">
        <f t="shared" si="3"/>
        <v>2258</v>
      </c>
      <c r="P8" s="71">
        <f t="shared" si="4"/>
        <v>2760</v>
      </c>
      <c r="Q8" s="742">
        <v>0.1</v>
      </c>
      <c r="R8" s="72">
        <f ca="1">SUMIF('数据-汇总表'!C$19:C$33,A8,'数据-汇总表'!R$19:R$27)</f>
        <v>5177.3100000000004</v>
      </c>
      <c r="S8" s="54">
        <f>IF('数据-汇总表'!$I$17="按面积比例",SUMIF('数据-汇总表'!C$19:C$33,A8,'数据-汇总表'!K$19:K$33),SUMIF('数据-汇总表'!C$19:C$33,A8,'数据-汇总表'!N$19:N$33))</f>
        <v>0</v>
      </c>
      <c r="T8" s="1333">
        <f t="shared" si="5"/>
        <v>0</v>
      </c>
      <c r="U8" s="743"/>
      <c r="V8" s="744"/>
      <c r="W8" s="744"/>
      <c r="X8" s="1170"/>
      <c r="Y8" s="745"/>
      <c r="Z8" s="76"/>
      <c r="AA8" s="69"/>
      <c r="AB8" s="69"/>
      <c r="AC8" s="1170"/>
      <c r="AD8" s="77"/>
      <c r="AE8" s="1171">
        <f t="shared" ca="1" si="6"/>
        <v>0</v>
      </c>
      <c r="AF8" s="1531"/>
      <c r="AG8" s="142">
        <f t="shared" si="7"/>
        <v>0</v>
      </c>
      <c r="AH8" s="746"/>
      <c r="AI8" s="80"/>
      <c r="AJ8" s="81"/>
      <c r="AK8" s="747"/>
      <c r="AL8" s="748"/>
      <c r="AM8" s="749"/>
      <c r="AN8" s="1900"/>
      <c r="AO8" s="55" t="e">
        <f t="shared" ca="1" si="8"/>
        <v>#REF!</v>
      </c>
      <c r="AP8" s="1901">
        <f t="shared" si="9"/>
        <v>50179220.000000022</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t="str">
        <f>'数据-汇总表'!C22</f>
        <v>11、12</v>
      </c>
      <c r="B9" s="1898" t="str">
        <f t="shared" si="1"/>
        <v>经营性</v>
      </c>
      <c r="C9" s="1899" t="s">
        <v>4540</v>
      </c>
      <c r="D9" s="966">
        <f>SUMIF(项目基本情况!D$12:I$12,C9,项目基本情况!D$14:I$14)</f>
        <v>70</v>
      </c>
      <c r="E9" s="965">
        <f>IF(B9="","",SUMIF(项目基本情况!D$12:I$12,C9,项目基本情况!D$13:I$13))</f>
        <v>69560</v>
      </c>
      <c r="F9" s="67">
        <f>SUMIF(项目基本情况!D$12:I$12,C9,项目基本情况!D$15:I$15)</f>
        <v>68.709999999999994</v>
      </c>
      <c r="G9" s="68">
        <f t="shared" si="2"/>
        <v>0.997</v>
      </c>
      <c r="H9" s="740">
        <v>4.4999999999999998E-2</v>
      </c>
      <c r="I9" s="740">
        <v>0.05</v>
      </c>
      <c r="J9" s="69">
        <v>8.5000000000000006E-2</v>
      </c>
      <c r="K9" s="1160">
        <f>SUMIF('数据-汇总表'!C$19:C$33,A9,'数据-汇总表'!E$19:E$33)</f>
        <v>7324.73</v>
      </c>
      <c r="L9" s="3076">
        <v>3500</v>
      </c>
      <c r="M9" s="70">
        <f t="shared" si="0"/>
        <v>2564</v>
      </c>
      <c r="N9" s="739">
        <v>0.35</v>
      </c>
      <c r="O9" s="70">
        <f t="shared" si="3"/>
        <v>897</v>
      </c>
      <c r="P9" s="71">
        <f t="shared" si="4"/>
        <v>1667</v>
      </c>
      <c r="Q9" s="85">
        <v>0.1</v>
      </c>
      <c r="R9" s="72">
        <f ca="1">SUMIF('数据-汇总表'!C$19:C$33,A9,'数据-汇总表'!R$19:R$27)</f>
        <v>2645.09</v>
      </c>
      <c r="S9" s="54">
        <f>IF('数据-汇总表'!$I$17="按面积比例",SUMIF('数据-汇总表'!C$19:C$33,A9,'数据-汇总表'!K$19:K$33),SUMIF('数据-汇总表'!C$19:C$33,A9,'数据-汇总表'!N$19:N$33))</f>
        <v>0</v>
      </c>
      <c r="T9" s="1333">
        <f t="shared" si="5"/>
        <v>0</v>
      </c>
      <c r="U9" s="73"/>
      <c r="V9" s="74"/>
      <c r="W9" s="74"/>
      <c r="X9" s="1170"/>
      <c r="Y9" s="75"/>
      <c r="Z9" s="76"/>
      <c r="AA9" s="69"/>
      <c r="AB9" s="69"/>
      <c r="AC9" s="1170"/>
      <c r="AD9" s="77"/>
      <c r="AE9" s="1171">
        <f t="shared" ca="1" si="6"/>
        <v>0</v>
      </c>
      <c r="AF9" s="1531"/>
      <c r="AG9" s="142">
        <f t="shared" si="7"/>
        <v>0</v>
      </c>
      <c r="AH9" s="78"/>
      <c r="AI9" s="80"/>
      <c r="AJ9" s="81"/>
      <c r="AK9" s="82"/>
      <c r="AL9" s="83"/>
      <c r="AM9" s="84"/>
      <c r="AN9" s="1900"/>
      <c r="AO9" s="55" t="e">
        <f t="shared" ca="1" si="8"/>
        <v>#REF!</v>
      </c>
      <c r="AP9" s="1901">
        <f t="shared" si="9"/>
        <v>25636555</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t="str">
        <f>'数据-汇总表'!C23</f>
        <v>商业15</v>
      </c>
      <c r="B10" s="1898" t="str">
        <f t="shared" si="1"/>
        <v>经营性</v>
      </c>
      <c r="C10" s="1899" t="s">
        <v>1343</v>
      </c>
      <c r="D10" s="966">
        <f>SUMIF(项目基本情况!D$12:I$12,C10,项目基本情况!D$14:I$14)</f>
        <v>40</v>
      </c>
      <c r="E10" s="965">
        <f>IF(B10="","",SUMIF(项目基本情况!D$12:I$12,C10,项目基本情况!D$13:I$13))</f>
        <v>58603</v>
      </c>
      <c r="F10" s="67">
        <f>SUMIF(项目基本情况!D$12:I$12,C10,项目基本情况!D$15:I$15)</f>
        <v>38.69</v>
      </c>
      <c r="G10" s="68">
        <f t="shared" si="2"/>
        <v>0.98899999999999999</v>
      </c>
      <c r="H10" s="69">
        <v>0.05</v>
      </c>
      <c r="I10" s="69">
        <v>5.5E-2</v>
      </c>
      <c r="J10" s="69">
        <v>8.5000000000000006E-2</v>
      </c>
      <c r="K10" s="1160">
        <f>SUMIF('数据-汇总表'!C$19:C$33,A10,'数据-汇总表'!E$19:E$33)</f>
        <v>1222.7700000000002</v>
      </c>
      <c r="L10" s="3076">
        <v>5000</v>
      </c>
      <c r="M10" s="70">
        <f t="shared" si="0"/>
        <v>611</v>
      </c>
      <c r="N10" s="739">
        <f>未取证!P16</f>
        <v>0.8</v>
      </c>
      <c r="O10" s="70">
        <f t="shared" si="3"/>
        <v>489</v>
      </c>
      <c r="P10" s="71">
        <f t="shared" si="4"/>
        <v>122</v>
      </c>
      <c r="Q10" s="85">
        <v>0.15</v>
      </c>
      <c r="R10" s="72">
        <f ca="1">SUMIF('数据-汇总表'!C$19:C$33,A10,'数据-汇总表'!R$19:R$27)</f>
        <v>441.56</v>
      </c>
      <c r="S10" s="54">
        <f>IF('数据-汇总表'!$I$17="按面积比例",SUMIF('数据-汇总表'!C$19:C$33,A10,'数据-汇总表'!K$19:K$33),SUMIF('数据-汇总表'!C$19:C$33,A10,'数据-汇总表'!N$19:N$33))</f>
        <v>0</v>
      </c>
      <c r="T10" s="1333">
        <f t="shared" si="5"/>
        <v>0</v>
      </c>
      <c r="U10" s="73">
        <v>1.5</v>
      </c>
      <c r="V10" s="74">
        <v>0.03</v>
      </c>
      <c r="W10" s="74">
        <v>0.15</v>
      </c>
      <c r="X10" s="1170"/>
      <c r="Y10" s="75">
        <v>1</v>
      </c>
      <c r="Z10" s="76"/>
      <c r="AA10" s="69"/>
      <c r="AB10" s="69"/>
      <c r="AC10" s="1170"/>
      <c r="AD10" s="77"/>
      <c r="AE10" s="1171">
        <f t="shared" ca="1" si="6"/>
        <v>37.589999999999996</v>
      </c>
      <c r="AF10" s="1531"/>
      <c r="AG10" s="142">
        <f t="shared" si="7"/>
        <v>0</v>
      </c>
      <c r="AH10" s="78"/>
      <c r="AI10" s="80">
        <v>365</v>
      </c>
      <c r="AJ10" s="81"/>
      <c r="AK10" s="82"/>
      <c r="AL10" s="83"/>
      <c r="AM10" s="84"/>
      <c r="AN10" s="1900" t="s">
        <v>4752</v>
      </c>
      <c r="AO10" s="55">
        <f t="shared" ca="1" si="8"/>
        <v>1117</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t="str">
        <f>'数据-汇总表'!C24</f>
        <v>商业16</v>
      </c>
      <c r="B11" s="1898" t="str">
        <f t="shared" si="1"/>
        <v>经营性</v>
      </c>
      <c r="C11" s="1899" t="s">
        <v>1343</v>
      </c>
      <c r="D11" s="966">
        <f>SUMIF(项目基本情况!D$12:I$12,C11,项目基本情况!D$14:I$14)</f>
        <v>40</v>
      </c>
      <c r="E11" s="965">
        <f>IF(B11="","",SUMIF(项目基本情况!D$12:I$12,C11,项目基本情况!D$13:I$13))</f>
        <v>58603</v>
      </c>
      <c r="F11" s="67">
        <f>SUMIF(项目基本情况!D$12:I$12,C11,项目基本情况!D$15:I$15)</f>
        <v>38.69</v>
      </c>
      <c r="G11" s="68">
        <f t="shared" si="2"/>
        <v>0.98899999999999999</v>
      </c>
      <c r="H11" s="69">
        <v>0.05</v>
      </c>
      <c r="I11" s="69">
        <v>5.5E-2</v>
      </c>
      <c r="J11" s="69">
        <v>8.5000000000000006E-2</v>
      </c>
      <c r="K11" s="1160">
        <f>SUMIF('数据-汇总表'!C$19:C$33,A11,'数据-汇总表'!E$19:E$33)</f>
        <v>583.78</v>
      </c>
      <c r="L11" s="3076">
        <v>4000</v>
      </c>
      <c r="M11" s="70">
        <f t="shared" si="0"/>
        <v>234</v>
      </c>
      <c r="N11" s="87">
        <f>未取证!P17</f>
        <v>0.45</v>
      </c>
      <c r="O11" s="70">
        <f t="shared" si="3"/>
        <v>105</v>
      </c>
      <c r="P11" s="71">
        <f t="shared" si="4"/>
        <v>129</v>
      </c>
      <c r="Q11" s="85">
        <v>0.15</v>
      </c>
      <c r="R11" s="72">
        <f ca="1">SUMIF('数据-汇总表'!C$19:C$33,A11,'数据-汇总表'!R$19:R$27)</f>
        <v>210.81</v>
      </c>
      <c r="S11" s="54">
        <f>IF('数据-汇总表'!$I$17="按面积比例",SUMIF('数据-汇总表'!C$19:C$33,A11,'数据-汇总表'!K$19:K$33),SUMIF('数据-汇总表'!C$19:C$33,A11,'数据-汇总表'!N$19:N$33))</f>
        <v>0</v>
      </c>
      <c r="T11" s="1333">
        <f t="shared" si="5"/>
        <v>0</v>
      </c>
      <c r="U11" s="78"/>
      <c r="V11" s="69"/>
      <c r="W11" s="69"/>
      <c r="X11" s="1170"/>
      <c r="Y11" s="75"/>
      <c r="Z11" s="88"/>
      <c r="AA11" s="69"/>
      <c r="AB11" s="69"/>
      <c r="AC11" s="1170"/>
      <c r="AD11" s="77"/>
      <c r="AE11" s="1171">
        <f t="shared" ca="1" si="6"/>
        <v>0</v>
      </c>
      <c r="AF11" s="1531"/>
      <c r="AG11" s="142">
        <f t="shared" si="7"/>
        <v>0</v>
      </c>
      <c r="AH11" s="78"/>
      <c r="AI11" s="80"/>
      <c r="AJ11" s="81"/>
      <c r="AK11" s="89"/>
      <c r="AL11" s="90"/>
      <c r="AM11" s="91"/>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t="str">
        <f>'数据-汇总表'!C25</f>
        <v>商业17</v>
      </c>
      <c r="B12" s="1898" t="str">
        <f t="shared" si="1"/>
        <v>经营性</v>
      </c>
      <c r="C12" s="1899" t="s">
        <v>1343</v>
      </c>
      <c r="D12" s="966">
        <f>SUMIF(项目基本情况!D$12:I$12,C12,项目基本情况!D$14:I$14)</f>
        <v>40</v>
      </c>
      <c r="E12" s="965">
        <f>IF(B12="","",SUMIF(项目基本情况!D$12:I$12,C12,项目基本情况!D$13:I$13))</f>
        <v>58603</v>
      </c>
      <c r="F12" s="67">
        <f>SUMIF(项目基本情况!D$12:I$12,C12,项目基本情况!D$15:I$15)</f>
        <v>38.69</v>
      </c>
      <c r="G12" s="68">
        <f>IF(ISERROR(ROUND(POWER(1+H12,D12-F12)*(POWER(1+H12,F12)-1)/(POWER(1+H12,D12)-1),3)),0,ROUND(POWER(1+H12,D12-F12)*(POWER(1+H12,F12)-1)/(POWER(1+H12,D12)-1),3))</f>
        <v>0.98899999999999999</v>
      </c>
      <c r="H12" s="69">
        <v>0.05</v>
      </c>
      <c r="I12" s="69">
        <v>5.5E-2</v>
      </c>
      <c r="J12" s="69">
        <v>8.5000000000000006E-2</v>
      </c>
      <c r="K12" s="1160">
        <f>SUMIF('数据-汇总表'!C$19:C$33,A12,'数据-汇总表'!E$19:E$33)</f>
        <v>684.26</v>
      </c>
      <c r="L12" s="3076">
        <v>4000</v>
      </c>
      <c r="M12" s="70">
        <f>ROUND(K12*L12/10000,0)</f>
        <v>274</v>
      </c>
      <c r="N12" s="87">
        <v>0</v>
      </c>
      <c r="O12" s="70">
        <f t="shared" si="3"/>
        <v>0</v>
      </c>
      <c r="P12" s="71">
        <f t="shared" si="4"/>
        <v>274</v>
      </c>
      <c r="Q12" s="85">
        <v>0.15</v>
      </c>
      <c r="R12" s="72">
        <f ca="1">SUMIF('数据-汇总表'!C$19:C$33,A12,'数据-汇总表'!R$19:R$27)</f>
        <v>247.1</v>
      </c>
      <c r="S12" s="54">
        <f>IF('数据-汇总表'!$I$17="按面积比例",SUMIF('数据-汇总表'!C$19:C$33,A12,'数据-汇总表'!K$19:K$33),SUMIF('数据-汇总表'!C$19:C$33,A12,'数据-汇总表'!N$19:N$33))</f>
        <v>0</v>
      </c>
      <c r="T12" s="1333">
        <f t="shared" si="5"/>
        <v>0</v>
      </c>
      <c r="U12" s="78">
        <v>2</v>
      </c>
      <c r="V12" s="69">
        <v>0.03</v>
      </c>
      <c r="W12" s="69">
        <v>0.15</v>
      </c>
      <c r="X12" s="1170"/>
      <c r="Y12" s="75">
        <v>1</v>
      </c>
      <c r="Z12" s="88"/>
      <c r="AA12" s="69"/>
      <c r="AB12" s="69"/>
      <c r="AC12" s="1170"/>
      <c r="AD12" s="77"/>
      <c r="AE12" s="1171">
        <f t="shared" ca="1" si="6"/>
        <v>37.589999999999996</v>
      </c>
      <c r="AF12" s="1531"/>
      <c r="AG12" s="142">
        <f t="shared" si="7"/>
        <v>0</v>
      </c>
      <c r="AH12" s="78"/>
      <c r="AI12" s="80">
        <v>365</v>
      </c>
      <c r="AJ12" s="81"/>
      <c r="AK12" s="89"/>
      <c r="AL12" s="90"/>
      <c r="AM12" s="91"/>
      <c r="AN12" s="1900" t="s">
        <v>4754</v>
      </c>
      <c r="AO12" s="55">
        <f t="shared" ca="1" si="8"/>
        <v>832</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t="str">
        <f>'数据-汇总表'!C26</f>
        <v>地下车库</v>
      </c>
      <c r="B13" s="1898" t="str">
        <f t="shared" si="1"/>
        <v>经营性</v>
      </c>
      <c r="C13" s="1899" t="s">
        <v>4552</v>
      </c>
      <c r="D13" s="966">
        <f>SUMIF(项目基本情况!D$12:I$12,C13,项目基本情况!D$14:I$14)</f>
        <v>50</v>
      </c>
      <c r="E13" s="965">
        <f>IF(B13="","",SUMIF(项目基本情况!D$12:I$12,C13,项目基本情况!D$13:I$13))</f>
        <v>62255</v>
      </c>
      <c r="F13" s="67">
        <f>SUMIF(项目基本情况!D$12:I$12,C13,项目基本情况!D$15:I$15)</f>
        <v>48.7</v>
      </c>
      <c r="G13" s="68">
        <f>IF(ISERROR(ROUND(POWER(1+H13,D13-F13)*(POWER(1+H13,F13)-1)/(POWER(1+H13,D13)-1),3)),0,ROUND(POWER(1+H13,D13-F13)*(POWER(1+H13,F13)-1)/(POWER(1+H13,D13)-1),3))</f>
        <v>0.99099999999999999</v>
      </c>
      <c r="H13" s="69">
        <v>0.04</v>
      </c>
      <c r="I13" s="69">
        <v>4.4999999999999998E-2</v>
      </c>
      <c r="J13" s="69">
        <v>8.5000000000000006E-2</v>
      </c>
      <c r="K13" s="1160">
        <f>SUMIF('数据-汇总表'!C$19:C$33,A13,'数据-汇总表'!E$19:E$33)</f>
        <v>18146.759999999813</v>
      </c>
      <c r="L13" s="86">
        <v>3000</v>
      </c>
      <c r="M13" s="70">
        <f>ROUND(K13*L13/10000,0)</f>
        <v>5444</v>
      </c>
      <c r="N13" s="87">
        <v>0.65</v>
      </c>
      <c r="O13" s="70">
        <f t="shared" si="3"/>
        <v>3539</v>
      </c>
      <c r="P13" s="71">
        <f t="shared" si="4"/>
        <v>1905</v>
      </c>
      <c r="Q13" s="85">
        <v>0.03</v>
      </c>
      <c r="R13" s="72">
        <f ca="1">SUMIF('数据-汇总表'!C$19:C$33,A13,'数据-汇总表'!R$19:R$27)</f>
        <v>6553.11</v>
      </c>
      <c r="S13" s="54">
        <f>IF('数据-汇总表'!$I$17="按面积比例",SUMIF('数据-汇总表'!C$19:C$33,A13,'数据-汇总表'!K$19:K$33),SUMIF('数据-汇总表'!C$19:C$33,A13,'数据-汇总表'!N$19:N$33))</f>
        <v>0</v>
      </c>
      <c r="T13" s="1333">
        <f t="shared" si="5"/>
        <v>0</v>
      </c>
      <c r="U13" s="73">
        <v>200</v>
      </c>
      <c r="V13" s="74">
        <v>2.5000000000000001E-2</v>
      </c>
      <c r="W13" s="74">
        <v>0.15</v>
      </c>
      <c r="X13" s="1170"/>
      <c r="Y13" s="75">
        <v>1</v>
      </c>
      <c r="Z13" s="76"/>
      <c r="AA13" s="69"/>
      <c r="AB13" s="69"/>
      <c r="AC13" s="1170"/>
      <c r="AD13" s="77"/>
      <c r="AE13" s="1171">
        <f t="shared" ca="1" si="6"/>
        <v>47.6</v>
      </c>
      <c r="AF13" s="1531"/>
      <c r="AG13" s="142">
        <f t="shared" si="7"/>
        <v>0</v>
      </c>
      <c r="AH13" s="78">
        <v>1414</v>
      </c>
      <c r="AI13" s="80">
        <v>12</v>
      </c>
      <c r="AJ13" s="81"/>
      <c r="AK13" s="82"/>
      <c r="AL13" s="83"/>
      <c r="AM13" s="84"/>
      <c r="AN13" s="1900" t="s">
        <v>4750</v>
      </c>
      <c r="AO13" s="55">
        <f t="shared" ca="1" si="8"/>
        <v>7097</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1892</v>
      </c>
      <c r="B14" s="1898" t="s">
        <v>1893</v>
      </c>
      <c r="C14" s="1903" t="s">
        <v>1892</v>
      </c>
      <c r="D14" s="966"/>
      <c r="E14" s="965"/>
      <c r="F14" s="67"/>
      <c r="G14" s="68"/>
      <c r="H14" s="1159"/>
      <c r="I14" s="1159"/>
      <c r="J14" s="1159"/>
      <c r="K14" s="1160">
        <f>SUMIF('数据-汇总表'!C$19:C$33,A14,'数据-汇总表'!E$19:E$33)</f>
        <v>0</v>
      </c>
      <c r="L14" s="86"/>
      <c r="M14" s="70">
        <f t="shared" si="0"/>
        <v>0</v>
      </c>
      <c r="N14" s="87"/>
      <c r="O14" s="70">
        <f t="shared" si="3"/>
        <v>0</v>
      </c>
      <c r="P14" s="71">
        <f t="shared" si="4"/>
        <v>0</v>
      </c>
      <c r="Q14" s="1163"/>
      <c r="R14" s="72"/>
      <c r="S14" s="54"/>
      <c r="T14" s="1333"/>
      <c r="U14" s="678"/>
      <c r="V14" s="1165"/>
      <c r="W14" s="1165"/>
      <c r="X14" s="1166"/>
      <c r="Y14" s="1167"/>
      <c r="Z14" s="1168"/>
      <c r="AA14" s="1169"/>
      <c r="AB14" s="1169"/>
      <c r="AC14" s="1170"/>
      <c r="AD14" s="1166"/>
      <c r="AE14" s="1171"/>
      <c r="AF14" s="55"/>
      <c r="AG14" s="142"/>
      <c r="AH14" s="1171"/>
      <c r="AI14" s="1540"/>
      <c r="AJ14" s="712"/>
      <c r="AK14" s="1172"/>
      <c r="AL14" s="1173"/>
      <c r="AM14" s="1174"/>
      <c r="AN14" s="2897"/>
      <c r="AO14" s="2899"/>
      <c r="AP14" s="2899"/>
      <c r="AQ14" s="2899"/>
      <c r="AR14" s="2899"/>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1894</v>
      </c>
      <c r="B15" s="1898" t="s">
        <v>1893</v>
      </c>
      <c r="C15" s="1903" t="s">
        <v>1895</v>
      </c>
      <c r="D15" s="966"/>
      <c r="E15" s="965"/>
      <c r="F15" s="67"/>
      <c r="G15" s="68"/>
      <c r="H15" s="1159"/>
      <c r="I15" s="1159"/>
      <c r="J15" s="1159"/>
      <c r="K15" s="1160">
        <f>SUMIF('数据-汇总表'!C$19:C$33,A15,'数据-汇总表'!E$19:E$33)</f>
        <v>0</v>
      </c>
      <c r="L15" s="1161"/>
      <c r="M15" s="70"/>
      <c r="N15" s="1162"/>
      <c r="O15" s="70"/>
      <c r="P15" s="71"/>
      <c r="Q15" s="1163"/>
      <c r="R15" s="72"/>
      <c r="S15" s="54"/>
      <c r="T15" s="1333"/>
      <c r="U15" s="678"/>
      <c r="V15" s="1165"/>
      <c r="W15" s="1165"/>
      <c r="X15" s="1166"/>
      <c r="Y15" s="1167"/>
      <c r="Z15" s="1168"/>
      <c r="AA15" s="1169"/>
      <c r="AB15" s="1169"/>
      <c r="AC15" s="1170"/>
      <c r="AD15" s="1166"/>
      <c r="AE15" s="1171"/>
      <c r="AF15" s="55"/>
      <c r="AG15" s="142"/>
      <c r="AH15" s="1171"/>
      <c r="AI15" s="1540"/>
      <c r="AJ15" s="712"/>
      <c r="AK15" s="1172"/>
      <c r="AL15" s="1173"/>
      <c r="AM15" s="1174"/>
      <c r="AN15" s="2897"/>
      <c r="AO15" s="2899"/>
      <c r="AP15" s="2899"/>
      <c r="AQ15" s="2899"/>
      <c r="AR15" s="2899"/>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1896</v>
      </c>
      <c r="B16" s="92"/>
      <c r="C16" s="941"/>
      <c r="D16" s="1905"/>
      <c r="E16" s="92"/>
      <c r="F16" s="92"/>
      <c r="G16" s="93">
        <f>ROUND(SUMPRODUCT(G6:G13,K6:K13)/SUMPRODUCT((G6:G13&gt;0)*(K6:K13)),3)</f>
        <v>0.996</v>
      </c>
      <c r="H16" s="94">
        <f>ROUND(SUMPRODUCT(H6:H13,K6:K13)/SUMPRODUCT((H6:H13&gt;0)*(K6:K13)),3)</f>
        <v>4.3999999999999997E-2</v>
      </c>
      <c r="I16" s="95"/>
      <c r="J16" s="95"/>
      <c r="K16" s="96">
        <f>SUM(K6:K15)</f>
        <v>117964.09999999983</v>
      </c>
      <c r="L16" s="97">
        <f>ROUND(M16*10000/SUM(K6:K14),0)</f>
        <v>3444</v>
      </c>
      <c r="M16" s="97">
        <f>SUM(M6:M14)</f>
        <v>40628</v>
      </c>
      <c r="N16" s="98">
        <f>ROUND(SUMPRODUCT(M6:M14,N6:N14)/M16,3)</f>
        <v>0.20300000000000001</v>
      </c>
      <c r="O16" s="97">
        <f>SUM(O6:O14)</f>
        <v>8239</v>
      </c>
      <c r="P16" s="97">
        <f>SUM(P6:P14)</f>
        <v>32389</v>
      </c>
      <c r="Q16" s="99">
        <f>ROUND(SUMPRODUCT(Q6:Q13,K6:K13)/SUMPRODUCT((Q6:Q13&gt;0)*(K6:K13)),2)</f>
        <v>0.09</v>
      </c>
      <c r="R16" s="1164">
        <f ca="1">SUM(R6:R13)</f>
        <v>42598.889999999992</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7"/>
      <c r="AO16" s="2899"/>
      <c r="AP16" s="2899"/>
      <c r="AQ16" s="2899"/>
      <c r="AR16" s="2899"/>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3" t="s">
        <v>1897</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7" t="s">
        <v>1898</v>
      </c>
      <c r="B19" s="107">
        <v>0</v>
      </c>
      <c r="C19" s="3027" t="s">
        <v>3041</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8" t="s">
        <v>1899</v>
      </c>
      <c r="B20" s="108">
        <v>2</v>
      </c>
      <c r="C20" s="3028" t="s">
        <v>3039</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9" t="s">
        <v>1900</v>
      </c>
      <c r="B21" s="108">
        <v>0.9</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8" t="s">
        <v>1901</v>
      </c>
      <c r="B22" s="109">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9" t="s">
        <v>1902</v>
      </c>
      <c r="B23" s="109">
        <f>B19+B21</f>
        <v>0.9</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0" t="s">
        <v>1903</v>
      </c>
      <c r="B24" s="110">
        <f>B20-B21</f>
        <v>1.1000000000000001</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1"/>
      <c r="B25" s="1872"/>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8" t="s">
        <v>1904</v>
      </c>
      <c r="B26" s="1911" t="s">
        <v>1905</v>
      </c>
      <c r="C26" s="2903" t="s">
        <v>1906</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3" customFormat="1" ht="27.75">
      <c r="A27" s="1912" t="s">
        <v>1907</v>
      </c>
      <c r="B27" s="111">
        <v>75</v>
      </c>
      <c r="C27" s="3029" t="s">
        <v>3043</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3" customFormat="1" ht="27.75">
      <c r="A28" s="1914" t="s">
        <v>1908</v>
      </c>
      <c r="B28" s="114">
        <v>75</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3" customFormat="1" ht="28.5" thickBot="1">
      <c r="A29" s="1915" t="s">
        <v>1909</v>
      </c>
      <c r="B29" s="116">
        <v>0</v>
      </c>
      <c r="C29" s="3030" t="s">
        <v>3030</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3" customFormat="1" ht="27">
      <c r="A30" s="1916" t="s">
        <v>1910</v>
      </c>
      <c r="B30" s="679">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3" customFormat="1" ht="27">
      <c r="A31" s="1914" t="s">
        <v>1911</v>
      </c>
      <c r="B31" s="115">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3" customFormat="1" ht="27.75" thickBot="1">
      <c r="A32" s="1917" t="s">
        <v>1912</v>
      </c>
      <c r="B32" s="680">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3" customFormat="1" ht="14.25">
      <c r="A33" s="1912" t="s">
        <v>1913</v>
      </c>
      <c r="B33" s="681">
        <v>0.03</v>
      </c>
      <c r="C33" s="3031" t="s">
        <v>3031</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3" customFormat="1" ht="14.25">
      <c r="A34" s="1914" t="s">
        <v>1914</v>
      </c>
      <c r="B34" s="117">
        <v>0.05</v>
      </c>
      <c r="C34" s="3031" t="s">
        <v>3032</v>
      </c>
      <c r="D34" s="2910" t="s">
        <v>3040</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3" customFormat="1" ht="14.25">
      <c r="A35" s="1914" t="s">
        <v>1915</v>
      </c>
      <c r="B35" s="114">
        <v>200</v>
      </c>
      <c r="C35" s="3031" t="s">
        <v>3033</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5" t="s">
        <v>1916</v>
      </c>
      <c r="B36" s="118">
        <v>1.4999999999999999E-2</v>
      </c>
      <c r="C36" s="3031" t="s">
        <v>3034</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6" t="s">
        <v>1917</v>
      </c>
      <c r="B37" s="119">
        <v>0.02</v>
      </c>
      <c r="C37" s="3031" t="s">
        <v>3035</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4" t="s">
        <v>1918</v>
      </c>
      <c r="B38" s="117">
        <v>0.03</v>
      </c>
      <c r="C38" s="3031" t="s">
        <v>3035</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7" t="s">
        <v>1919</v>
      </c>
      <c r="B39" s="322">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4553</v>
      </c>
      <c r="B40" s="1209">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2" t="s">
        <v>1920</v>
      </c>
      <c r="B41" s="120">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8" t="s">
        <v>1921</v>
      </c>
      <c r="B42" s="121">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8" t="s">
        <v>1922</v>
      </c>
      <c r="B43" s="122">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9" t="s">
        <v>1923</v>
      </c>
      <c r="B44" s="123">
        <v>7.0000000000000007E-2</v>
      </c>
      <c r="C44" s="3031" t="s">
        <v>3044</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9" t="s">
        <v>1924</v>
      </c>
      <c r="B45" s="121">
        <v>0.03</v>
      </c>
      <c r="C45" s="3030" t="s">
        <v>3036</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9" t="s">
        <v>1925</v>
      </c>
      <c r="B46" s="121">
        <v>0.02</v>
      </c>
      <c r="C46" s="3030" t="s">
        <v>3037</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0" t="s">
        <v>1926</v>
      </c>
      <c r="B47" s="124"/>
      <c r="C47" s="3033" t="s">
        <v>3045</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1" t="s">
        <v>1927</v>
      </c>
      <c r="B48" s="125">
        <v>0.03</v>
      </c>
      <c r="C48" s="3030" t="s">
        <v>3036</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7" t="s">
        <v>1928</v>
      </c>
      <c r="B49" s="121">
        <v>5.0000000000000001E-4</v>
      </c>
      <c r="C49" s="3030" t="s">
        <v>3038</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2" t="s">
        <v>1929</v>
      </c>
      <c r="B50" s="126">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5" t="s">
        <v>1930</v>
      </c>
      <c r="B51" s="127">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2" t="s">
        <v>1931</v>
      </c>
      <c r="B52" s="128">
        <f>SUMIF(A54:A63,B53,B54:B63)</f>
        <v>6</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4" t="s">
        <v>1932</v>
      </c>
      <c r="B53" s="1923" t="s">
        <v>442</v>
      </c>
      <c r="C53" s="2885" t="s">
        <v>1933</v>
      </c>
      <c r="D53" s="3032" t="s">
        <v>3042</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4" t="s">
        <v>1934</v>
      </c>
      <c r="B54" s="3075">
        <v>14</v>
      </c>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4" t="s">
        <v>1935</v>
      </c>
      <c r="B55" s="3075">
        <v>9</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4" t="s">
        <v>1936</v>
      </c>
      <c r="B56" s="3075">
        <v>6</v>
      </c>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4" t="s">
        <v>1937</v>
      </c>
      <c r="B57" s="3075">
        <v>3</v>
      </c>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4" t="s">
        <v>1938</v>
      </c>
      <c r="B58" s="3075">
        <v>1.2</v>
      </c>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4" t="s">
        <v>1939</v>
      </c>
      <c r="B59" s="79"/>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4" t="s">
        <v>1940</v>
      </c>
      <c r="B60" s="79"/>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4" t="s">
        <v>1941</v>
      </c>
      <c r="B61" s="79"/>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4" t="s">
        <v>1942</v>
      </c>
      <c r="B62" s="79"/>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5" t="s">
        <v>1943</v>
      </c>
      <c r="B63" s="129"/>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0"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0"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0"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0"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0"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0" customFormat="1">
      <c r="A69" s="1926"/>
      <c r="D69" s="1927"/>
      <c r="K69" s="736"/>
      <c r="L69" s="736"/>
    </row>
    <row r="70" spans="1:44" s="900" customFormat="1">
      <c r="A70" s="1926"/>
      <c r="D70" s="1927"/>
      <c r="K70" s="736"/>
      <c r="L70" s="736"/>
    </row>
    <row r="71" spans="1:44" s="900" customFormat="1">
      <c r="A71" s="1926"/>
      <c r="D71" s="1927"/>
      <c r="K71" s="736"/>
      <c r="L71" s="736"/>
    </row>
    <row r="72" spans="1:44" s="900" customFormat="1">
      <c r="A72" s="1926"/>
      <c r="D72" s="1927"/>
      <c r="K72" s="736"/>
      <c r="L72" s="736"/>
    </row>
    <row r="73" spans="1:44" s="900" customFormat="1">
      <c r="A73" s="1926"/>
      <c r="D73" s="1927"/>
      <c r="K73" s="736"/>
      <c r="L73" s="736"/>
    </row>
    <row r="74" spans="1:44" s="900" customFormat="1">
      <c r="A74" s="1926"/>
      <c r="D74" s="1927"/>
      <c r="K74" s="736"/>
      <c r="L74" s="736"/>
    </row>
    <row r="75" spans="1:44" s="900" customFormat="1">
      <c r="A75" s="1926"/>
      <c r="D75" s="1927"/>
      <c r="K75" s="736"/>
      <c r="L75" s="736"/>
    </row>
    <row r="76" spans="1:44" s="900" customFormat="1">
      <c r="A76" s="1926"/>
      <c r="D76" s="1927"/>
      <c r="K76" s="736"/>
      <c r="L76" s="736"/>
    </row>
    <row r="77" spans="1:44" s="900" customFormat="1">
      <c r="A77" s="1926"/>
      <c r="D77" s="1927"/>
      <c r="K77" s="736"/>
      <c r="L77" s="736"/>
    </row>
    <row r="78" spans="1:44" s="900" customFormat="1">
      <c r="A78" s="1926"/>
      <c r="D78" s="1927"/>
      <c r="K78" s="736"/>
      <c r="L78" s="736"/>
    </row>
    <row r="79" spans="1:44" s="900" customFormat="1">
      <c r="A79" s="1926"/>
      <c r="D79" s="1927"/>
      <c r="K79" s="736"/>
      <c r="L79" s="736"/>
    </row>
    <row r="80" spans="1:44" s="900" customFormat="1">
      <c r="A80" s="1926"/>
      <c r="D80" s="1927"/>
      <c r="K80" s="736"/>
      <c r="L80" s="736"/>
    </row>
    <row r="81" spans="1:12" s="900" customFormat="1">
      <c r="A81" s="1926"/>
      <c r="D81" s="1927"/>
      <c r="K81" s="736"/>
      <c r="L81" s="736"/>
    </row>
    <row r="82" spans="1:12" s="900" customFormat="1">
      <c r="A82" s="1926"/>
      <c r="D82" s="1927"/>
      <c r="K82" s="736"/>
      <c r="L82" s="736"/>
    </row>
    <row r="83" spans="1:12" s="900" customFormat="1">
      <c r="A83" s="1926"/>
      <c r="D83" s="1927"/>
      <c r="K83" s="736"/>
      <c r="L83" s="736"/>
    </row>
    <row r="84" spans="1:12" s="900" customFormat="1">
      <c r="A84" s="1926"/>
      <c r="D84" s="1927"/>
      <c r="K84" s="736"/>
      <c r="L84" s="736"/>
    </row>
    <row r="85" spans="1:12" s="900" customFormat="1">
      <c r="A85" s="1926"/>
      <c r="D85" s="1927"/>
      <c r="K85" s="736"/>
      <c r="L85" s="736"/>
    </row>
    <row r="86" spans="1:12" s="900" customFormat="1">
      <c r="A86" s="1926"/>
      <c r="D86" s="1927"/>
      <c r="K86" s="736"/>
      <c r="L86" s="736"/>
    </row>
    <row r="87" spans="1:12" s="900" customFormat="1">
      <c r="A87" s="1926"/>
      <c r="D87" s="1927"/>
      <c r="K87" s="736"/>
      <c r="L87" s="736"/>
    </row>
    <row r="88" spans="1:12" s="900" customFormat="1">
      <c r="A88" s="1926"/>
      <c r="D88" s="1927"/>
      <c r="K88" s="736"/>
      <c r="L88" s="736"/>
    </row>
    <row r="89" spans="1:12" s="900" customFormat="1">
      <c r="A89" s="1926"/>
      <c r="D89" s="1927"/>
      <c r="K89" s="736"/>
      <c r="L89" s="736"/>
    </row>
    <row r="90" spans="1:12" s="900" customFormat="1">
      <c r="A90" s="1926"/>
      <c r="D90" s="1927"/>
      <c r="K90" s="736"/>
      <c r="L90" s="736"/>
    </row>
    <row r="91" spans="1:12" s="900" customFormat="1">
      <c r="A91" s="1926"/>
      <c r="D91" s="1927"/>
      <c r="K91" s="736"/>
      <c r="L91" s="736"/>
    </row>
    <row r="92" spans="1:12" s="900" customFormat="1">
      <c r="A92" s="1926"/>
      <c r="D92" s="1927"/>
      <c r="K92" s="736"/>
      <c r="L92" s="736"/>
    </row>
    <row r="93" spans="1:12" s="900" customFormat="1">
      <c r="A93" s="1926"/>
      <c r="D93" s="1927"/>
      <c r="K93" s="736"/>
      <c r="L93" s="736"/>
    </row>
    <row r="94" spans="1:12" s="900" customFormat="1">
      <c r="A94" s="1926"/>
      <c r="D94" s="1927"/>
      <c r="K94" s="736"/>
      <c r="L94" s="736"/>
    </row>
    <row r="95" spans="1:12" s="900" customFormat="1">
      <c r="A95" s="1926"/>
      <c r="D95" s="1927"/>
      <c r="K95" s="736"/>
      <c r="L95" s="736"/>
    </row>
    <row r="96" spans="1:12" s="900" customFormat="1">
      <c r="A96" s="1926"/>
      <c r="D96" s="1927"/>
      <c r="K96" s="736"/>
      <c r="L96" s="736"/>
    </row>
    <row r="97" spans="1:12" s="900" customFormat="1">
      <c r="A97" s="1926"/>
      <c r="D97" s="1927"/>
      <c r="K97" s="736"/>
      <c r="L97" s="736"/>
    </row>
    <row r="98" spans="1:12" s="900" customFormat="1">
      <c r="A98" s="1926"/>
      <c r="D98" s="1927"/>
      <c r="K98" s="736"/>
      <c r="L98" s="736"/>
    </row>
    <row r="99" spans="1:12" s="900" customFormat="1">
      <c r="A99" s="1926"/>
      <c r="D99" s="1927"/>
      <c r="K99" s="736"/>
      <c r="L99" s="736"/>
    </row>
    <row r="100" spans="1:12" s="900" customFormat="1">
      <c r="A100" s="1926"/>
      <c r="D100" s="1927"/>
      <c r="K100" s="736"/>
      <c r="L100" s="736"/>
    </row>
    <row r="101" spans="1:12" s="900" customFormat="1">
      <c r="A101" s="1926"/>
      <c r="D101" s="1927"/>
      <c r="K101" s="736"/>
      <c r="L101" s="736"/>
    </row>
    <row r="102" spans="1:12" s="900" customFormat="1">
      <c r="A102" s="1926"/>
      <c r="D102" s="1927"/>
      <c r="K102" s="736"/>
      <c r="L102" s="736"/>
    </row>
    <row r="103" spans="1:12" s="900" customFormat="1">
      <c r="A103" s="1926"/>
      <c r="D103" s="1927"/>
      <c r="K103" s="736"/>
      <c r="L103" s="736"/>
    </row>
    <row r="104" spans="1:12" s="900" customFormat="1">
      <c r="A104" s="1926"/>
      <c r="D104" s="1927"/>
      <c r="K104" s="736"/>
      <c r="L104" s="736"/>
    </row>
    <row r="105" spans="1:12" s="900" customFormat="1">
      <c r="A105" s="1926"/>
      <c r="D105" s="1927"/>
      <c r="K105" s="736"/>
      <c r="L105" s="736"/>
    </row>
    <row r="106" spans="1:12" s="900" customFormat="1">
      <c r="A106" s="1926"/>
      <c r="D106" s="1927"/>
      <c r="K106" s="736"/>
      <c r="L106" s="736"/>
    </row>
    <row r="107" spans="1:12" s="900" customFormat="1">
      <c r="A107" s="1926"/>
      <c r="D107" s="1927"/>
      <c r="K107" s="736"/>
      <c r="L107" s="736"/>
    </row>
    <row r="108" spans="1:12" s="900" customFormat="1">
      <c r="A108" s="1926"/>
      <c r="D108" s="1927"/>
      <c r="K108" s="736"/>
      <c r="L108" s="736"/>
    </row>
    <row r="109" spans="1:12" s="900" customFormat="1">
      <c r="A109" s="1926"/>
      <c r="D109" s="1927"/>
      <c r="K109" s="736"/>
      <c r="L109" s="736"/>
    </row>
    <row r="110" spans="1:12" s="900" customFormat="1">
      <c r="A110" s="1926"/>
      <c r="D110" s="1927"/>
      <c r="K110" s="736"/>
      <c r="L110" s="736"/>
    </row>
    <row r="111" spans="1:12" s="900" customFormat="1">
      <c r="A111" s="1926"/>
      <c r="D111" s="1927"/>
      <c r="K111" s="736"/>
      <c r="L111" s="736"/>
    </row>
    <row r="112" spans="1:12" s="900" customFormat="1">
      <c r="A112" s="1926"/>
      <c r="D112" s="1927"/>
      <c r="K112" s="736"/>
      <c r="L112" s="736"/>
    </row>
    <row r="113" spans="1:12" s="900" customFormat="1">
      <c r="A113" s="1926"/>
      <c r="D113" s="1927"/>
      <c r="K113" s="736"/>
      <c r="L113" s="736"/>
    </row>
    <row r="114" spans="1:12" s="900" customFormat="1">
      <c r="A114" s="1926"/>
      <c r="D114" s="1927"/>
      <c r="K114" s="736"/>
      <c r="L114" s="736"/>
    </row>
    <row r="115" spans="1:12" s="900" customFormat="1">
      <c r="A115" s="1926"/>
      <c r="D115" s="1927"/>
      <c r="K115" s="736"/>
      <c r="L115" s="736"/>
    </row>
    <row r="116" spans="1:12" s="900" customFormat="1">
      <c r="A116" s="1926"/>
      <c r="D116" s="1927"/>
      <c r="K116" s="736"/>
      <c r="L116" s="736"/>
    </row>
    <row r="117" spans="1:12" s="900" customFormat="1">
      <c r="A117" s="1926"/>
      <c r="D117" s="1927"/>
      <c r="K117" s="736"/>
      <c r="L117" s="736"/>
    </row>
    <row r="118" spans="1:12" s="900" customFormat="1">
      <c r="A118" s="1926"/>
      <c r="D118" s="1927"/>
      <c r="K118" s="736"/>
      <c r="L118" s="736"/>
    </row>
    <row r="119" spans="1:12" s="900" customFormat="1">
      <c r="A119" s="1926"/>
      <c r="D119" s="1927"/>
      <c r="K119" s="736"/>
      <c r="L119" s="736"/>
    </row>
    <row r="120" spans="1:12" s="900" customFormat="1">
      <c r="A120" s="1926"/>
      <c r="D120" s="1927"/>
      <c r="K120" s="736"/>
      <c r="L120" s="736"/>
    </row>
    <row r="121" spans="1:12" s="900" customFormat="1">
      <c r="A121" s="1926"/>
      <c r="D121" s="1927"/>
      <c r="K121" s="736"/>
      <c r="L121" s="736"/>
    </row>
    <row r="122" spans="1:12" s="900" customFormat="1">
      <c r="A122" s="1926"/>
      <c r="D122" s="1927"/>
      <c r="K122" s="736"/>
      <c r="L122" s="736"/>
    </row>
    <row r="123" spans="1:12" s="900" customFormat="1">
      <c r="A123" s="1926"/>
      <c r="D123" s="1927"/>
      <c r="K123" s="736"/>
      <c r="L123" s="736"/>
    </row>
    <row r="124" spans="1:12" s="900" customFormat="1">
      <c r="A124" s="1926"/>
      <c r="D124" s="1927"/>
      <c r="K124" s="736"/>
      <c r="L124" s="736"/>
    </row>
    <row r="125" spans="1:12" s="900" customFormat="1">
      <c r="A125" s="1926"/>
      <c r="D125" s="1927"/>
      <c r="K125" s="736"/>
      <c r="L125" s="736"/>
    </row>
    <row r="126" spans="1:12" s="900" customFormat="1">
      <c r="A126" s="1926"/>
      <c r="D126" s="1927"/>
      <c r="K126" s="736"/>
      <c r="L126" s="736"/>
    </row>
    <row r="127" spans="1:12" s="900" customFormat="1">
      <c r="A127" s="1926"/>
      <c r="D127" s="1927"/>
      <c r="K127" s="736"/>
      <c r="L127" s="736"/>
    </row>
    <row r="128" spans="1:12" s="900" customFormat="1">
      <c r="A128" s="1926"/>
      <c r="D128" s="1927"/>
      <c r="K128" s="736"/>
      <c r="L128" s="736"/>
    </row>
    <row r="129" spans="1:12" s="900" customFormat="1">
      <c r="A129" s="1926"/>
      <c r="D129" s="1927"/>
      <c r="K129" s="736"/>
      <c r="L129" s="736"/>
    </row>
    <row r="130" spans="1:12" s="900" customFormat="1">
      <c r="A130" s="1926"/>
      <c r="D130" s="1927"/>
      <c r="K130" s="736"/>
      <c r="L130" s="736"/>
    </row>
    <row r="131" spans="1:12" s="900" customFormat="1">
      <c r="A131" s="1926"/>
      <c r="D131" s="1927"/>
      <c r="K131" s="736"/>
      <c r="L131" s="736"/>
    </row>
    <row r="132" spans="1:12" s="900" customFormat="1">
      <c r="A132" s="1926"/>
      <c r="D132" s="1927"/>
      <c r="K132" s="736"/>
      <c r="L132" s="736"/>
    </row>
    <row r="133" spans="1:12" s="900" customFormat="1">
      <c r="A133" s="1926"/>
      <c r="D133" s="1927"/>
      <c r="K133" s="736"/>
      <c r="L133" s="736"/>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99" t="str">
        <f>项目基本情况!B1</f>
        <v>预评估</v>
      </c>
      <c r="C37" s="3099"/>
      <c r="D37" s="3099"/>
      <c r="E37" s="3099"/>
      <c r="F37" s="3099"/>
      <c r="G37" s="3099"/>
      <c r="H37" s="3099"/>
      <c r="I37" s="3099"/>
    </row>
    <row r="38" spans="1:9">
      <c r="A38" s="952"/>
      <c r="B38" s="952"/>
    </row>
    <row r="39" spans="1:9">
      <c r="A39" s="950" t="s">
        <v>818</v>
      </c>
      <c r="B39" s="950" t="s">
        <v>820</v>
      </c>
    </row>
    <row r="40" spans="1:9">
      <c r="A40" s="950"/>
      <c r="B40" s="1658">
        <f>项目基本情况!B5</f>
        <v>0</v>
      </c>
    </row>
    <row r="41" spans="1:9">
      <c r="A41" s="950"/>
      <c r="B41" s="950"/>
    </row>
    <row r="42" spans="1:9">
      <c r="A42" s="950" t="s">
        <v>818</v>
      </c>
      <c r="B42" s="950" t="s">
        <v>821</v>
      </c>
    </row>
    <row r="43" spans="1:9">
      <c r="A43" s="950"/>
      <c r="B43" s="1658" t="s">
        <v>822</v>
      </c>
    </row>
    <row r="44" spans="1:9">
      <c r="A44" s="950"/>
      <c r="B44" s="950"/>
    </row>
    <row r="45" spans="1:9">
      <c r="A45" s="950" t="s">
        <v>818</v>
      </c>
      <c r="B45" s="950" t="s">
        <v>823</v>
      </c>
    </row>
    <row r="46" spans="1:9" s="950" customFormat="1" ht="12.75">
      <c r="B46" s="1658" t="str">
        <f>项目基本情况!K4</f>
        <v>（注册号：0)、（注册号：0)</v>
      </c>
    </row>
    <row r="47" spans="1:9">
      <c r="A47" s="950"/>
      <c r="B47" s="950" t="str">
        <f>项目基本情况!K5</f>
        <v>（注册号：0)、（注册号：0)</v>
      </c>
    </row>
    <row r="48" spans="1:9">
      <c r="A48" s="950" t="s">
        <v>818</v>
      </c>
      <c r="B48" s="950"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71" customWidth="1"/>
    <col min="2" max="2" width="24.5" style="1756" customWidth="1"/>
    <col min="3" max="3" width="24.5" style="2733" customWidth="1"/>
    <col min="4" max="4" width="2.625" style="2733" customWidth="1"/>
    <col min="5" max="5" width="5.875" style="2733" customWidth="1"/>
    <col min="6" max="6" width="27" style="1756"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6"/>
    <col min="30" max="16384" width="9" style="1871"/>
  </cols>
  <sheetData>
    <row r="1" spans="1:29" s="2680" customFormat="1" ht="18.75" thickBot="1">
      <c r="A1" s="3189" t="s">
        <v>3022</v>
      </c>
      <c r="B1" s="3190"/>
      <c r="C1" s="3190"/>
      <c r="D1" s="3190"/>
      <c r="E1" s="3190"/>
      <c r="F1" s="3190"/>
      <c r="G1" s="3190"/>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3019</v>
      </c>
      <c r="D2" s="2684"/>
      <c r="E2" s="2681"/>
      <c r="F2" s="2685"/>
      <c r="G2" s="2683" t="s">
        <v>3020</v>
      </c>
      <c r="H2" s="906"/>
      <c r="I2" s="906"/>
      <c r="J2" s="906"/>
      <c r="K2" s="906"/>
      <c r="L2" s="906"/>
      <c r="M2" s="906"/>
      <c r="N2" s="906"/>
      <c r="O2" s="906"/>
      <c r="P2" s="906"/>
      <c r="Q2" s="906"/>
      <c r="R2" s="906"/>
    </row>
    <row r="3" spans="1:29" ht="24">
      <c r="A3" s="2664" t="s">
        <v>3021</v>
      </c>
      <c r="B3" s="2686" t="s">
        <v>2997</v>
      </c>
      <c r="C3" s="2687"/>
      <c r="D3" s="2688"/>
      <c r="E3" s="2665" t="s">
        <v>3021</v>
      </c>
      <c r="F3" s="2689" t="s">
        <v>2998</v>
      </c>
      <c r="G3" s="2690"/>
      <c r="H3" s="906"/>
      <c r="I3" s="906"/>
      <c r="J3" s="906"/>
      <c r="K3" s="906"/>
      <c r="L3" s="906"/>
      <c r="M3" s="906"/>
      <c r="N3" s="906"/>
      <c r="O3" s="906"/>
      <c r="P3" s="906"/>
      <c r="Q3" s="906"/>
      <c r="R3" s="906"/>
    </row>
    <row r="4" spans="1:29">
      <c r="A4" s="2665"/>
      <c r="B4" s="328" t="s">
        <v>2999</v>
      </c>
      <c r="C4" s="2691"/>
      <c r="D4" s="2688"/>
      <c r="E4" s="2692"/>
      <c r="F4" s="1556" t="s">
        <v>3000</v>
      </c>
      <c r="G4" s="2693"/>
      <c r="H4" s="906"/>
      <c r="I4" s="906"/>
      <c r="J4" s="906"/>
      <c r="K4" s="906"/>
      <c r="L4" s="906"/>
      <c r="M4" s="906"/>
      <c r="N4" s="906"/>
      <c r="O4" s="906"/>
      <c r="P4" s="906"/>
      <c r="Q4" s="906"/>
      <c r="R4" s="906"/>
    </row>
    <row r="5" spans="1:29">
      <c r="A5" s="2665"/>
      <c r="B5" s="328" t="s">
        <v>3001</v>
      </c>
      <c r="C5" s="2691"/>
      <c r="D5" s="2688"/>
      <c r="E5" s="2692"/>
      <c r="F5" s="328" t="s">
        <v>3002</v>
      </c>
      <c r="G5" s="2693"/>
      <c r="H5" s="906"/>
      <c r="I5" s="906"/>
      <c r="J5" s="906"/>
      <c r="K5" s="906"/>
      <c r="L5" s="906"/>
      <c r="M5" s="906"/>
      <c r="N5" s="906"/>
      <c r="O5" s="906"/>
      <c r="P5" s="906"/>
      <c r="Q5" s="906"/>
      <c r="R5" s="906"/>
    </row>
    <row r="6" spans="1:29">
      <c r="A6" s="2665"/>
      <c r="B6" s="328" t="s">
        <v>3003</v>
      </c>
      <c r="C6" s="2693"/>
      <c r="D6" s="2688"/>
      <c r="E6" s="2692"/>
      <c r="F6" s="328" t="s">
        <v>3004</v>
      </c>
      <c r="G6" s="2693"/>
      <c r="H6" s="906"/>
      <c r="I6" s="906"/>
      <c r="J6" s="906"/>
      <c r="K6" s="906"/>
      <c r="L6" s="906"/>
      <c r="M6" s="906"/>
      <c r="N6" s="906"/>
      <c r="O6" s="906"/>
      <c r="P6" s="906"/>
      <c r="Q6" s="906"/>
      <c r="R6" s="906"/>
    </row>
    <row r="7" spans="1:29" ht="15" thickBot="1">
      <c r="A7" s="2665"/>
      <c r="B7" s="328" t="s">
        <v>3002</v>
      </c>
      <c r="C7" s="2693"/>
      <c r="D7" s="2694"/>
      <c r="E7" s="2695"/>
      <c r="F7" s="2696" t="s">
        <v>3005</v>
      </c>
      <c r="G7" s="2697"/>
      <c r="H7" s="906"/>
      <c r="I7" s="906"/>
      <c r="J7" s="906"/>
      <c r="K7" s="906"/>
      <c r="L7" s="906"/>
      <c r="M7" s="906"/>
      <c r="N7" s="906"/>
      <c r="O7" s="906"/>
      <c r="P7" s="906"/>
      <c r="Q7" s="906"/>
      <c r="R7" s="906"/>
    </row>
    <row r="8" spans="1:29">
      <c r="A8" s="2665"/>
      <c r="B8" s="328" t="s">
        <v>3004</v>
      </c>
      <c r="C8" s="2693"/>
      <c r="D8" s="2694"/>
      <c r="E8" s="2694"/>
      <c r="F8" s="2698"/>
      <c r="G8" s="2698"/>
      <c r="H8" s="906"/>
      <c r="I8" s="906"/>
      <c r="J8" s="906"/>
      <c r="K8" s="906"/>
      <c r="L8" s="906"/>
      <c r="M8" s="906"/>
      <c r="N8" s="906"/>
      <c r="O8" s="906"/>
      <c r="P8" s="906"/>
      <c r="Q8" s="906"/>
      <c r="R8" s="906"/>
    </row>
    <row r="9" spans="1:29">
      <c r="A9" s="2665"/>
      <c r="B9" s="328" t="s">
        <v>3006</v>
      </c>
      <c r="C9" s="2691"/>
      <c r="D9" s="2688"/>
      <c r="E9" s="2694"/>
      <c r="F9" s="2698"/>
      <c r="G9" s="2698"/>
      <c r="H9" s="906"/>
      <c r="I9" s="906"/>
      <c r="J9" s="906"/>
      <c r="K9" s="906"/>
      <c r="L9" s="906"/>
      <c r="M9" s="906"/>
      <c r="N9" s="906"/>
      <c r="O9" s="906"/>
      <c r="P9" s="906"/>
      <c r="Q9" s="906"/>
      <c r="R9" s="906"/>
    </row>
    <row r="10" spans="1:29" s="2704" customFormat="1" ht="15" thickBot="1">
      <c r="A10" s="2666"/>
      <c r="B10" s="2699" t="s">
        <v>3007</v>
      </c>
      <c r="C10" s="2700"/>
      <c r="D10" s="2688"/>
      <c r="E10" s="2688"/>
      <c r="F10" s="2698"/>
      <c r="G10" s="2698"/>
      <c r="H10" s="2701"/>
      <c r="I10" s="2702"/>
      <c r="J10" s="2703"/>
      <c r="K10" s="2701"/>
      <c r="L10" s="2702"/>
      <c r="M10" s="2703"/>
      <c r="N10" s="2701"/>
      <c r="O10" s="2702"/>
      <c r="P10" s="2703"/>
      <c r="Q10" s="2701"/>
      <c r="R10" s="2702"/>
      <c r="S10" s="906"/>
      <c r="T10" s="906"/>
      <c r="U10" s="906"/>
      <c r="V10" s="906"/>
      <c r="W10" s="906"/>
      <c r="X10" s="906"/>
      <c r="Y10" s="906"/>
      <c r="Z10" s="906"/>
      <c r="AA10" s="906"/>
      <c r="AB10" s="906"/>
      <c r="AC10" s="906"/>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6"/>
      <c r="T11" s="906"/>
      <c r="U11" s="906"/>
      <c r="V11" s="906"/>
      <c r="W11" s="906"/>
      <c r="X11" s="906"/>
      <c r="Y11" s="906"/>
      <c r="Z11" s="906"/>
      <c r="AA11" s="906"/>
      <c r="AB11" s="906"/>
      <c r="AC11" s="906"/>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3023</v>
      </c>
      <c r="B13" s="2707"/>
      <c r="C13" s="2707"/>
      <c r="D13" s="2705"/>
      <c r="E13" s="2707"/>
      <c r="F13" s="2707"/>
      <c r="G13" s="2707"/>
    </row>
    <row r="14" spans="1:29" ht="15" thickBot="1">
      <c r="A14" s="2717"/>
      <c r="B14" s="2717"/>
      <c r="C14" s="2718" t="s">
        <v>3008</v>
      </c>
      <c r="D14" s="2688"/>
      <c r="E14" s="2719"/>
      <c r="F14" s="2719"/>
      <c r="G14" s="2683" t="s">
        <v>3009</v>
      </c>
    </row>
    <row r="15" spans="1:29" ht="24">
      <c r="A15" s="2667" t="s">
        <v>3010</v>
      </c>
      <c r="B15" s="2720" t="s">
        <v>2997</v>
      </c>
      <c r="C15" s="2721">
        <f>C3</f>
        <v>0</v>
      </c>
      <c r="D15" s="2688"/>
      <c r="E15" s="2668" t="s">
        <v>3011</v>
      </c>
      <c r="F15" s="2720" t="s">
        <v>3012</v>
      </c>
      <c r="G15" s="2722">
        <f>G3</f>
        <v>0</v>
      </c>
    </row>
    <row r="16" spans="1:29">
      <c r="A16" s="2669"/>
      <c r="B16" s="2723" t="s">
        <v>2999</v>
      </c>
      <c r="C16" s="2724">
        <f>C4</f>
        <v>0</v>
      </c>
      <c r="D16" s="2688"/>
      <c r="E16" s="2670"/>
      <c r="F16" s="2725" t="s">
        <v>3000</v>
      </c>
      <c r="G16" s="2726">
        <f>G4</f>
        <v>0</v>
      </c>
    </row>
    <row r="17" spans="1:18">
      <c r="A17" s="2669"/>
      <c r="B17" s="2723" t="s">
        <v>3001</v>
      </c>
      <c r="C17" s="2724">
        <f>C5</f>
        <v>0</v>
      </c>
      <c r="D17" s="2694"/>
      <c r="E17" s="2670"/>
      <c r="F17" s="2725" t="s">
        <v>3013</v>
      </c>
      <c r="G17" s="2727"/>
    </row>
    <row r="18" spans="1:18">
      <c r="A18" s="2669"/>
      <c r="B18" s="2725" t="s">
        <v>3003</v>
      </c>
      <c r="C18" s="2726">
        <f>C6</f>
        <v>0</v>
      </c>
      <c r="D18" s="2694"/>
      <c r="E18" s="2670"/>
      <c r="F18" s="2725" t="s">
        <v>3005</v>
      </c>
      <c r="G18" s="2726">
        <f>G7</f>
        <v>0</v>
      </c>
    </row>
    <row r="19" spans="1:18">
      <c r="A19" s="2669"/>
      <c r="B19" s="2725" t="s">
        <v>3014</v>
      </c>
      <c r="C19" s="2727"/>
      <c r="D19" s="2688"/>
      <c r="E19" s="2670"/>
      <c r="F19" s="328" t="s">
        <v>3002</v>
      </c>
      <c r="G19" s="2726">
        <f>G5</f>
        <v>0</v>
      </c>
    </row>
    <row r="20" spans="1:18">
      <c r="A20" s="2669"/>
      <c r="B20" s="2725" t="s">
        <v>3015</v>
      </c>
      <c r="C20" s="2724">
        <f>C9</f>
        <v>0</v>
      </c>
      <c r="D20" s="2694"/>
      <c r="E20" s="2670"/>
      <c r="F20" s="328" t="s">
        <v>3004</v>
      </c>
      <c r="G20" s="2726">
        <f>G6</f>
        <v>0</v>
      </c>
    </row>
    <row r="21" spans="1:18">
      <c r="A21" s="2669"/>
      <c r="B21" s="328" t="s">
        <v>3002</v>
      </c>
      <c r="C21" s="2726">
        <f>C7</f>
        <v>0</v>
      </c>
      <c r="D21" s="2688"/>
      <c r="E21" s="2670"/>
      <c r="F21" s="2725" t="s">
        <v>3016</v>
      </c>
      <c r="G21" s="2728"/>
    </row>
    <row r="22" spans="1:18" ht="13.5" customHeight="1">
      <c r="A22" s="2669"/>
      <c r="B22" s="328" t="s">
        <v>3004</v>
      </c>
      <c r="C22" s="2726">
        <f>C8</f>
        <v>0</v>
      </c>
      <c r="D22" s="2688"/>
      <c r="E22" s="2670"/>
      <c r="F22" s="2725" t="s">
        <v>3007</v>
      </c>
      <c r="G22" s="2727"/>
    </row>
    <row r="23" spans="1:18" s="906" customFormat="1" ht="15" thickBot="1">
      <c r="A23" s="2669"/>
      <c r="B23" s="2725" t="s">
        <v>3016</v>
      </c>
      <c r="C23" s="2728"/>
      <c r="D23" s="1926"/>
      <c r="E23" s="2671"/>
      <c r="F23" s="2729" t="s">
        <v>3017</v>
      </c>
      <c r="G23" s="2730"/>
      <c r="H23" s="2714"/>
      <c r="I23" s="2715"/>
      <c r="J23" s="2714"/>
      <c r="K23" s="2714"/>
      <c r="L23" s="2715"/>
      <c r="M23" s="2714"/>
      <c r="N23" s="2714"/>
      <c r="O23" s="2715"/>
      <c r="P23" s="2714"/>
      <c r="Q23" s="2714"/>
      <c r="R23" s="2716"/>
    </row>
    <row r="24" spans="1:18" s="906" customFormat="1" ht="15" thickBot="1">
      <c r="A24" s="2672"/>
      <c r="B24" s="2729" t="s">
        <v>3018</v>
      </c>
      <c r="C24" s="2731">
        <f>C10</f>
        <v>0</v>
      </c>
      <c r="D24" s="1926"/>
      <c r="E24" s="2662"/>
      <c r="F24" s="2662"/>
      <c r="G24" s="2732"/>
      <c r="H24" s="2714"/>
      <c r="I24" s="2715"/>
      <c r="J24" s="2714"/>
      <c r="K24" s="2714"/>
      <c r="L24" s="2715"/>
      <c r="M24" s="2714"/>
      <c r="N24" s="2714"/>
      <c r="O24" s="2715"/>
      <c r="P24" s="2714"/>
      <c r="Q24" s="2714"/>
      <c r="R24" s="2716"/>
    </row>
    <row r="25" spans="1:18" s="906" customFormat="1">
      <c r="B25" s="2714"/>
      <c r="C25" s="2714"/>
      <c r="D25" s="2714"/>
      <c r="H25" s="2714"/>
      <c r="I25" s="2715"/>
      <c r="J25" s="2714"/>
      <c r="K25" s="2714"/>
      <c r="L25" s="2715"/>
      <c r="M25" s="2714"/>
      <c r="N25" s="2714"/>
      <c r="O25" s="2715"/>
      <c r="P25" s="2714"/>
      <c r="Q25" s="2714"/>
      <c r="R25" s="2716"/>
    </row>
    <row r="26" spans="1:18" s="906" customFormat="1">
      <c r="B26" s="2714"/>
      <c r="C26" s="2714"/>
      <c r="D26" s="2714"/>
      <c r="H26" s="2714"/>
      <c r="I26" s="2715"/>
      <c r="J26" s="2714"/>
      <c r="K26" s="2714"/>
      <c r="L26" s="2715"/>
      <c r="M26" s="2714"/>
      <c r="N26" s="2714"/>
      <c r="O26" s="2715"/>
      <c r="P26" s="2714"/>
      <c r="Q26" s="2714"/>
      <c r="R26" s="2716"/>
    </row>
    <row r="27" spans="1:18" s="906" customFormat="1">
      <c r="B27" s="2714"/>
      <c r="C27" s="2714"/>
      <c r="D27" s="2714"/>
      <c r="H27" s="2714"/>
      <c r="I27" s="2715"/>
      <c r="J27" s="2714"/>
      <c r="K27" s="2714"/>
      <c r="L27" s="2715"/>
      <c r="M27" s="2714"/>
      <c r="N27" s="2714"/>
      <c r="O27" s="2715"/>
      <c r="P27" s="2714"/>
      <c r="Q27" s="2714"/>
      <c r="R27" s="2716"/>
    </row>
    <row r="28" spans="1:18" s="906" customFormat="1">
      <c r="B28" s="2714"/>
      <c r="C28" s="2714"/>
      <c r="D28" s="2714"/>
      <c r="H28" s="2714"/>
      <c r="I28" s="2715"/>
      <c r="J28" s="2714"/>
      <c r="K28" s="2714"/>
      <c r="L28" s="2715"/>
      <c r="M28" s="2714"/>
      <c r="N28" s="2714"/>
      <c r="O28" s="2715"/>
      <c r="P28" s="2714"/>
      <c r="Q28" s="2714"/>
      <c r="R28" s="2716"/>
    </row>
    <row r="29" spans="1:18" s="906" customFormat="1">
      <c r="B29" s="2714"/>
      <c r="C29" s="2714"/>
      <c r="D29" s="2714"/>
      <c r="H29" s="2714"/>
      <c r="I29" s="2715"/>
      <c r="J29" s="2714"/>
      <c r="K29" s="2714"/>
      <c r="L29" s="2715"/>
      <c r="M29" s="2714"/>
      <c r="N29" s="2714"/>
      <c r="O29" s="2715"/>
      <c r="P29" s="2714"/>
      <c r="Q29" s="2714"/>
      <c r="R29" s="2716"/>
    </row>
    <row r="30" spans="1:18" s="906" customFormat="1">
      <c r="B30" s="2714"/>
      <c r="C30" s="2714"/>
      <c r="D30" s="2714"/>
      <c r="H30" s="2714"/>
      <c r="I30" s="2715"/>
      <c r="J30" s="2714"/>
      <c r="K30" s="2714"/>
      <c r="L30" s="2715"/>
      <c r="M30" s="2714"/>
      <c r="N30" s="2714"/>
      <c r="O30" s="2715"/>
      <c r="P30" s="2714"/>
      <c r="Q30" s="2714"/>
      <c r="R30" s="2716"/>
    </row>
    <row r="31" spans="1:18" s="906" customFormat="1">
      <c r="B31" s="2714"/>
      <c r="C31" s="2714"/>
      <c r="D31" s="2714"/>
      <c r="H31" s="2714"/>
      <c r="I31" s="2715"/>
      <c r="J31" s="2714"/>
      <c r="K31" s="2714"/>
      <c r="L31" s="2715"/>
      <c r="M31" s="2714"/>
      <c r="N31" s="2714"/>
      <c r="O31" s="2715"/>
      <c r="P31" s="2714"/>
      <c r="Q31" s="2714"/>
      <c r="R31" s="2716"/>
    </row>
    <row r="32" spans="1:18" s="906" customFormat="1">
      <c r="B32" s="2714"/>
      <c r="C32" s="2714"/>
      <c r="D32" s="2714"/>
      <c r="H32" s="2714"/>
      <c r="I32" s="2715"/>
      <c r="J32" s="2714"/>
      <c r="K32" s="2714"/>
      <c r="L32" s="2715"/>
      <c r="M32" s="2714"/>
      <c r="N32" s="2714"/>
      <c r="O32" s="2715"/>
      <c r="P32" s="2714"/>
      <c r="Q32" s="2714"/>
      <c r="R32" s="2716"/>
    </row>
    <row r="33" spans="2:18" s="906" customFormat="1">
      <c r="B33" s="2714"/>
      <c r="C33" s="2714"/>
      <c r="D33" s="2714"/>
      <c r="H33" s="2714"/>
      <c r="I33" s="2715"/>
      <c r="J33" s="2714"/>
      <c r="K33" s="2714"/>
      <c r="L33" s="2715"/>
      <c r="M33" s="2714"/>
      <c r="N33" s="2714"/>
      <c r="O33" s="2715"/>
      <c r="P33" s="2714"/>
      <c r="Q33" s="2714"/>
      <c r="R33" s="2716"/>
    </row>
    <row r="34" spans="2:18" s="906" customFormat="1">
      <c r="B34" s="2714"/>
      <c r="C34" s="2714"/>
      <c r="D34" s="2714"/>
      <c r="H34" s="2714"/>
      <c r="I34" s="2715"/>
      <c r="J34" s="2714"/>
      <c r="K34" s="2714"/>
      <c r="L34" s="2715"/>
      <c r="M34" s="2714"/>
      <c r="N34" s="2714"/>
      <c r="O34" s="2715"/>
      <c r="P34" s="2714"/>
      <c r="Q34" s="2714"/>
      <c r="R34" s="2716"/>
    </row>
    <row r="35" spans="2:18" s="906" customFormat="1">
      <c r="B35" s="2714"/>
      <c r="C35" s="2714"/>
      <c r="D35" s="2714"/>
      <c r="H35" s="2714"/>
      <c r="I35" s="2715"/>
      <c r="J35" s="2714"/>
      <c r="K35" s="2714"/>
      <c r="L35" s="2715"/>
      <c r="M35" s="2714"/>
      <c r="N35" s="2714"/>
      <c r="O35" s="2715"/>
      <c r="P35" s="2714"/>
      <c r="Q35" s="2714"/>
      <c r="R35" s="2716"/>
    </row>
    <row r="36" spans="2:18" s="906" customFormat="1">
      <c r="B36" s="2714"/>
      <c r="C36" s="2714"/>
      <c r="D36" s="2714"/>
      <c r="H36" s="2714"/>
      <c r="I36" s="2715"/>
      <c r="J36" s="2714"/>
      <c r="K36" s="2714"/>
      <c r="L36" s="2715"/>
      <c r="M36" s="2714"/>
      <c r="N36" s="2714"/>
      <c r="O36" s="2715"/>
      <c r="P36" s="2714"/>
      <c r="Q36" s="2714"/>
      <c r="R36" s="2716"/>
    </row>
    <row r="37" spans="2:18" s="906" customFormat="1">
      <c r="B37" s="2714"/>
      <c r="C37" s="2714"/>
      <c r="D37" s="2714"/>
      <c r="H37" s="2714"/>
      <c r="I37" s="2715"/>
      <c r="J37" s="2714"/>
      <c r="K37" s="2714"/>
      <c r="L37" s="2715"/>
      <c r="M37" s="2714"/>
      <c r="N37" s="2714"/>
      <c r="O37" s="2715"/>
      <c r="P37" s="2714"/>
      <c r="Q37" s="2714"/>
      <c r="R37" s="2716"/>
    </row>
    <row r="38" spans="2:18" s="906" customFormat="1">
      <c r="B38" s="2714"/>
      <c r="C38" s="2714"/>
      <c r="D38" s="2714"/>
      <c r="E38" s="2714"/>
      <c r="F38" s="2714"/>
      <c r="G38" s="2715"/>
      <c r="H38" s="2714"/>
      <c r="I38" s="2715"/>
      <c r="J38" s="2714"/>
      <c r="K38" s="2714"/>
      <c r="L38" s="2715"/>
      <c r="M38" s="2714"/>
      <c r="N38" s="2714"/>
      <c r="O38" s="2715"/>
      <c r="P38" s="2714"/>
      <c r="Q38" s="2714"/>
      <c r="R38" s="2716"/>
    </row>
    <row r="39" spans="2:18" s="906" customFormat="1">
      <c r="B39" s="2714"/>
      <c r="C39" s="2714"/>
      <c r="D39" s="2714"/>
      <c r="E39" s="2714"/>
      <c r="F39" s="2714"/>
      <c r="G39" s="2715"/>
      <c r="H39" s="2714"/>
      <c r="I39" s="2715"/>
      <c r="J39" s="2714"/>
      <c r="K39" s="2714"/>
      <c r="L39" s="2715"/>
      <c r="M39" s="2714"/>
      <c r="N39" s="2714"/>
      <c r="O39" s="2715"/>
      <c r="P39" s="2714"/>
      <c r="Q39" s="2714"/>
      <c r="R39" s="2716"/>
    </row>
    <row r="40" spans="2:18" s="906" customFormat="1">
      <c r="B40" s="2714"/>
      <c r="C40" s="2714"/>
      <c r="D40" s="2714"/>
      <c r="E40" s="2714"/>
      <c r="F40" s="2714"/>
      <c r="G40" s="2715"/>
      <c r="H40" s="2714"/>
      <c r="I40" s="2715"/>
      <c r="J40" s="2714"/>
      <c r="K40" s="2714"/>
      <c r="L40" s="2715"/>
      <c r="M40" s="2714"/>
      <c r="N40" s="2714"/>
      <c r="O40" s="2715"/>
      <c r="P40" s="2714"/>
      <c r="Q40" s="2714"/>
      <c r="R40" s="2716"/>
    </row>
    <row r="41" spans="2:18" s="906" customFormat="1">
      <c r="B41" s="2714"/>
      <c r="C41" s="2714"/>
      <c r="D41" s="2714"/>
      <c r="E41" s="2714"/>
      <c r="F41" s="2714"/>
      <c r="G41" s="2715"/>
      <c r="H41" s="2714"/>
      <c r="I41" s="2715"/>
      <c r="J41" s="2714"/>
      <c r="K41" s="2714"/>
      <c r="L41" s="2715"/>
      <c r="M41" s="2714"/>
      <c r="N41" s="2714"/>
      <c r="O41" s="2715"/>
      <c r="P41" s="2714"/>
      <c r="Q41" s="2714"/>
      <c r="R41" s="2716"/>
    </row>
    <row r="42" spans="2:18" s="906" customFormat="1">
      <c r="B42" s="2714"/>
      <c r="C42" s="2714"/>
      <c r="D42" s="2714"/>
      <c r="E42" s="2714"/>
      <c r="F42" s="2714"/>
      <c r="G42" s="2715"/>
      <c r="H42" s="2714"/>
      <c r="I42" s="2715"/>
      <c r="J42" s="2714"/>
      <c r="K42" s="2714"/>
      <c r="L42" s="2715"/>
      <c r="M42" s="2714"/>
      <c r="N42" s="2714"/>
      <c r="O42" s="2715"/>
      <c r="P42" s="2714"/>
      <c r="Q42" s="2714"/>
      <c r="R42" s="2716"/>
    </row>
    <row r="43" spans="2:18" s="906" customFormat="1">
      <c r="B43" s="2714"/>
      <c r="C43" s="2714"/>
      <c r="D43" s="2714"/>
      <c r="E43" s="2714"/>
      <c r="F43" s="2714"/>
      <c r="G43" s="2715"/>
      <c r="H43" s="2714"/>
      <c r="I43" s="2715"/>
      <c r="J43" s="2714"/>
      <c r="K43" s="2714"/>
      <c r="L43" s="2715"/>
      <c r="M43" s="2714"/>
      <c r="N43" s="2714"/>
      <c r="O43" s="2715"/>
      <c r="P43" s="2714"/>
      <c r="Q43" s="2714"/>
      <c r="R43" s="2716"/>
    </row>
    <row r="44" spans="2:18" s="906" customFormat="1">
      <c r="B44" s="2714"/>
      <c r="C44" s="2714"/>
      <c r="D44" s="2714"/>
      <c r="E44" s="2714"/>
      <c r="F44" s="2714"/>
      <c r="G44" s="2715"/>
      <c r="H44" s="2714"/>
      <c r="I44" s="2715"/>
      <c r="J44" s="2714"/>
      <c r="K44" s="2714"/>
      <c r="L44" s="2715"/>
      <c r="M44" s="2714"/>
      <c r="N44" s="2714"/>
      <c r="O44" s="2715"/>
      <c r="P44" s="2714"/>
      <c r="Q44" s="2714"/>
      <c r="R44" s="2716"/>
    </row>
    <row r="45" spans="2:18" s="906" customFormat="1">
      <c r="B45" s="2714"/>
      <c r="C45" s="2714"/>
      <c r="D45" s="2714"/>
      <c r="E45" s="2714"/>
      <c r="F45" s="2714"/>
      <c r="G45" s="2715"/>
      <c r="H45" s="2714"/>
      <c r="I45" s="2715"/>
      <c r="J45" s="2714"/>
      <c r="K45" s="2714"/>
      <c r="L45" s="2715"/>
      <c r="M45" s="2714"/>
      <c r="N45" s="2714"/>
      <c r="O45" s="2715"/>
      <c r="P45" s="2714"/>
      <c r="Q45" s="2714"/>
      <c r="R45" s="2716"/>
    </row>
    <row r="46" spans="2:18" s="906" customFormat="1">
      <c r="B46" s="2714"/>
      <c r="C46" s="2714"/>
      <c r="D46" s="2714"/>
      <c r="E46" s="2714"/>
      <c r="F46" s="2714"/>
      <c r="G46" s="2715"/>
      <c r="H46" s="2714"/>
      <c r="I46" s="2715"/>
      <c r="J46" s="2714"/>
      <c r="K46" s="2714"/>
      <c r="L46" s="2715"/>
      <c r="M46" s="2714"/>
      <c r="N46" s="2714"/>
      <c r="O46" s="2715"/>
      <c r="P46" s="2714"/>
      <c r="Q46" s="2714"/>
      <c r="R46" s="2716"/>
    </row>
    <row r="47" spans="2:18" s="906" customFormat="1">
      <c r="B47" s="2714"/>
      <c r="C47" s="2714"/>
      <c r="D47" s="2714"/>
      <c r="E47" s="2714"/>
      <c r="F47" s="2714"/>
      <c r="G47" s="2715"/>
      <c r="H47" s="2714"/>
      <c r="I47" s="2715"/>
      <c r="J47" s="2714"/>
      <c r="K47" s="2714"/>
      <c r="L47" s="2715"/>
      <c r="M47" s="2714"/>
      <c r="N47" s="2714"/>
      <c r="O47" s="2715"/>
      <c r="P47" s="2714"/>
      <c r="Q47" s="2714"/>
      <c r="R47" s="2716"/>
    </row>
    <row r="48" spans="2:18" s="906" customFormat="1">
      <c r="B48" s="2714"/>
      <c r="C48" s="2714"/>
      <c r="D48" s="2714"/>
      <c r="E48" s="2714"/>
      <c r="F48" s="2714"/>
      <c r="G48" s="2715"/>
      <c r="H48" s="2714"/>
      <c r="I48" s="2715"/>
      <c r="J48" s="2714"/>
      <c r="K48" s="2714"/>
      <c r="L48" s="2715"/>
      <c r="M48" s="2714"/>
      <c r="N48" s="2714"/>
      <c r="O48" s="2715"/>
      <c r="P48" s="2714"/>
      <c r="Q48" s="2714"/>
      <c r="R48" s="2716"/>
    </row>
    <row r="49" spans="2:18" s="906" customFormat="1">
      <c r="B49" s="2714"/>
      <c r="C49" s="2714"/>
      <c r="D49" s="2714"/>
      <c r="E49" s="2714"/>
      <c r="F49" s="2714"/>
      <c r="G49" s="2715"/>
      <c r="H49" s="2714"/>
      <c r="I49" s="2715"/>
      <c r="J49" s="2714"/>
      <c r="K49" s="2714"/>
      <c r="L49" s="2715"/>
      <c r="M49" s="2714"/>
      <c r="N49" s="2714"/>
      <c r="O49" s="2715"/>
      <c r="P49" s="2714"/>
      <c r="Q49" s="2714"/>
      <c r="R49" s="2716"/>
    </row>
    <row r="50" spans="2:18" s="906" customFormat="1">
      <c r="B50" s="2714"/>
      <c r="C50" s="2714"/>
      <c r="D50" s="2714"/>
      <c r="E50" s="2714"/>
      <c r="F50" s="2714"/>
      <c r="G50" s="2715"/>
      <c r="H50" s="2714"/>
      <c r="I50" s="2715"/>
      <c r="J50" s="2714"/>
      <c r="K50" s="2714"/>
      <c r="L50" s="2715"/>
      <c r="M50" s="2714"/>
      <c r="N50" s="2714"/>
      <c r="O50" s="2715"/>
      <c r="P50" s="2714"/>
      <c r="Q50" s="2714"/>
      <c r="R50" s="2716"/>
    </row>
    <row r="51" spans="2:18" s="906" customFormat="1">
      <c r="B51" s="2714"/>
      <c r="C51" s="2714"/>
      <c r="D51" s="2714"/>
      <c r="E51" s="2714"/>
      <c r="F51" s="2714"/>
      <c r="G51" s="2715"/>
      <c r="H51" s="2714"/>
      <c r="I51" s="2715"/>
      <c r="J51" s="2714"/>
      <c r="K51" s="2714"/>
      <c r="L51" s="2715"/>
      <c r="M51" s="2714"/>
      <c r="N51" s="2714"/>
      <c r="O51" s="2715"/>
      <c r="P51" s="2714"/>
      <c r="Q51" s="2714"/>
      <c r="R51" s="2716"/>
    </row>
    <row r="52" spans="2:18" s="906" customFormat="1">
      <c r="B52" s="2714"/>
      <c r="C52" s="2714"/>
      <c r="D52" s="2714"/>
      <c r="E52" s="2714"/>
      <c r="F52" s="2714"/>
      <c r="G52" s="2715"/>
      <c r="H52" s="2714"/>
      <c r="I52" s="2715"/>
      <c r="J52" s="2714"/>
      <c r="K52" s="2714"/>
      <c r="L52" s="2715"/>
      <c r="M52" s="2714"/>
      <c r="N52" s="2714"/>
      <c r="O52" s="2715"/>
      <c r="P52" s="2714"/>
      <c r="Q52" s="2714"/>
      <c r="R52" s="2716"/>
    </row>
    <row r="53" spans="2:18" s="906" customFormat="1">
      <c r="B53" s="2714"/>
      <c r="C53" s="2714"/>
      <c r="D53" s="2714"/>
      <c r="E53" s="2714"/>
      <c r="F53" s="2714"/>
      <c r="G53" s="2715"/>
      <c r="H53" s="2714"/>
      <c r="I53" s="2715"/>
      <c r="J53" s="2714"/>
      <c r="K53" s="2714"/>
      <c r="L53" s="2715"/>
      <c r="M53" s="2714"/>
      <c r="N53" s="2714"/>
      <c r="O53" s="2715"/>
      <c r="P53" s="2714"/>
      <c r="Q53" s="2714"/>
      <c r="R53" s="2716"/>
    </row>
    <row r="54" spans="2:18" s="906" customFormat="1">
      <c r="B54" s="2714"/>
      <c r="C54" s="2714"/>
      <c r="D54" s="2714"/>
      <c r="E54" s="2714"/>
      <c r="F54" s="2714"/>
      <c r="G54" s="2715"/>
      <c r="H54" s="2714"/>
      <c r="I54" s="2715"/>
      <c r="J54" s="2714"/>
      <c r="K54" s="2714"/>
      <c r="L54" s="2715"/>
      <c r="M54" s="2714"/>
      <c r="N54" s="2714"/>
      <c r="O54" s="2715"/>
      <c r="P54" s="2714"/>
      <c r="Q54" s="2714"/>
      <c r="R54" s="2716"/>
    </row>
    <row r="55" spans="2:18" s="906" customFormat="1">
      <c r="B55" s="2714"/>
      <c r="C55" s="2714"/>
      <c r="D55" s="2714"/>
      <c r="E55" s="2714"/>
      <c r="F55" s="2714"/>
      <c r="G55" s="2715"/>
      <c r="H55" s="2714"/>
      <c r="I55" s="2715"/>
      <c r="J55" s="2714"/>
      <c r="K55" s="2714"/>
      <c r="L55" s="2715"/>
      <c r="M55" s="2714"/>
      <c r="N55" s="2714"/>
      <c r="O55" s="2715"/>
      <c r="P55" s="2714"/>
      <c r="Q55" s="2714"/>
      <c r="R55" s="2716"/>
    </row>
    <row r="56" spans="2:18" s="906" customFormat="1">
      <c r="B56" s="2714"/>
      <c r="C56" s="2714"/>
      <c r="D56" s="2714"/>
      <c r="E56" s="2714"/>
      <c r="F56" s="2714"/>
      <c r="G56" s="2715"/>
      <c r="H56" s="2714"/>
      <c r="I56" s="2715"/>
      <c r="J56" s="2714"/>
      <c r="K56" s="2714"/>
      <c r="L56" s="2715"/>
      <c r="M56" s="2714"/>
      <c r="N56" s="2714"/>
      <c r="O56" s="2715"/>
      <c r="P56" s="2714"/>
      <c r="Q56" s="2714"/>
      <c r="R56" s="2716"/>
    </row>
    <row r="57" spans="2:18" s="906" customFormat="1">
      <c r="B57" s="2714"/>
      <c r="C57" s="2714"/>
      <c r="D57" s="2714"/>
      <c r="E57" s="2714"/>
      <c r="F57" s="2714"/>
      <c r="G57" s="2715"/>
      <c r="H57" s="2714"/>
      <c r="I57" s="2715"/>
      <c r="J57" s="2714"/>
      <c r="K57" s="2714"/>
      <c r="L57" s="2715"/>
      <c r="M57" s="2714"/>
      <c r="N57" s="2714"/>
      <c r="O57" s="2715"/>
      <c r="P57" s="2714"/>
      <c r="Q57" s="2714"/>
      <c r="R57" s="2716"/>
    </row>
    <row r="58" spans="2:18" s="906" customFormat="1">
      <c r="B58" s="2714"/>
      <c r="C58" s="2714"/>
      <c r="D58" s="2714"/>
      <c r="E58" s="2714"/>
      <c r="F58" s="2714"/>
      <c r="G58" s="2715"/>
      <c r="H58" s="2714"/>
      <c r="I58" s="2715"/>
      <c r="J58" s="2714"/>
      <c r="K58" s="2714"/>
      <c r="L58" s="2715"/>
      <c r="M58" s="2714"/>
      <c r="N58" s="2714"/>
      <c r="O58" s="2715"/>
      <c r="P58" s="2714"/>
      <c r="Q58" s="2714"/>
      <c r="R58" s="2716"/>
    </row>
    <row r="59" spans="2:18" s="906" customFormat="1">
      <c r="B59" s="2714"/>
      <c r="C59" s="2714"/>
      <c r="D59" s="2714"/>
      <c r="E59" s="2714"/>
      <c r="F59" s="2714"/>
      <c r="G59" s="2715"/>
      <c r="H59" s="2714"/>
      <c r="I59" s="2715"/>
      <c r="J59" s="2714"/>
      <c r="K59" s="2714"/>
      <c r="L59" s="2715"/>
      <c r="M59" s="2714"/>
      <c r="N59" s="2714"/>
      <c r="O59" s="2715"/>
      <c r="P59" s="2714"/>
      <c r="Q59" s="2714"/>
      <c r="R59" s="2716"/>
    </row>
    <row r="60" spans="2:18" s="906" customFormat="1">
      <c r="B60" s="2714"/>
      <c r="C60" s="2714"/>
      <c r="D60" s="2714"/>
      <c r="E60" s="2714"/>
      <c r="F60" s="2714"/>
      <c r="G60" s="2715"/>
      <c r="H60" s="2714"/>
      <c r="I60" s="2715"/>
      <c r="J60" s="2714"/>
      <c r="K60" s="2714"/>
      <c r="L60" s="2715"/>
      <c r="M60" s="2714"/>
      <c r="N60" s="2714"/>
      <c r="O60" s="2715"/>
      <c r="P60" s="2714"/>
      <c r="Q60" s="2714"/>
      <c r="R60" s="2716"/>
    </row>
    <row r="61" spans="2:18" s="906" customFormat="1">
      <c r="B61" s="2714"/>
      <c r="C61" s="2714"/>
      <c r="D61" s="2714"/>
      <c r="E61" s="2714"/>
      <c r="F61" s="2714"/>
      <c r="G61" s="2715"/>
      <c r="H61" s="2714"/>
      <c r="I61" s="2715"/>
      <c r="J61" s="2714"/>
      <c r="K61" s="2714"/>
      <c r="L61" s="2715"/>
      <c r="M61" s="2714"/>
      <c r="N61" s="2714"/>
      <c r="O61" s="2715"/>
      <c r="P61" s="2714"/>
      <c r="Q61" s="2714"/>
      <c r="R61" s="2716"/>
    </row>
    <row r="62" spans="2:18" s="906" customFormat="1">
      <c r="B62" s="2714"/>
      <c r="C62" s="2714"/>
      <c r="D62" s="2714"/>
      <c r="E62" s="2714"/>
      <c r="F62" s="2714"/>
      <c r="G62" s="2715"/>
      <c r="H62" s="2714"/>
      <c r="I62" s="2715"/>
      <c r="J62" s="2714"/>
      <c r="K62" s="2714"/>
      <c r="L62" s="2715"/>
      <c r="M62" s="2714"/>
      <c r="N62" s="2714"/>
      <c r="O62" s="2715"/>
      <c r="P62" s="2714"/>
      <c r="Q62" s="2714"/>
      <c r="R62" s="2716"/>
    </row>
    <row r="63" spans="2:18" s="906" customFormat="1">
      <c r="B63" s="2714"/>
      <c r="C63" s="2714"/>
      <c r="D63" s="2714"/>
      <c r="E63" s="2714"/>
      <c r="F63" s="2714"/>
      <c r="G63" s="2715"/>
      <c r="H63" s="2714"/>
      <c r="I63" s="2715"/>
      <c r="J63" s="2714"/>
      <c r="K63" s="2714"/>
      <c r="L63" s="2715"/>
      <c r="M63" s="2714"/>
      <c r="N63" s="2714"/>
      <c r="O63" s="2715"/>
      <c r="P63" s="2714"/>
      <c r="Q63" s="2714"/>
      <c r="R63" s="2716"/>
    </row>
    <row r="64" spans="2:18" s="906" customFormat="1">
      <c r="B64" s="2714"/>
      <c r="C64" s="2714"/>
      <c r="D64" s="2714"/>
      <c r="E64" s="2714"/>
      <c r="F64" s="2714"/>
      <c r="G64" s="2715"/>
      <c r="H64" s="2714"/>
      <c r="I64" s="2715"/>
      <c r="J64" s="2714"/>
      <c r="K64" s="2714"/>
      <c r="L64" s="2715"/>
      <c r="M64" s="2714"/>
      <c r="N64" s="2714"/>
      <c r="O64" s="2715"/>
      <c r="P64" s="2714"/>
      <c r="Q64" s="2714"/>
      <c r="R64" s="2716"/>
    </row>
    <row r="65" spans="2:18" s="906" customFormat="1">
      <c r="B65" s="2714"/>
      <c r="C65" s="2714"/>
      <c r="D65" s="2714"/>
      <c r="E65" s="2714"/>
      <c r="F65" s="2714"/>
      <c r="G65" s="2715"/>
      <c r="H65" s="2714"/>
      <c r="I65" s="2715"/>
      <c r="J65" s="2714"/>
      <c r="K65" s="2714"/>
      <c r="L65" s="2715"/>
      <c r="M65" s="2714"/>
      <c r="N65" s="2714"/>
      <c r="O65" s="2715"/>
      <c r="P65" s="2714"/>
      <c r="Q65" s="2714"/>
      <c r="R65" s="2716"/>
    </row>
    <row r="66" spans="2:18" s="906" customFormat="1">
      <c r="B66" s="2714"/>
      <c r="C66" s="2714"/>
      <c r="D66" s="2714"/>
      <c r="E66" s="2714"/>
      <c r="F66" s="2714"/>
      <c r="G66" s="2715"/>
      <c r="H66" s="2714"/>
      <c r="I66" s="2715"/>
      <c r="J66" s="2714"/>
      <c r="K66" s="2714"/>
      <c r="L66" s="2715"/>
      <c r="M66" s="2714"/>
      <c r="N66" s="2714"/>
      <c r="O66" s="2715"/>
      <c r="P66" s="2714"/>
      <c r="Q66" s="2714"/>
      <c r="R66" s="2716"/>
    </row>
    <row r="67" spans="2:18" s="906" customFormat="1">
      <c r="B67" s="2714"/>
      <c r="C67" s="2714"/>
      <c r="D67" s="2714"/>
      <c r="E67" s="2714"/>
      <c r="F67" s="2714"/>
      <c r="G67" s="2715"/>
      <c r="H67" s="2714"/>
      <c r="I67" s="2715"/>
      <c r="J67" s="2714"/>
      <c r="K67" s="2714"/>
      <c r="L67" s="2715"/>
      <c r="M67" s="2714"/>
      <c r="N67" s="2714"/>
      <c r="O67" s="2715"/>
      <c r="P67" s="2714"/>
      <c r="Q67" s="2714"/>
      <c r="R67" s="2716"/>
    </row>
    <row r="68" spans="2:18" s="906" customFormat="1">
      <c r="B68" s="2714"/>
      <c r="C68" s="2714"/>
      <c r="D68" s="2714"/>
      <c r="E68" s="2714"/>
      <c r="F68" s="2714"/>
      <c r="G68" s="2715"/>
      <c r="H68" s="2714"/>
      <c r="I68" s="2715"/>
      <c r="J68" s="2714"/>
      <c r="K68" s="2714"/>
      <c r="L68" s="2715"/>
      <c r="M68" s="2714"/>
      <c r="N68" s="2714"/>
      <c r="O68" s="2715"/>
      <c r="P68" s="2714"/>
      <c r="Q68" s="2714"/>
      <c r="R68" s="2716"/>
    </row>
    <row r="69" spans="2:18" s="906" customFormat="1">
      <c r="B69" s="2714"/>
      <c r="C69" s="2714"/>
      <c r="D69" s="2714"/>
      <c r="E69" s="2714"/>
      <c r="F69" s="2714"/>
      <c r="G69" s="2715"/>
      <c r="H69" s="2714"/>
      <c r="I69" s="2715"/>
      <c r="J69" s="2714"/>
      <c r="K69" s="2714"/>
      <c r="L69" s="2715"/>
      <c r="M69" s="2714"/>
      <c r="N69" s="2714"/>
      <c r="O69" s="2715"/>
      <c r="P69" s="2714"/>
      <c r="Q69" s="2714"/>
      <c r="R69" s="2716"/>
    </row>
    <row r="70" spans="2:18" s="906" customFormat="1">
      <c r="B70" s="2714"/>
      <c r="C70" s="2714"/>
      <c r="D70" s="2714"/>
      <c r="E70" s="2714"/>
      <c r="F70" s="2714"/>
      <c r="G70" s="2715"/>
      <c r="H70" s="2714"/>
      <c r="I70" s="2715"/>
      <c r="J70" s="2714"/>
      <c r="K70" s="2714"/>
      <c r="L70" s="2715"/>
      <c r="M70" s="2714"/>
      <c r="N70" s="2714"/>
      <c r="O70" s="2715"/>
      <c r="P70" s="2714"/>
      <c r="Q70" s="2714"/>
      <c r="R70" s="2716"/>
    </row>
    <row r="71" spans="2:18" s="906" customFormat="1">
      <c r="B71" s="2714"/>
      <c r="C71" s="2714"/>
      <c r="D71" s="2714"/>
      <c r="E71" s="2714"/>
      <c r="F71" s="2714"/>
      <c r="G71" s="2715"/>
      <c r="H71" s="2714"/>
      <c r="I71" s="2715"/>
      <c r="J71" s="2714"/>
      <c r="K71" s="2714"/>
      <c r="L71" s="2715"/>
      <c r="M71" s="2714"/>
      <c r="N71" s="2714"/>
      <c r="O71" s="2715"/>
      <c r="P71" s="2714"/>
      <c r="Q71" s="2714"/>
      <c r="R71" s="2716"/>
    </row>
    <row r="72" spans="2:18" s="906" customFormat="1">
      <c r="B72" s="2714"/>
      <c r="C72" s="2714"/>
      <c r="D72" s="2714"/>
      <c r="E72" s="2714"/>
      <c r="F72" s="2714"/>
      <c r="G72" s="2715"/>
      <c r="H72" s="2714"/>
      <c r="I72" s="2715"/>
      <c r="J72" s="2714"/>
      <c r="K72" s="2714"/>
      <c r="L72" s="2715"/>
      <c r="M72" s="2714"/>
      <c r="N72" s="2714"/>
      <c r="O72" s="2715"/>
      <c r="P72" s="2714"/>
      <c r="Q72" s="2714"/>
      <c r="R72" s="2716"/>
    </row>
    <row r="73" spans="2:18" s="906" customFormat="1">
      <c r="B73" s="2714"/>
      <c r="C73" s="2714"/>
      <c r="D73" s="2714"/>
      <c r="E73" s="2714"/>
      <c r="F73" s="2714"/>
      <c r="G73" s="2715"/>
      <c r="H73" s="2714"/>
      <c r="I73" s="2715"/>
      <c r="J73" s="2714"/>
      <c r="K73" s="2714"/>
      <c r="L73" s="2715"/>
      <c r="M73" s="2714"/>
      <c r="N73" s="2714"/>
      <c r="O73" s="2715"/>
      <c r="P73" s="2714"/>
      <c r="Q73" s="2714"/>
      <c r="R73" s="2716"/>
    </row>
    <row r="74" spans="2:18" s="906" customFormat="1">
      <c r="B74" s="2714"/>
      <c r="C74" s="2714"/>
      <c r="D74" s="2714"/>
      <c r="E74" s="2714"/>
      <c r="F74" s="2714"/>
      <c r="G74" s="2715"/>
      <c r="H74" s="2714"/>
      <c r="I74" s="2715"/>
      <c r="J74" s="2714"/>
      <c r="K74" s="2714"/>
      <c r="L74" s="2715"/>
      <c r="M74" s="2714"/>
      <c r="N74" s="2714"/>
      <c r="O74" s="2715"/>
      <c r="P74" s="2714"/>
      <c r="Q74" s="2714"/>
      <c r="R74" s="2716"/>
    </row>
    <row r="75" spans="2:18" s="906" customFormat="1">
      <c r="B75" s="2714"/>
      <c r="C75" s="2714"/>
      <c r="D75" s="2714"/>
      <c r="E75" s="2714"/>
      <c r="F75" s="2714"/>
      <c r="G75" s="2715"/>
      <c r="H75" s="2714"/>
      <c r="I75" s="2715"/>
      <c r="J75" s="2714"/>
      <c r="K75" s="2714"/>
      <c r="L75" s="2715"/>
      <c r="M75" s="2714"/>
      <c r="N75" s="2714"/>
      <c r="O75" s="2715"/>
      <c r="P75" s="2714"/>
      <c r="Q75" s="2714"/>
      <c r="R75" s="2716"/>
    </row>
    <row r="76" spans="2:18" s="906" customFormat="1">
      <c r="B76" s="2714"/>
      <c r="C76" s="2714"/>
      <c r="D76" s="2714"/>
      <c r="E76" s="2714"/>
      <c r="F76" s="2714"/>
      <c r="G76" s="2715"/>
      <c r="H76" s="2714"/>
      <c r="I76" s="2715"/>
      <c r="J76" s="2714"/>
      <c r="K76" s="2714"/>
      <c r="L76" s="2715"/>
      <c r="M76" s="2714"/>
      <c r="N76" s="2714"/>
      <c r="O76" s="2715"/>
      <c r="P76" s="2714"/>
      <c r="Q76" s="2714"/>
      <c r="R76" s="2716"/>
    </row>
    <row r="77" spans="2:18" s="906" customFormat="1">
      <c r="B77" s="2714"/>
      <c r="C77" s="2714"/>
      <c r="D77" s="2714"/>
      <c r="E77" s="2714"/>
      <c r="F77" s="2714"/>
      <c r="G77" s="2715"/>
      <c r="H77" s="2714"/>
      <c r="I77" s="2715"/>
      <c r="J77" s="2714"/>
      <c r="K77" s="2714"/>
      <c r="L77" s="2715"/>
      <c r="M77" s="2714"/>
      <c r="N77" s="2714"/>
      <c r="O77" s="2715"/>
      <c r="P77" s="2714"/>
      <c r="Q77" s="2714"/>
      <c r="R77" s="2716"/>
    </row>
    <row r="78" spans="2:18" s="906" customFormat="1">
      <c r="B78" s="2714"/>
      <c r="C78" s="2714"/>
      <c r="D78" s="2714"/>
      <c r="E78" s="2714"/>
      <c r="F78" s="2714"/>
      <c r="G78" s="2715"/>
      <c r="H78" s="2714"/>
      <c r="I78" s="2715"/>
      <c r="J78" s="2714"/>
      <c r="K78" s="2714"/>
      <c r="L78" s="2715"/>
      <c r="M78" s="2714"/>
      <c r="N78" s="2714"/>
      <c r="O78" s="2715"/>
      <c r="P78" s="2714"/>
      <c r="Q78" s="2714"/>
      <c r="R78" s="2716"/>
    </row>
    <row r="79" spans="2:18" s="906" customFormat="1">
      <c r="B79" s="2714"/>
      <c r="C79" s="2714"/>
      <c r="D79" s="2714"/>
      <c r="E79" s="2714"/>
      <c r="F79" s="2714"/>
      <c r="G79" s="2715"/>
      <c r="H79" s="2714"/>
      <c r="I79" s="2715"/>
      <c r="J79" s="2714"/>
      <c r="K79" s="2714"/>
      <c r="L79" s="2715"/>
      <c r="M79" s="2714"/>
      <c r="N79" s="2714"/>
      <c r="O79" s="2715"/>
      <c r="P79" s="2714"/>
      <c r="Q79" s="2714"/>
      <c r="R79" s="2716"/>
    </row>
    <row r="80" spans="2:18" s="906" customFormat="1">
      <c r="B80" s="2714"/>
      <c r="C80" s="2714"/>
      <c r="D80" s="2714"/>
      <c r="E80" s="2714"/>
      <c r="F80" s="2714"/>
      <c r="G80" s="2715"/>
      <c r="H80" s="2714"/>
      <c r="I80" s="2715"/>
      <c r="J80" s="2714"/>
      <c r="K80" s="2714"/>
      <c r="L80" s="2715"/>
      <c r="M80" s="2714"/>
      <c r="N80" s="2714"/>
      <c r="O80" s="2715"/>
      <c r="P80" s="2714"/>
      <c r="Q80" s="2714"/>
      <c r="R80" s="2716"/>
    </row>
    <row r="81" spans="2:18" s="906" customFormat="1">
      <c r="B81" s="2714"/>
      <c r="C81" s="2714"/>
      <c r="D81" s="2714"/>
      <c r="E81" s="2714"/>
      <c r="F81" s="2714"/>
      <c r="G81" s="2715"/>
      <c r="H81" s="2714"/>
      <c r="I81" s="2715"/>
      <c r="J81" s="2714"/>
      <c r="K81" s="2714"/>
      <c r="L81" s="2715"/>
      <c r="M81" s="2714"/>
      <c r="N81" s="2714"/>
      <c r="O81" s="2715"/>
      <c r="P81" s="2714"/>
      <c r="Q81" s="2714"/>
      <c r="R81" s="2716"/>
    </row>
    <row r="82" spans="2:18" s="906" customFormat="1">
      <c r="B82" s="2714"/>
      <c r="C82" s="2714"/>
      <c r="D82" s="2714"/>
      <c r="E82" s="2714"/>
      <c r="F82" s="2714"/>
      <c r="G82" s="2715"/>
      <c r="H82" s="2714"/>
      <c r="I82" s="2715"/>
      <c r="J82" s="2714"/>
      <c r="K82" s="2714"/>
      <c r="L82" s="2715"/>
      <c r="M82" s="2714"/>
      <c r="N82" s="2714"/>
      <c r="O82" s="2715"/>
      <c r="P82" s="2714"/>
      <c r="Q82" s="2714"/>
      <c r="R82" s="2716"/>
    </row>
    <row r="83" spans="2:18" s="906" customFormat="1">
      <c r="B83" s="2714"/>
      <c r="C83" s="2714"/>
      <c r="D83" s="2714"/>
      <c r="E83" s="2714"/>
      <c r="F83" s="2714"/>
      <c r="G83" s="2715"/>
      <c r="H83" s="2714"/>
      <c r="I83" s="2715"/>
      <c r="J83" s="2714"/>
      <c r="K83" s="2714"/>
      <c r="L83" s="2715"/>
      <c r="M83" s="2714"/>
      <c r="N83" s="2714"/>
      <c r="O83" s="2715"/>
      <c r="P83" s="2714"/>
      <c r="Q83" s="2714"/>
      <c r="R83" s="2716"/>
    </row>
    <row r="84" spans="2:18" s="906" customFormat="1">
      <c r="B84" s="2714"/>
      <c r="C84" s="2714"/>
      <c r="D84" s="2714"/>
      <c r="E84" s="2714"/>
      <c r="F84" s="2714"/>
      <c r="G84" s="2715"/>
      <c r="H84" s="2714"/>
      <c r="I84" s="2715"/>
      <c r="J84" s="2714"/>
      <c r="K84" s="2714"/>
      <c r="L84" s="2715"/>
      <c r="M84" s="2714"/>
      <c r="N84" s="2714"/>
      <c r="O84" s="2715"/>
      <c r="P84" s="2714"/>
      <c r="Q84" s="2714"/>
      <c r="R84" s="2716"/>
    </row>
    <row r="85" spans="2:18" s="906" customFormat="1">
      <c r="B85" s="2714"/>
      <c r="C85" s="2714"/>
      <c r="D85" s="2714"/>
      <c r="E85" s="2714"/>
      <c r="F85" s="2714"/>
      <c r="G85" s="2715"/>
      <c r="H85" s="2714"/>
      <c r="I85" s="2715"/>
      <c r="J85" s="2714"/>
      <c r="K85" s="2714"/>
      <c r="L85" s="2715"/>
      <c r="M85" s="2714"/>
      <c r="N85" s="2714"/>
      <c r="O85" s="2715"/>
      <c r="P85" s="2714"/>
      <c r="Q85" s="2714"/>
      <c r="R85" s="2716"/>
    </row>
    <row r="86" spans="2:18" s="906" customFormat="1">
      <c r="B86" s="2714"/>
      <c r="C86" s="2714"/>
      <c r="D86" s="2714"/>
      <c r="E86" s="2714"/>
      <c r="F86" s="2714"/>
      <c r="G86" s="2715"/>
      <c r="H86" s="2714"/>
      <c r="I86" s="2715"/>
      <c r="J86" s="2714"/>
      <c r="K86" s="2714"/>
      <c r="L86" s="2715"/>
      <c r="M86" s="2714"/>
      <c r="N86" s="2714"/>
      <c r="O86" s="2715"/>
      <c r="P86" s="2714"/>
      <c r="Q86" s="2714"/>
      <c r="R86" s="2716"/>
    </row>
    <row r="87" spans="2:18" s="906" customFormat="1">
      <c r="B87" s="2714"/>
      <c r="C87" s="2714"/>
      <c r="D87" s="2714"/>
      <c r="E87" s="2714"/>
      <c r="F87" s="2714"/>
      <c r="G87" s="2715"/>
      <c r="H87" s="2714"/>
      <c r="I87" s="2715"/>
      <c r="J87" s="2714"/>
      <c r="K87" s="2714"/>
      <c r="L87" s="2715"/>
      <c r="M87" s="2714"/>
      <c r="N87" s="2714"/>
      <c r="O87" s="2715"/>
      <c r="P87" s="2714"/>
      <c r="Q87" s="2714"/>
      <c r="R87" s="2716"/>
    </row>
    <row r="88" spans="2:18" s="906" customFormat="1">
      <c r="B88" s="2714"/>
      <c r="C88" s="2714"/>
      <c r="D88" s="2714"/>
      <c r="E88" s="2714"/>
      <c r="F88" s="2714"/>
      <c r="G88" s="2715"/>
      <c r="H88" s="2714"/>
      <c r="I88" s="2715"/>
      <c r="J88" s="2714"/>
      <c r="K88" s="2714"/>
      <c r="L88" s="2715"/>
      <c r="M88" s="2714"/>
      <c r="N88" s="2714"/>
      <c r="O88" s="2715"/>
      <c r="P88" s="2714"/>
      <c r="Q88" s="2714"/>
      <c r="R88" s="2716"/>
    </row>
    <row r="89" spans="2:18" s="906" customFormat="1">
      <c r="B89" s="2714"/>
      <c r="C89" s="2714"/>
      <c r="D89" s="2714"/>
      <c r="E89" s="2714"/>
      <c r="F89" s="2714"/>
      <c r="G89" s="2715"/>
      <c r="H89" s="2714"/>
      <c r="I89" s="2715"/>
      <c r="J89" s="2714"/>
      <c r="K89" s="2714"/>
      <c r="L89" s="2715"/>
      <c r="M89" s="2714"/>
      <c r="N89" s="2714"/>
      <c r="O89" s="2715"/>
      <c r="P89" s="2714"/>
      <c r="Q89" s="2714"/>
      <c r="R89" s="2716"/>
    </row>
    <row r="90" spans="2:18" s="906" customFormat="1">
      <c r="B90" s="2714"/>
      <c r="C90" s="2714"/>
      <c r="D90" s="2714"/>
      <c r="E90" s="2714"/>
      <c r="F90" s="2714"/>
      <c r="G90" s="2715"/>
      <c r="H90" s="2714"/>
      <c r="I90" s="2715"/>
      <c r="J90" s="2714"/>
      <c r="K90" s="2714"/>
      <c r="L90" s="2715"/>
      <c r="M90" s="2714"/>
      <c r="N90" s="2714"/>
      <c r="O90" s="2715"/>
      <c r="P90" s="2714"/>
      <c r="Q90" s="2714"/>
      <c r="R90" s="2716"/>
    </row>
    <row r="91" spans="2:18" s="906" customFormat="1">
      <c r="B91" s="2714"/>
      <c r="C91" s="2714"/>
      <c r="D91" s="2714"/>
      <c r="E91" s="2714"/>
      <c r="F91" s="2714"/>
      <c r="G91" s="2715"/>
      <c r="H91" s="2714"/>
      <c r="I91" s="2715"/>
      <c r="J91" s="2714"/>
      <c r="K91" s="2714"/>
      <c r="L91" s="2715"/>
      <c r="M91" s="2714"/>
      <c r="N91" s="2714"/>
      <c r="O91" s="2715"/>
      <c r="P91" s="2714"/>
      <c r="Q91" s="2714"/>
      <c r="R91" s="2716"/>
    </row>
    <row r="92" spans="2:18" s="906" customFormat="1">
      <c r="B92" s="2714"/>
      <c r="C92" s="2714"/>
      <c r="D92" s="2714"/>
      <c r="E92" s="2714"/>
      <c r="F92" s="2714"/>
      <c r="G92" s="2715"/>
      <c r="H92" s="2714"/>
      <c r="I92" s="2715"/>
      <c r="J92" s="2714"/>
      <c r="K92" s="2714"/>
      <c r="L92" s="2715"/>
      <c r="M92" s="2714"/>
      <c r="N92" s="2714"/>
      <c r="O92" s="2715"/>
      <c r="P92" s="2714"/>
      <c r="Q92" s="2714"/>
      <c r="R92" s="2716"/>
    </row>
    <row r="93" spans="2:18" s="906" customFormat="1">
      <c r="B93" s="2714"/>
      <c r="C93" s="2714"/>
      <c r="D93" s="2714"/>
      <c r="E93" s="2714"/>
      <c r="F93" s="2714"/>
      <c r="G93" s="2715"/>
      <c r="H93" s="2714"/>
      <c r="I93" s="2715"/>
      <c r="J93" s="2714"/>
      <c r="K93" s="2714"/>
      <c r="L93" s="2715"/>
      <c r="M93" s="2714"/>
      <c r="N93" s="2714"/>
      <c r="O93" s="2715"/>
      <c r="P93" s="2714"/>
      <c r="Q93" s="2714"/>
      <c r="R93" s="2716"/>
    </row>
    <row r="94" spans="2:18" s="906" customFormat="1">
      <c r="B94" s="2714"/>
      <c r="C94" s="2714"/>
      <c r="D94" s="2714"/>
      <c r="E94" s="2714"/>
      <c r="F94" s="2714"/>
      <c r="G94" s="2715"/>
      <c r="H94" s="2714"/>
      <c r="I94" s="2715"/>
      <c r="J94" s="2714"/>
      <c r="K94" s="2714"/>
      <c r="L94" s="2715"/>
      <c r="M94" s="2714"/>
      <c r="N94" s="2714"/>
      <c r="O94" s="2715"/>
      <c r="P94" s="2714"/>
      <c r="Q94" s="2714"/>
      <c r="R94" s="2716"/>
    </row>
    <row r="95" spans="2:18" s="906" customFormat="1">
      <c r="B95" s="2714"/>
      <c r="C95" s="2714"/>
      <c r="D95" s="2714"/>
      <c r="E95" s="2714"/>
      <c r="F95" s="2714"/>
      <c r="G95" s="2715"/>
      <c r="H95" s="2714"/>
      <c r="I95" s="2715"/>
      <c r="J95" s="2714"/>
      <c r="K95" s="2714"/>
      <c r="L95" s="2715"/>
      <c r="M95" s="2714"/>
      <c r="N95" s="2714"/>
      <c r="O95" s="2715"/>
      <c r="P95" s="2714"/>
      <c r="Q95" s="2714"/>
      <c r="R95" s="2716"/>
    </row>
    <row r="96" spans="2:18" s="906" customFormat="1">
      <c r="B96" s="2714"/>
      <c r="C96" s="2714"/>
      <c r="D96" s="2714"/>
      <c r="E96" s="2714"/>
      <c r="F96" s="2714"/>
      <c r="G96" s="2715"/>
      <c r="H96" s="2714"/>
      <c r="I96" s="2715"/>
      <c r="J96" s="2714"/>
      <c r="K96" s="2714"/>
      <c r="L96" s="2715"/>
      <c r="M96" s="2714"/>
      <c r="N96" s="2714"/>
      <c r="O96" s="2715"/>
      <c r="P96" s="2714"/>
      <c r="Q96" s="2714"/>
      <c r="R96" s="2716"/>
    </row>
    <row r="97" spans="2:18" s="906" customFormat="1">
      <c r="B97" s="2714"/>
      <c r="C97" s="2714"/>
      <c r="D97" s="2714"/>
      <c r="E97" s="2714"/>
      <c r="F97" s="2714"/>
      <c r="G97" s="2715"/>
      <c r="H97" s="2714"/>
      <c r="I97" s="2715"/>
      <c r="J97" s="2714"/>
      <c r="K97" s="2714"/>
      <c r="L97" s="2715"/>
      <c r="M97" s="2714"/>
      <c r="N97" s="2714"/>
      <c r="O97" s="2715"/>
      <c r="P97" s="2714"/>
      <c r="Q97" s="2714"/>
      <c r="R97" s="2716"/>
    </row>
    <row r="98" spans="2:18" s="906" customFormat="1">
      <c r="B98" s="2714"/>
      <c r="C98" s="2714"/>
      <c r="D98" s="2714"/>
      <c r="E98" s="2714"/>
      <c r="F98" s="2714"/>
      <c r="G98" s="2715"/>
      <c r="H98" s="2714"/>
      <c r="I98" s="2715"/>
      <c r="J98" s="2714"/>
      <c r="K98" s="2714"/>
      <c r="L98" s="2715"/>
      <c r="M98" s="2714"/>
      <c r="N98" s="2714"/>
      <c r="O98" s="2715"/>
      <c r="P98" s="2714"/>
      <c r="Q98" s="2714"/>
      <c r="R98" s="2716"/>
    </row>
    <row r="99" spans="2:18" s="906" customFormat="1">
      <c r="B99" s="2714"/>
      <c r="C99" s="2714"/>
      <c r="D99" s="2714"/>
      <c r="E99" s="2714"/>
      <c r="F99" s="2714"/>
      <c r="G99" s="2715"/>
      <c r="H99" s="2714"/>
      <c r="I99" s="2715"/>
      <c r="J99" s="2714"/>
      <c r="K99" s="2714"/>
      <c r="L99" s="2715"/>
      <c r="M99" s="2714"/>
      <c r="N99" s="2714"/>
      <c r="O99" s="2715"/>
      <c r="P99" s="2714"/>
      <c r="Q99" s="2714"/>
      <c r="R99" s="2716"/>
    </row>
    <row r="100" spans="2:18" s="906" customFormat="1">
      <c r="B100" s="2714"/>
      <c r="C100" s="2714"/>
      <c r="D100" s="2714"/>
      <c r="E100" s="2714"/>
      <c r="F100" s="2714"/>
      <c r="G100" s="2715"/>
      <c r="H100" s="2714"/>
      <c r="I100" s="2715"/>
      <c r="J100" s="2714"/>
      <c r="K100" s="2714"/>
      <c r="L100" s="2715"/>
      <c r="M100" s="2714"/>
      <c r="N100" s="2714"/>
      <c r="O100" s="2715"/>
      <c r="P100" s="2714"/>
      <c r="Q100" s="2714"/>
      <c r="R100" s="2716"/>
    </row>
    <row r="101" spans="2:18" s="906" customFormat="1">
      <c r="B101" s="2714"/>
      <c r="C101" s="2714"/>
      <c r="D101" s="2714"/>
      <c r="E101" s="2714"/>
      <c r="F101" s="2714"/>
      <c r="G101" s="2715"/>
      <c r="H101" s="2714"/>
      <c r="I101" s="2715"/>
      <c r="J101" s="2714"/>
      <c r="K101" s="2714"/>
      <c r="L101" s="2715"/>
      <c r="M101" s="2714"/>
      <c r="N101" s="2714"/>
      <c r="O101" s="2715"/>
      <c r="P101" s="2714"/>
      <c r="Q101" s="2714"/>
      <c r="R101" s="2716"/>
    </row>
    <row r="102" spans="2:18" s="906" customFormat="1">
      <c r="B102" s="2714"/>
      <c r="C102" s="2714"/>
      <c r="D102" s="2714"/>
      <c r="E102" s="2714"/>
      <c r="F102" s="2714"/>
      <c r="G102" s="2715"/>
      <c r="H102" s="2714"/>
      <c r="I102" s="2715"/>
      <c r="J102" s="2714"/>
      <c r="K102" s="2714"/>
      <c r="L102" s="2715"/>
      <c r="M102" s="2714"/>
      <c r="N102" s="2714"/>
      <c r="O102" s="2715"/>
      <c r="P102" s="2714"/>
      <c r="Q102" s="2714"/>
      <c r="R102" s="2716"/>
    </row>
    <row r="103" spans="2:18" s="906" customFormat="1">
      <c r="B103" s="2714"/>
      <c r="C103" s="2714"/>
      <c r="D103" s="2714"/>
      <c r="E103" s="2714"/>
      <c r="F103" s="2714"/>
      <c r="G103" s="2715"/>
      <c r="H103" s="2714"/>
      <c r="I103" s="2715"/>
      <c r="J103" s="2714"/>
      <c r="K103" s="2714"/>
      <c r="L103" s="2715"/>
      <c r="M103" s="2714"/>
      <c r="N103" s="2714"/>
      <c r="O103" s="2715"/>
      <c r="P103" s="2714"/>
      <c r="Q103" s="2714"/>
      <c r="R103" s="2716"/>
    </row>
    <row r="104" spans="2:18" s="906" customFormat="1">
      <c r="B104" s="2714"/>
      <c r="C104" s="2714"/>
      <c r="D104" s="2714"/>
      <c r="E104" s="2714"/>
      <c r="F104" s="2714"/>
      <c r="G104" s="2715"/>
      <c r="H104" s="2714"/>
      <c r="I104" s="2715"/>
      <c r="J104" s="2714"/>
      <c r="K104" s="2714"/>
      <c r="L104" s="2715"/>
      <c r="M104" s="2714"/>
      <c r="N104" s="2714"/>
      <c r="O104" s="2715"/>
      <c r="P104" s="2714"/>
      <c r="Q104" s="2714"/>
      <c r="R104" s="2716"/>
    </row>
    <row r="105" spans="2:18" s="906" customFormat="1">
      <c r="B105" s="2714"/>
      <c r="C105" s="2714"/>
      <c r="D105" s="2714"/>
      <c r="E105" s="2714"/>
      <c r="F105" s="2714"/>
      <c r="G105" s="2715"/>
      <c r="H105" s="2714"/>
      <c r="I105" s="2715"/>
      <c r="J105" s="2714"/>
      <c r="K105" s="2714"/>
      <c r="L105" s="2715"/>
      <c r="M105" s="2714"/>
      <c r="N105" s="2714"/>
      <c r="O105" s="2715"/>
      <c r="P105" s="2714"/>
      <c r="Q105" s="2714"/>
      <c r="R105" s="2716"/>
    </row>
    <row r="106" spans="2:18" s="906" customFormat="1">
      <c r="B106" s="2714"/>
      <c r="C106" s="2714"/>
      <c r="D106" s="2714"/>
      <c r="E106" s="2714"/>
      <c r="F106" s="2714"/>
      <c r="G106" s="2715"/>
      <c r="H106" s="2714"/>
      <c r="I106" s="2715"/>
      <c r="J106" s="2714"/>
      <c r="K106" s="2714"/>
      <c r="L106" s="2715"/>
      <c r="M106" s="2714"/>
      <c r="N106" s="2714"/>
      <c r="O106" s="2715"/>
      <c r="P106" s="2714"/>
      <c r="Q106" s="2714"/>
      <c r="R106" s="2716"/>
    </row>
    <row r="107" spans="2:18" s="906" customFormat="1">
      <c r="B107" s="2714"/>
      <c r="C107" s="2714"/>
      <c r="D107" s="2714"/>
      <c r="E107" s="2714"/>
      <c r="F107" s="2714"/>
      <c r="G107" s="2715"/>
      <c r="H107" s="2714"/>
      <c r="I107" s="2715"/>
      <c r="J107" s="2714"/>
      <c r="K107" s="2714"/>
      <c r="L107" s="2715"/>
      <c r="M107" s="2714"/>
      <c r="N107" s="2714"/>
      <c r="O107" s="2715"/>
      <c r="P107" s="2714"/>
      <c r="Q107" s="2714"/>
      <c r="R107" s="2716"/>
    </row>
    <row r="108" spans="2:18" s="906" customFormat="1">
      <c r="B108" s="2714"/>
      <c r="C108" s="2714"/>
      <c r="D108" s="2714"/>
      <c r="E108" s="2714"/>
      <c r="F108" s="2714"/>
      <c r="G108" s="2715"/>
      <c r="H108" s="2714"/>
      <c r="I108" s="2715"/>
      <c r="J108" s="2714"/>
      <c r="K108" s="2714"/>
      <c r="L108" s="2715"/>
      <c r="M108" s="2714"/>
      <c r="N108" s="2714"/>
      <c r="O108" s="2715"/>
      <c r="P108" s="2714"/>
      <c r="Q108" s="2714"/>
      <c r="R108" s="2716"/>
    </row>
    <row r="109" spans="2:18" s="906" customFormat="1">
      <c r="B109" s="2714"/>
      <c r="C109" s="2714"/>
      <c r="D109" s="2714"/>
      <c r="E109" s="2714"/>
      <c r="F109" s="2714"/>
      <c r="G109" s="2715"/>
      <c r="H109" s="2714"/>
      <c r="I109" s="2715"/>
      <c r="J109" s="2714"/>
      <c r="K109" s="2714"/>
      <c r="L109" s="2715"/>
      <c r="M109" s="2714"/>
      <c r="N109" s="2714"/>
      <c r="O109" s="2715"/>
      <c r="P109" s="2714"/>
      <c r="Q109" s="2714"/>
      <c r="R109" s="2716"/>
    </row>
    <row r="110" spans="2:18" s="906" customFormat="1">
      <c r="B110" s="2714"/>
      <c r="C110" s="2714"/>
      <c r="D110" s="2714"/>
      <c r="E110" s="2714"/>
      <c r="F110" s="2714"/>
      <c r="G110" s="2715"/>
      <c r="H110" s="2714"/>
      <c r="I110" s="2715"/>
      <c r="J110" s="2714"/>
      <c r="K110" s="2714"/>
      <c r="L110" s="2715"/>
      <c r="M110" s="2714"/>
      <c r="N110" s="2714"/>
      <c r="O110" s="2715"/>
      <c r="P110" s="2714"/>
      <c r="Q110" s="2714"/>
      <c r="R110" s="2716"/>
    </row>
    <row r="111" spans="2:18" s="906" customFormat="1">
      <c r="B111" s="2714"/>
      <c r="C111" s="2714"/>
      <c r="D111" s="2714"/>
      <c r="E111" s="2714"/>
      <c r="F111" s="2714"/>
      <c r="G111" s="2715"/>
      <c r="H111" s="2714"/>
      <c r="I111" s="2715"/>
      <c r="J111" s="2714"/>
      <c r="K111" s="2714"/>
      <c r="L111" s="2715"/>
      <c r="M111" s="2714"/>
      <c r="N111" s="2714"/>
      <c r="O111" s="2715"/>
      <c r="P111" s="2714"/>
      <c r="Q111" s="2714"/>
      <c r="R111" s="2716"/>
    </row>
    <row r="112" spans="2:18" s="906" customFormat="1">
      <c r="B112" s="2714"/>
      <c r="C112" s="2714"/>
      <c r="D112" s="2714"/>
      <c r="E112" s="2714"/>
      <c r="F112" s="2714"/>
      <c r="G112" s="2715"/>
      <c r="H112" s="2714"/>
      <c r="I112" s="2715"/>
      <c r="J112" s="2714"/>
      <c r="K112" s="2714"/>
      <c r="L112" s="2715"/>
      <c r="M112" s="2714"/>
      <c r="N112" s="2714"/>
      <c r="O112" s="2715"/>
      <c r="P112" s="2714"/>
      <c r="Q112" s="2714"/>
      <c r="R112" s="2716"/>
    </row>
    <row r="113" spans="2:18" s="906" customFormat="1">
      <c r="B113" s="2714"/>
      <c r="C113" s="2714"/>
      <c r="D113" s="2714"/>
      <c r="E113" s="2714"/>
      <c r="F113" s="2714"/>
      <c r="G113" s="2715"/>
      <c r="H113" s="2714"/>
      <c r="I113" s="2715"/>
      <c r="J113" s="2714"/>
      <c r="K113" s="2714"/>
      <c r="L113" s="2715"/>
      <c r="M113" s="2714"/>
      <c r="N113" s="2714"/>
      <c r="O113" s="2715"/>
      <c r="P113" s="2714"/>
      <c r="Q113" s="2714"/>
      <c r="R113" s="2716"/>
    </row>
    <row r="114" spans="2:18" s="906" customFormat="1">
      <c r="B114" s="2714"/>
      <c r="C114" s="2714"/>
      <c r="D114" s="2714"/>
      <c r="E114" s="2714"/>
      <c r="F114" s="2714"/>
      <c r="G114" s="2715"/>
      <c r="H114" s="2714"/>
      <c r="I114" s="2715"/>
      <c r="J114" s="2714"/>
      <c r="K114" s="2714"/>
      <c r="L114" s="2715"/>
      <c r="M114" s="2714"/>
      <c r="N114" s="2714"/>
      <c r="O114" s="2715"/>
      <c r="P114" s="2714"/>
      <c r="Q114" s="2714"/>
      <c r="R114" s="2716"/>
    </row>
    <row r="115" spans="2:18" s="906" customFormat="1">
      <c r="B115" s="2714"/>
      <c r="C115" s="2714"/>
      <c r="D115" s="2714"/>
      <c r="E115" s="2714"/>
      <c r="F115" s="2714"/>
      <c r="G115" s="2715"/>
      <c r="H115" s="2714"/>
      <c r="I115" s="2715"/>
      <c r="J115" s="2714"/>
      <c r="K115" s="2714"/>
      <c r="L115" s="2715"/>
      <c r="M115" s="2714"/>
      <c r="N115" s="2714"/>
      <c r="O115" s="2715"/>
      <c r="P115" s="2714"/>
      <c r="Q115" s="2714"/>
      <c r="R115" s="2716"/>
    </row>
    <row r="116" spans="2:18" s="906" customFormat="1">
      <c r="B116" s="2714"/>
      <c r="C116" s="2714"/>
      <c r="D116" s="2714"/>
      <c r="E116" s="2714"/>
      <c r="F116" s="2714"/>
      <c r="G116" s="2715"/>
      <c r="H116" s="2714"/>
      <c r="I116" s="2715"/>
      <c r="J116" s="2714"/>
      <c r="K116" s="2714"/>
      <c r="L116" s="2715"/>
      <c r="M116" s="2714"/>
      <c r="N116" s="2714"/>
      <c r="O116" s="2715"/>
      <c r="P116" s="2714"/>
      <c r="Q116" s="2714"/>
      <c r="R116" s="2716"/>
    </row>
    <row r="117" spans="2:18" s="906" customFormat="1">
      <c r="B117" s="2714"/>
      <c r="C117" s="2714"/>
      <c r="D117" s="2714"/>
      <c r="E117" s="2714"/>
      <c r="F117" s="2714"/>
      <c r="G117" s="2715"/>
      <c r="H117" s="2714"/>
      <c r="I117" s="2715"/>
      <c r="J117" s="2714"/>
      <c r="K117" s="2714"/>
      <c r="L117" s="2715"/>
      <c r="M117" s="2714"/>
      <c r="N117" s="2714"/>
      <c r="O117" s="2715"/>
      <c r="P117" s="2714"/>
      <c r="Q117" s="2714"/>
      <c r="R117" s="2716"/>
    </row>
    <row r="118" spans="2:18" s="906" customFormat="1">
      <c r="B118" s="2714"/>
      <c r="C118" s="2714"/>
      <c r="D118" s="2714"/>
      <c r="E118" s="2714"/>
      <c r="F118" s="2714"/>
      <c r="G118" s="2715"/>
      <c r="H118" s="2714"/>
      <c r="I118" s="2715"/>
      <c r="J118" s="2714"/>
      <c r="K118" s="2714"/>
      <c r="L118" s="2715"/>
      <c r="M118" s="2714"/>
      <c r="N118" s="2714"/>
      <c r="O118" s="2715"/>
      <c r="P118" s="2714"/>
      <c r="Q118" s="2714"/>
      <c r="R118" s="2716"/>
    </row>
    <row r="119" spans="2:18" s="906" customFormat="1">
      <c r="B119" s="2714"/>
      <c r="C119" s="2714"/>
      <c r="D119" s="2714"/>
      <c r="E119" s="2714"/>
      <c r="F119" s="2714"/>
      <c r="G119" s="2715"/>
      <c r="H119" s="2714"/>
      <c r="I119" s="2715"/>
      <c r="J119" s="2714"/>
      <c r="K119" s="2714"/>
      <c r="L119" s="2715"/>
      <c r="M119" s="2714"/>
      <c r="N119" s="2714"/>
      <c r="O119" s="2715"/>
      <c r="P119" s="2714"/>
      <c r="Q119" s="2714"/>
      <c r="R119" s="2716"/>
    </row>
    <row r="120" spans="2:18" s="906" customFormat="1">
      <c r="B120" s="2714"/>
      <c r="C120" s="2714"/>
      <c r="D120" s="2714"/>
      <c r="E120" s="2714"/>
      <c r="F120" s="2714"/>
      <c r="G120" s="2715"/>
      <c r="H120" s="2714"/>
      <c r="I120" s="2715"/>
      <c r="J120" s="2714"/>
      <c r="K120" s="2714"/>
      <c r="L120" s="2715"/>
      <c r="M120" s="2714"/>
      <c r="N120" s="2714"/>
      <c r="O120" s="2715"/>
      <c r="P120" s="2714"/>
      <c r="Q120" s="2714"/>
      <c r="R120" s="2716"/>
    </row>
    <row r="121" spans="2:18" s="906" customFormat="1">
      <c r="B121" s="2714"/>
      <c r="C121" s="2714"/>
      <c r="D121" s="2714"/>
      <c r="E121" s="2714"/>
      <c r="F121" s="2714"/>
      <c r="G121" s="2715"/>
      <c r="H121" s="2714"/>
      <c r="I121" s="2715"/>
      <c r="J121" s="2714"/>
      <c r="K121" s="2714"/>
      <c r="L121" s="2715"/>
      <c r="M121" s="2714"/>
      <c r="N121" s="2714"/>
      <c r="O121" s="2715"/>
      <c r="P121" s="2714"/>
      <c r="Q121" s="2714"/>
      <c r="R121" s="2716"/>
    </row>
    <row r="122" spans="2:18" s="906" customFormat="1">
      <c r="B122" s="2714"/>
      <c r="C122" s="2714"/>
      <c r="D122" s="2714"/>
      <c r="E122" s="2714"/>
      <c r="F122" s="2714"/>
      <c r="G122" s="2715"/>
      <c r="H122" s="2714"/>
      <c r="I122" s="2715"/>
      <c r="J122" s="2714"/>
      <c r="K122" s="2714"/>
      <c r="L122" s="2715"/>
      <c r="M122" s="2714"/>
      <c r="N122" s="2714"/>
      <c r="O122" s="2715"/>
      <c r="P122" s="2714"/>
      <c r="Q122" s="2714"/>
      <c r="R122" s="2716"/>
    </row>
    <row r="123" spans="2:18" s="906" customFormat="1">
      <c r="B123" s="2714"/>
      <c r="C123" s="2714"/>
      <c r="D123" s="2714"/>
      <c r="E123" s="2714"/>
      <c r="F123" s="2714"/>
      <c r="G123" s="2715"/>
      <c r="H123" s="2714"/>
      <c r="I123" s="2715"/>
      <c r="J123" s="2714"/>
      <c r="K123" s="2714"/>
      <c r="L123" s="2715"/>
      <c r="M123" s="2714"/>
      <c r="N123" s="2714"/>
      <c r="O123" s="2715"/>
      <c r="P123" s="2714"/>
      <c r="Q123" s="2714"/>
      <c r="R123" s="2716"/>
    </row>
    <row r="124" spans="2:18" s="906" customFormat="1">
      <c r="B124" s="2714"/>
      <c r="C124" s="2714"/>
      <c r="D124" s="2714"/>
      <c r="E124" s="2714"/>
      <c r="F124" s="2714"/>
      <c r="G124" s="2715"/>
      <c r="H124" s="2714"/>
      <c r="I124" s="2715"/>
      <c r="J124" s="2714"/>
      <c r="K124" s="2714"/>
      <c r="L124" s="2715"/>
      <c r="M124" s="2714"/>
      <c r="N124" s="2714"/>
      <c r="O124" s="2715"/>
      <c r="P124" s="2714"/>
      <c r="Q124" s="2714"/>
      <c r="R124" s="2716"/>
    </row>
    <row r="125" spans="2:18" s="906" customFormat="1">
      <c r="B125" s="2714"/>
      <c r="C125" s="2714"/>
      <c r="D125" s="2714"/>
      <c r="E125" s="2714"/>
      <c r="F125" s="2714"/>
      <c r="G125" s="2715"/>
      <c r="H125" s="2714"/>
      <c r="I125" s="2715"/>
      <c r="J125" s="2714"/>
      <c r="K125" s="2714"/>
      <c r="L125" s="2715"/>
      <c r="M125" s="2714"/>
      <c r="N125" s="2714"/>
      <c r="O125" s="2715"/>
      <c r="P125" s="2714"/>
      <c r="Q125" s="2714"/>
      <c r="R125" s="2716"/>
    </row>
    <row r="126" spans="2:18" s="906" customFormat="1">
      <c r="B126" s="2714"/>
      <c r="C126" s="2714"/>
      <c r="D126" s="2714"/>
      <c r="E126" s="2714"/>
      <c r="F126" s="2714"/>
      <c r="G126" s="2715"/>
      <c r="H126" s="2714"/>
      <c r="I126" s="2715"/>
      <c r="J126" s="2714"/>
      <c r="K126" s="2714"/>
      <c r="L126" s="2715"/>
      <c r="M126" s="2714"/>
      <c r="N126" s="2714"/>
      <c r="O126" s="2715"/>
      <c r="P126" s="2714"/>
      <c r="Q126" s="2714"/>
      <c r="R126" s="2716"/>
    </row>
    <row r="127" spans="2:18" s="906" customFormat="1">
      <c r="B127" s="2714"/>
      <c r="C127" s="2714"/>
      <c r="D127" s="2714"/>
      <c r="E127" s="2714"/>
      <c r="F127" s="2714"/>
      <c r="G127" s="2715"/>
      <c r="H127" s="2714"/>
      <c r="I127" s="2715"/>
      <c r="J127" s="2714"/>
      <c r="K127" s="2714"/>
      <c r="L127" s="2715"/>
      <c r="M127" s="2714"/>
      <c r="N127" s="2714"/>
      <c r="O127" s="2715"/>
      <c r="P127" s="2714"/>
      <c r="Q127" s="2714"/>
      <c r="R127" s="2716"/>
    </row>
    <row r="128" spans="2:18" s="906" customFormat="1">
      <c r="B128" s="2714"/>
      <c r="C128" s="2714"/>
      <c r="D128" s="2714"/>
      <c r="E128" s="2714"/>
      <c r="F128" s="2714"/>
      <c r="G128" s="2715"/>
      <c r="H128" s="2714"/>
      <c r="I128" s="2715"/>
      <c r="J128" s="2714"/>
      <c r="K128" s="2714"/>
      <c r="L128" s="2715"/>
      <c r="M128" s="2714"/>
      <c r="N128" s="2714"/>
      <c r="O128" s="2715"/>
      <c r="P128" s="2714"/>
      <c r="Q128" s="2714"/>
      <c r="R128" s="2716"/>
    </row>
    <row r="129" spans="2:18" s="906" customFormat="1">
      <c r="B129" s="2714"/>
      <c r="C129" s="2714"/>
      <c r="D129" s="2714"/>
      <c r="E129" s="2714"/>
      <c r="F129" s="2714"/>
      <c r="G129" s="2715"/>
      <c r="H129" s="2714"/>
      <c r="I129" s="2715"/>
      <c r="J129" s="2714"/>
      <c r="K129" s="2714"/>
      <c r="L129" s="2715"/>
      <c r="M129" s="2714"/>
      <c r="N129" s="2714"/>
      <c r="O129" s="2715"/>
      <c r="P129" s="2714"/>
      <c r="Q129" s="2714"/>
      <c r="R129" s="2716"/>
    </row>
    <row r="130" spans="2:18" s="906" customFormat="1">
      <c r="B130" s="2714"/>
      <c r="C130" s="2714"/>
      <c r="D130" s="2714"/>
      <c r="E130" s="2714"/>
      <c r="F130" s="2714"/>
      <c r="G130" s="2715"/>
      <c r="H130" s="2714"/>
      <c r="I130" s="2715"/>
      <c r="J130" s="2714"/>
      <c r="K130" s="2714"/>
      <c r="L130" s="2715"/>
      <c r="M130" s="2714"/>
      <c r="N130" s="2714"/>
      <c r="O130" s="2715"/>
      <c r="P130" s="2714"/>
      <c r="Q130" s="2714"/>
      <c r="R130" s="2716"/>
    </row>
    <row r="131" spans="2:18" s="906" customFormat="1">
      <c r="B131" s="2714"/>
      <c r="C131" s="2714"/>
      <c r="D131" s="2714"/>
      <c r="E131" s="2714"/>
      <c r="F131" s="2714"/>
      <c r="G131" s="2715"/>
      <c r="H131" s="2714"/>
      <c r="I131" s="2715"/>
      <c r="J131" s="2714"/>
      <c r="K131" s="2714"/>
      <c r="L131" s="2715"/>
      <c r="M131" s="2714"/>
      <c r="N131" s="2714"/>
      <c r="O131" s="2715"/>
      <c r="P131" s="2714"/>
      <c r="Q131" s="2714"/>
      <c r="R131" s="2716"/>
    </row>
    <row r="132" spans="2:18" s="906" customFormat="1">
      <c r="B132" s="2714"/>
      <c r="C132" s="2714"/>
      <c r="D132" s="2714"/>
      <c r="E132" s="2714"/>
      <c r="F132" s="2714"/>
      <c r="G132" s="2715"/>
      <c r="H132" s="2714"/>
      <c r="I132" s="2715"/>
      <c r="J132" s="2714"/>
      <c r="K132" s="2714"/>
      <c r="L132" s="2715"/>
      <c r="M132" s="2714"/>
      <c r="N132" s="2714"/>
      <c r="O132" s="2715"/>
      <c r="P132" s="2714"/>
      <c r="Q132" s="2714"/>
      <c r="R132" s="2716"/>
    </row>
    <row r="133" spans="2:18" s="906" customFormat="1">
      <c r="B133" s="2714"/>
      <c r="C133" s="2714"/>
      <c r="D133" s="2714"/>
      <c r="E133" s="2714"/>
      <c r="F133" s="2714"/>
      <c r="G133" s="2715"/>
      <c r="H133" s="2714"/>
      <c r="I133" s="2715"/>
      <c r="J133" s="2714"/>
      <c r="K133" s="2714"/>
      <c r="L133" s="2715"/>
      <c r="M133" s="2714"/>
      <c r="N133" s="2714"/>
      <c r="O133" s="2715"/>
      <c r="P133" s="2714"/>
      <c r="Q133" s="2714"/>
      <c r="R133" s="2716"/>
    </row>
    <row r="134" spans="2:18" s="906" customFormat="1">
      <c r="B134" s="2714"/>
      <c r="C134" s="2714"/>
      <c r="D134" s="2714"/>
      <c r="E134" s="2714"/>
      <c r="F134" s="2714"/>
      <c r="G134" s="2715"/>
      <c r="H134" s="2714"/>
      <c r="I134" s="2715"/>
      <c r="J134" s="2714"/>
      <c r="K134" s="2714"/>
      <c r="L134" s="2715"/>
      <c r="M134" s="2714"/>
      <c r="N134" s="2714"/>
      <c r="O134" s="2715"/>
      <c r="P134" s="2714"/>
      <c r="Q134" s="2714"/>
      <c r="R134" s="2716"/>
    </row>
    <row r="135" spans="2:18" s="906" customFormat="1">
      <c r="B135" s="2714"/>
      <c r="C135" s="2714"/>
      <c r="D135" s="2714"/>
      <c r="E135" s="2714"/>
      <c r="F135" s="2714"/>
      <c r="G135" s="2715"/>
      <c r="H135" s="2714"/>
      <c r="I135" s="2715"/>
      <c r="J135" s="2714"/>
      <c r="K135" s="2714"/>
      <c r="L135" s="2715"/>
      <c r="M135" s="2714"/>
      <c r="N135" s="2714"/>
      <c r="O135" s="2715"/>
      <c r="P135" s="2714"/>
      <c r="Q135" s="2714"/>
      <c r="R135" s="2716"/>
    </row>
    <row r="136" spans="2:18" s="906" customFormat="1">
      <c r="B136" s="2714"/>
      <c r="C136" s="2714"/>
      <c r="D136" s="2714"/>
      <c r="E136" s="2714"/>
      <c r="F136" s="2714"/>
      <c r="G136" s="2715"/>
      <c r="H136" s="2714"/>
      <c r="I136" s="2715"/>
      <c r="J136" s="2714"/>
      <c r="K136" s="2714"/>
      <c r="L136" s="2715"/>
      <c r="M136" s="2714"/>
      <c r="N136" s="2714"/>
      <c r="O136" s="2715"/>
      <c r="P136" s="2714"/>
      <c r="Q136" s="2714"/>
      <c r="R136" s="2716"/>
    </row>
    <row r="137" spans="2:18" s="906" customFormat="1">
      <c r="B137" s="2714"/>
      <c r="C137" s="2714"/>
      <c r="D137" s="2714"/>
      <c r="E137" s="2714"/>
      <c r="F137" s="2714"/>
      <c r="G137" s="2715"/>
      <c r="H137" s="2714"/>
      <c r="I137" s="2715"/>
      <c r="J137" s="2714"/>
      <c r="K137" s="2714"/>
      <c r="L137" s="2715"/>
      <c r="M137" s="2714"/>
      <c r="N137" s="2714"/>
      <c r="O137" s="2715"/>
      <c r="P137" s="2714"/>
      <c r="Q137" s="2714"/>
      <c r="R137" s="2716"/>
    </row>
    <row r="138" spans="2:18" s="906" customFormat="1">
      <c r="B138" s="2714"/>
      <c r="C138" s="2714"/>
      <c r="D138" s="2714"/>
      <c r="E138" s="2714"/>
      <c r="F138" s="2714"/>
      <c r="G138" s="2715"/>
      <c r="H138" s="2714"/>
      <c r="I138" s="2715"/>
      <c r="J138" s="2714"/>
      <c r="K138" s="2714"/>
      <c r="L138" s="2715"/>
      <c r="M138" s="2714"/>
      <c r="N138" s="2714"/>
      <c r="O138" s="2715"/>
      <c r="P138" s="2714"/>
      <c r="Q138" s="2714"/>
      <c r="R138" s="2716"/>
    </row>
    <row r="139" spans="2:18" s="906" customFormat="1">
      <c r="B139" s="2714"/>
      <c r="C139" s="2714"/>
      <c r="D139" s="2714"/>
      <c r="E139" s="2714"/>
      <c r="F139" s="2714"/>
      <c r="G139" s="2715"/>
      <c r="H139" s="2714"/>
      <c r="I139" s="2715"/>
      <c r="J139" s="2714"/>
      <c r="K139" s="2714"/>
      <c r="L139" s="2715"/>
      <c r="M139" s="2714"/>
      <c r="N139" s="2714"/>
      <c r="O139" s="2715"/>
      <c r="P139" s="2714"/>
      <c r="Q139" s="2714"/>
      <c r="R139" s="2716"/>
    </row>
    <row r="140" spans="2:18" s="906" customFormat="1">
      <c r="B140" s="2714"/>
      <c r="C140" s="2714"/>
      <c r="D140" s="2714"/>
      <c r="E140" s="2714"/>
      <c r="F140" s="2714"/>
      <c r="G140" s="2715"/>
      <c r="H140" s="2714"/>
      <c r="I140" s="2715"/>
      <c r="J140" s="2714"/>
      <c r="K140" s="2714"/>
      <c r="L140" s="2715"/>
      <c r="M140" s="2714"/>
      <c r="N140" s="2714"/>
      <c r="O140" s="2715"/>
      <c r="P140" s="2714"/>
      <c r="Q140" s="2714"/>
      <c r="R140" s="2716"/>
    </row>
    <row r="141" spans="2:18" s="906" customFormat="1">
      <c r="B141" s="2714"/>
      <c r="C141" s="2714"/>
      <c r="D141" s="2714"/>
      <c r="E141" s="2714"/>
      <c r="F141" s="2714"/>
      <c r="G141" s="2715"/>
      <c r="H141" s="2714"/>
      <c r="I141" s="2715"/>
      <c r="J141" s="2714"/>
      <c r="K141" s="2714"/>
      <c r="L141" s="2715"/>
      <c r="M141" s="2714"/>
      <c r="N141" s="2714"/>
      <c r="O141" s="2715"/>
      <c r="P141" s="2714"/>
      <c r="Q141" s="2714"/>
      <c r="R141" s="2716"/>
    </row>
    <row r="142" spans="2:18" s="906" customFormat="1">
      <c r="B142" s="2714"/>
      <c r="C142" s="2714"/>
      <c r="D142" s="2714"/>
      <c r="E142" s="2714"/>
      <c r="F142" s="2714"/>
      <c r="G142" s="2715"/>
      <c r="H142" s="2714"/>
      <c r="I142" s="2715"/>
      <c r="J142" s="2714"/>
      <c r="K142" s="2714"/>
      <c r="L142" s="2715"/>
      <c r="M142" s="2714"/>
      <c r="N142" s="2714"/>
      <c r="O142" s="2715"/>
      <c r="P142" s="2714"/>
      <c r="Q142" s="2714"/>
      <c r="R142" s="2716"/>
    </row>
    <row r="143" spans="2:18" s="906" customFormat="1">
      <c r="B143" s="2714"/>
      <c r="C143" s="2714"/>
      <c r="D143" s="2714"/>
      <c r="E143" s="2714"/>
      <c r="F143" s="2714"/>
      <c r="G143" s="2715"/>
      <c r="H143" s="2714"/>
      <c r="I143" s="2715"/>
      <c r="J143" s="2714"/>
      <c r="K143" s="2714"/>
      <c r="L143" s="2715"/>
      <c r="M143" s="2714"/>
      <c r="N143" s="2714"/>
      <c r="O143" s="2715"/>
      <c r="P143" s="2714"/>
      <c r="Q143" s="2714"/>
      <c r="R143" s="2716"/>
    </row>
    <row r="144" spans="2:18" s="906" customFormat="1">
      <c r="B144" s="2714"/>
      <c r="C144" s="2714"/>
      <c r="D144" s="2714"/>
      <c r="E144" s="2714"/>
      <c r="F144" s="2714"/>
      <c r="G144" s="2715"/>
      <c r="H144" s="2714"/>
      <c r="I144" s="2715"/>
      <c r="J144" s="2714"/>
      <c r="K144" s="2714"/>
      <c r="L144" s="2715"/>
      <c r="M144" s="2714"/>
      <c r="N144" s="2714"/>
      <c r="O144" s="2715"/>
      <c r="P144" s="2714"/>
      <c r="Q144" s="2714"/>
      <c r="R144" s="2716"/>
    </row>
    <row r="145" spans="2:18" s="906" customFormat="1">
      <c r="B145" s="2714"/>
      <c r="C145" s="2714"/>
      <c r="D145" s="2714"/>
      <c r="E145" s="2714"/>
      <c r="F145" s="2714"/>
      <c r="G145" s="2715"/>
      <c r="H145" s="2714"/>
      <c r="I145" s="2715"/>
      <c r="J145" s="2714"/>
      <c r="K145" s="2714"/>
      <c r="L145" s="2715"/>
      <c r="M145" s="2714"/>
      <c r="N145" s="2714"/>
      <c r="O145" s="2715"/>
      <c r="P145" s="2714"/>
      <c r="Q145" s="2714"/>
      <c r="R145" s="2716"/>
    </row>
    <row r="146" spans="2:18" s="906" customFormat="1">
      <c r="B146" s="2714"/>
      <c r="C146" s="2714"/>
      <c r="D146" s="2714"/>
      <c r="E146" s="2714"/>
      <c r="F146" s="2714"/>
      <c r="G146" s="2715"/>
      <c r="H146" s="2714"/>
      <c r="I146" s="2715"/>
      <c r="J146" s="2714"/>
      <c r="K146" s="2714"/>
      <c r="L146" s="2715"/>
      <c r="M146" s="2714"/>
      <c r="N146" s="2714"/>
      <c r="O146" s="2715"/>
      <c r="P146" s="2714"/>
      <c r="Q146" s="2714"/>
      <c r="R146" s="2716"/>
    </row>
    <row r="147" spans="2:18" s="906" customFormat="1">
      <c r="B147" s="2714"/>
      <c r="C147" s="2714"/>
      <c r="D147" s="2714"/>
      <c r="E147" s="2714"/>
      <c r="F147" s="2714"/>
      <c r="G147" s="2715"/>
      <c r="H147" s="2714"/>
      <c r="I147" s="2715"/>
      <c r="J147" s="2714"/>
      <c r="K147" s="2714"/>
      <c r="L147" s="2715"/>
      <c r="M147" s="2714"/>
      <c r="N147" s="2714"/>
      <c r="O147" s="2715"/>
      <c r="P147" s="2714"/>
      <c r="Q147" s="2714"/>
      <c r="R147" s="2716"/>
    </row>
    <row r="148" spans="2:18" s="906" customFormat="1">
      <c r="B148" s="2714"/>
      <c r="C148" s="2714"/>
      <c r="D148" s="2714"/>
      <c r="E148" s="2714"/>
      <c r="F148" s="2714"/>
      <c r="G148" s="2715"/>
      <c r="H148" s="2714"/>
      <c r="I148" s="2715"/>
      <c r="J148" s="2714"/>
      <c r="K148" s="2714"/>
      <c r="L148" s="2715"/>
      <c r="M148" s="2714"/>
      <c r="N148" s="2714"/>
      <c r="O148" s="2715"/>
      <c r="P148" s="2714"/>
      <c r="Q148" s="2714"/>
      <c r="R148" s="2716"/>
    </row>
    <row r="149" spans="2:18" s="906" customFormat="1">
      <c r="B149" s="2714"/>
      <c r="C149" s="2714"/>
      <c r="D149" s="2714"/>
      <c r="E149" s="2714"/>
      <c r="F149" s="2714"/>
      <c r="G149" s="2715"/>
      <c r="H149" s="2714"/>
      <c r="I149" s="2715"/>
      <c r="J149" s="2714"/>
      <c r="K149" s="2714"/>
      <c r="L149" s="2715"/>
      <c r="M149" s="2714"/>
      <c r="N149" s="2714"/>
      <c r="O149" s="2715"/>
      <c r="P149" s="2714"/>
      <c r="Q149" s="2714"/>
      <c r="R149" s="2716"/>
    </row>
    <row r="150" spans="2:18" s="906" customFormat="1">
      <c r="B150" s="2714"/>
      <c r="C150" s="2714"/>
      <c r="D150" s="2714"/>
      <c r="E150" s="2714"/>
      <c r="F150" s="2714"/>
      <c r="G150" s="2715"/>
      <c r="H150" s="2714"/>
      <c r="I150" s="2715"/>
      <c r="J150" s="2714"/>
      <c r="K150" s="2714"/>
      <c r="L150" s="2715"/>
      <c r="M150" s="2714"/>
      <c r="N150" s="2714"/>
      <c r="O150" s="2715"/>
      <c r="P150" s="2714"/>
      <c r="Q150" s="2714"/>
      <c r="R150" s="2716"/>
    </row>
    <row r="151" spans="2:18" s="906" customFormat="1">
      <c r="B151" s="2714"/>
      <c r="C151" s="2714"/>
      <c r="D151" s="2714"/>
      <c r="E151" s="2714"/>
      <c r="F151" s="2714"/>
      <c r="G151" s="2715"/>
      <c r="H151" s="2714"/>
      <c r="I151" s="2715"/>
      <c r="J151" s="2714"/>
      <c r="K151" s="2714"/>
      <c r="L151" s="2715"/>
      <c r="M151" s="2714"/>
      <c r="N151" s="2714"/>
      <c r="O151" s="2715"/>
      <c r="P151" s="2714"/>
      <c r="Q151" s="2714"/>
      <c r="R151" s="2716"/>
    </row>
    <row r="152" spans="2:18" s="906" customFormat="1">
      <c r="B152" s="2714"/>
      <c r="C152" s="2714"/>
      <c r="D152" s="2714"/>
      <c r="E152" s="2714"/>
      <c r="F152" s="2714"/>
      <c r="G152" s="2715"/>
      <c r="H152" s="2714"/>
      <c r="I152" s="2715"/>
      <c r="J152" s="2714"/>
      <c r="K152" s="2714"/>
      <c r="L152" s="2715"/>
      <c r="M152" s="2714"/>
      <c r="N152" s="2714"/>
      <c r="O152" s="2715"/>
      <c r="P152" s="2714"/>
      <c r="Q152" s="2714"/>
      <c r="R152" s="2716"/>
    </row>
    <row r="153" spans="2:18" s="906" customFormat="1">
      <c r="B153" s="2714"/>
      <c r="C153" s="2714"/>
      <c r="D153" s="2714"/>
      <c r="E153" s="2714"/>
      <c r="F153" s="2714"/>
      <c r="G153" s="2715"/>
      <c r="H153" s="2714"/>
      <c r="I153" s="2715"/>
      <c r="J153" s="2714"/>
      <c r="K153" s="2714"/>
      <c r="L153" s="2715"/>
      <c r="M153" s="2714"/>
      <c r="N153" s="2714"/>
      <c r="O153" s="2715"/>
      <c r="P153" s="2714"/>
      <c r="Q153" s="2714"/>
      <c r="R153" s="2716"/>
    </row>
    <row r="154" spans="2:18" s="906" customFormat="1">
      <c r="B154" s="2714"/>
      <c r="C154" s="2714"/>
      <c r="D154" s="2714"/>
      <c r="E154" s="2714"/>
      <c r="F154" s="2714"/>
      <c r="G154" s="2715"/>
      <c r="H154" s="2714"/>
      <c r="I154" s="2715"/>
      <c r="J154" s="2714"/>
      <c r="K154" s="2714"/>
      <c r="L154" s="2715"/>
      <c r="M154" s="2714"/>
      <c r="N154" s="2714"/>
      <c r="O154" s="2715"/>
      <c r="P154" s="2714"/>
      <c r="Q154" s="2714"/>
      <c r="R154" s="2716"/>
    </row>
    <row r="155" spans="2:18" s="906" customFormat="1">
      <c r="B155" s="2714"/>
      <c r="C155" s="2714"/>
      <c r="D155" s="2714"/>
      <c r="E155" s="2714"/>
      <c r="F155" s="2714"/>
      <c r="G155" s="2715"/>
      <c r="H155" s="2714"/>
      <c r="I155" s="2715"/>
      <c r="J155" s="2714"/>
      <c r="K155" s="2714"/>
      <c r="L155" s="2715"/>
      <c r="M155" s="2714"/>
      <c r="N155" s="2714"/>
      <c r="O155" s="2715"/>
      <c r="P155" s="2714"/>
      <c r="Q155" s="2714"/>
      <c r="R155" s="2716"/>
    </row>
    <row r="156" spans="2:18" s="906" customFormat="1">
      <c r="B156" s="2714"/>
      <c r="C156" s="2714"/>
      <c r="D156" s="2714"/>
      <c r="E156" s="2714"/>
      <c r="F156" s="2714"/>
      <c r="G156" s="2715"/>
      <c r="H156" s="2714"/>
      <c r="I156" s="2715"/>
      <c r="J156" s="2714"/>
      <c r="K156" s="2714"/>
      <c r="L156" s="2715"/>
      <c r="M156" s="2714"/>
      <c r="N156" s="2714"/>
      <c r="O156" s="2715"/>
      <c r="P156" s="2714"/>
      <c r="Q156" s="2714"/>
      <c r="R156" s="2716"/>
    </row>
    <row r="157" spans="2:18" s="906" customFormat="1">
      <c r="B157" s="2714"/>
      <c r="C157" s="2714"/>
      <c r="D157" s="2714"/>
      <c r="E157" s="2714"/>
      <c r="F157" s="2714"/>
      <c r="G157" s="2715"/>
      <c r="H157" s="2714"/>
      <c r="I157" s="2715"/>
      <c r="J157" s="2714"/>
      <c r="K157" s="2714"/>
      <c r="L157" s="2715"/>
      <c r="M157" s="2714"/>
      <c r="N157" s="2714"/>
      <c r="O157" s="2715"/>
      <c r="P157" s="2714"/>
      <c r="Q157" s="2714"/>
      <c r="R157" s="2716"/>
    </row>
    <row r="158" spans="2:18" s="906" customFormat="1">
      <c r="B158" s="2714"/>
      <c r="C158" s="2714"/>
      <c r="D158" s="2714"/>
      <c r="E158" s="2714"/>
      <c r="F158" s="2714"/>
      <c r="G158" s="2715"/>
      <c r="H158" s="2714"/>
      <c r="I158" s="2715"/>
      <c r="J158" s="2714"/>
      <c r="K158" s="2714"/>
      <c r="L158" s="2715"/>
      <c r="M158" s="2714"/>
      <c r="N158" s="2714"/>
      <c r="O158" s="2715"/>
      <c r="P158" s="2714"/>
      <c r="Q158" s="2714"/>
      <c r="R158" s="2716"/>
    </row>
    <row r="159" spans="2:18" s="906" customFormat="1">
      <c r="B159" s="2714"/>
      <c r="C159" s="2714"/>
      <c r="D159" s="2714"/>
      <c r="E159" s="2714"/>
      <c r="F159" s="2714"/>
      <c r="G159" s="2715"/>
      <c r="H159" s="2714"/>
      <c r="I159" s="2715"/>
      <c r="J159" s="2714"/>
      <c r="K159" s="2714"/>
      <c r="L159" s="2715"/>
      <c r="M159" s="2714"/>
      <c r="N159" s="2714"/>
      <c r="O159" s="2715"/>
      <c r="P159" s="2714"/>
      <c r="Q159" s="2714"/>
      <c r="R159" s="2716"/>
    </row>
    <row r="160" spans="2:18" s="906" customFormat="1">
      <c r="B160" s="2714"/>
      <c r="C160" s="2714"/>
      <c r="D160" s="2714"/>
      <c r="E160" s="2714"/>
      <c r="F160" s="2714"/>
      <c r="G160" s="2715"/>
      <c r="H160" s="2714"/>
      <c r="I160" s="2715"/>
      <c r="J160" s="2714"/>
      <c r="K160" s="2714"/>
      <c r="L160" s="2715"/>
      <c r="M160" s="2714"/>
      <c r="N160" s="2714"/>
      <c r="O160" s="2715"/>
      <c r="P160" s="2714"/>
      <c r="Q160" s="2714"/>
      <c r="R160" s="2716"/>
    </row>
    <row r="161" spans="2:18" s="906" customFormat="1">
      <c r="B161" s="2714"/>
      <c r="C161" s="2714"/>
      <c r="D161" s="2714"/>
      <c r="E161" s="2714"/>
      <c r="F161" s="2714"/>
      <c r="G161" s="2715"/>
      <c r="H161" s="2714"/>
      <c r="I161" s="2715"/>
      <c r="J161" s="2714"/>
      <c r="K161" s="2714"/>
      <c r="L161" s="2715"/>
      <c r="M161" s="2714"/>
      <c r="N161" s="2714"/>
      <c r="O161" s="2715"/>
      <c r="P161" s="2714"/>
      <c r="Q161" s="2714"/>
      <c r="R161" s="2716"/>
    </row>
    <row r="162" spans="2:18" s="906" customFormat="1">
      <c r="B162" s="2714"/>
      <c r="C162" s="2714"/>
      <c r="D162" s="2714"/>
      <c r="E162" s="2714"/>
      <c r="F162" s="2714"/>
      <c r="G162" s="2715"/>
      <c r="H162" s="2714"/>
      <c r="I162" s="2715"/>
      <c r="J162" s="2714"/>
      <c r="K162" s="2714"/>
      <c r="L162" s="2715"/>
      <c r="M162" s="2714"/>
      <c r="N162" s="2714"/>
      <c r="O162" s="2715"/>
      <c r="P162" s="2714"/>
      <c r="Q162" s="2714"/>
      <c r="R162" s="2716"/>
    </row>
    <row r="163" spans="2:18" s="906" customFormat="1">
      <c r="B163" s="2714"/>
      <c r="C163" s="2714"/>
      <c r="D163" s="2714"/>
      <c r="E163" s="2714"/>
      <c r="F163" s="2714"/>
      <c r="G163" s="2715"/>
      <c r="H163" s="2714"/>
      <c r="I163" s="2715"/>
      <c r="J163" s="2714"/>
      <c r="K163" s="2714"/>
      <c r="L163" s="2715"/>
      <c r="M163" s="2714"/>
      <c r="N163" s="2714"/>
      <c r="O163" s="2715"/>
      <c r="P163" s="2714"/>
      <c r="Q163" s="2714"/>
      <c r="R163" s="2716"/>
    </row>
    <row r="164" spans="2:18" s="906" customFormat="1">
      <c r="B164" s="2714"/>
      <c r="C164" s="2714"/>
      <c r="D164" s="2714"/>
      <c r="E164" s="2714"/>
      <c r="F164" s="2714"/>
      <c r="G164" s="2715"/>
      <c r="H164" s="2714"/>
      <c r="I164" s="2715"/>
      <c r="J164" s="2714"/>
      <c r="K164" s="2714"/>
      <c r="L164" s="2715"/>
      <c r="M164" s="2714"/>
      <c r="N164" s="2714"/>
      <c r="O164" s="2715"/>
      <c r="P164" s="2714"/>
      <c r="Q164" s="2714"/>
      <c r="R164" s="2716"/>
    </row>
    <row r="165" spans="2:18" s="906" customFormat="1">
      <c r="B165" s="2714"/>
      <c r="C165" s="2714"/>
      <c r="D165" s="2714"/>
      <c r="E165" s="2714"/>
      <c r="F165" s="2714"/>
      <c r="G165" s="2715"/>
      <c r="H165" s="2714"/>
      <c r="I165" s="2715"/>
      <c r="J165" s="2714"/>
      <c r="K165" s="2714"/>
      <c r="L165" s="2715"/>
      <c r="M165" s="2714"/>
      <c r="N165" s="2714"/>
      <c r="O165" s="2715"/>
      <c r="P165" s="2714"/>
      <c r="Q165" s="2714"/>
      <c r="R165" s="2716"/>
    </row>
    <row r="166" spans="2:18" s="906" customFormat="1">
      <c r="B166" s="2714"/>
      <c r="C166" s="2714"/>
      <c r="D166" s="2714"/>
      <c r="E166" s="2714"/>
      <c r="F166" s="2714"/>
      <c r="G166" s="2715"/>
      <c r="H166" s="2714"/>
      <c r="I166" s="2715"/>
      <c r="J166" s="2714"/>
      <c r="K166" s="2714"/>
      <c r="L166" s="2715"/>
      <c r="M166" s="2714"/>
      <c r="N166" s="2714"/>
      <c r="O166" s="2715"/>
      <c r="P166" s="2714"/>
      <c r="Q166" s="2714"/>
      <c r="R166" s="2716"/>
    </row>
    <row r="167" spans="2:18" s="906" customFormat="1">
      <c r="B167" s="2714"/>
      <c r="C167" s="2714"/>
      <c r="D167" s="2714"/>
      <c r="E167" s="2714"/>
      <c r="F167" s="2714"/>
      <c r="G167" s="2715"/>
      <c r="H167" s="2714"/>
      <c r="I167" s="2715"/>
      <c r="J167" s="2714"/>
      <c r="K167" s="2714"/>
      <c r="L167" s="2715"/>
      <c r="M167" s="2714"/>
      <c r="N167" s="2714"/>
      <c r="O167" s="2715"/>
      <c r="P167" s="2714"/>
      <c r="Q167" s="2714"/>
      <c r="R167" s="2716"/>
    </row>
    <row r="168" spans="2:18" s="906" customFormat="1">
      <c r="B168" s="2714"/>
      <c r="C168" s="2714"/>
      <c r="D168" s="2714"/>
      <c r="E168" s="2714"/>
      <c r="F168" s="2714"/>
      <c r="G168" s="2715"/>
      <c r="H168" s="2714"/>
      <c r="I168" s="2715"/>
      <c r="J168" s="2714"/>
      <c r="K168" s="2714"/>
      <c r="L168" s="2715"/>
      <c r="M168" s="2714"/>
      <c r="N168" s="2714"/>
      <c r="O168" s="2715"/>
      <c r="P168" s="2714"/>
      <c r="Q168" s="2714"/>
      <c r="R168" s="2716"/>
    </row>
    <row r="169" spans="2:18" s="906" customFormat="1">
      <c r="B169" s="2714"/>
      <c r="C169" s="2714"/>
      <c r="D169" s="2714"/>
      <c r="E169" s="2714"/>
      <c r="F169" s="2714"/>
      <c r="G169" s="2715"/>
      <c r="H169" s="2714"/>
      <c r="I169" s="2715"/>
      <c r="J169" s="2714"/>
      <c r="K169" s="2714"/>
      <c r="L169" s="2715"/>
      <c r="M169" s="2714"/>
      <c r="N169" s="2714"/>
      <c r="O169" s="2715"/>
      <c r="P169" s="2714"/>
      <c r="Q169" s="2714"/>
      <c r="R169" s="2716"/>
    </row>
    <row r="170" spans="2:18" s="906" customFormat="1">
      <c r="B170" s="2714"/>
      <c r="C170" s="2714"/>
      <c r="D170" s="2714"/>
      <c r="E170" s="2714"/>
      <c r="F170" s="2714"/>
      <c r="G170" s="2715"/>
      <c r="H170" s="2714"/>
      <c r="I170" s="2715"/>
      <c r="J170" s="2714"/>
      <c r="K170" s="2714"/>
      <c r="L170" s="2715"/>
      <c r="M170" s="2714"/>
      <c r="N170" s="2714"/>
      <c r="O170" s="2715"/>
      <c r="P170" s="2714"/>
      <c r="Q170" s="2714"/>
      <c r="R170" s="2716"/>
    </row>
    <row r="171" spans="2:18" s="906" customFormat="1">
      <c r="B171" s="2714"/>
      <c r="C171" s="2714"/>
      <c r="D171" s="2714"/>
      <c r="E171" s="2714"/>
      <c r="F171" s="2714"/>
      <c r="G171" s="2715"/>
      <c r="H171" s="2714"/>
      <c r="I171" s="2715"/>
      <c r="J171" s="2714"/>
      <c r="K171" s="2714"/>
      <c r="L171" s="2715"/>
      <c r="M171" s="2714"/>
      <c r="N171" s="2714"/>
      <c r="O171" s="2715"/>
      <c r="P171" s="2714"/>
      <c r="Q171" s="2714"/>
      <c r="R171" s="2716"/>
    </row>
    <row r="172" spans="2:18" s="906" customFormat="1">
      <c r="B172" s="2714"/>
      <c r="C172" s="2714"/>
      <c r="D172" s="2714"/>
      <c r="E172" s="2714"/>
      <c r="F172" s="2714"/>
      <c r="G172" s="2715"/>
      <c r="H172" s="2714"/>
      <c r="I172" s="2715"/>
      <c r="J172" s="2714"/>
      <c r="K172" s="2714"/>
      <c r="L172" s="2715"/>
      <c r="M172" s="2714"/>
      <c r="N172" s="2714"/>
      <c r="O172" s="2715"/>
      <c r="P172" s="2714"/>
      <c r="Q172" s="2714"/>
      <c r="R172" s="2716"/>
    </row>
    <row r="173" spans="2:18" s="906" customFormat="1">
      <c r="B173" s="2714"/>
      <c r="C173" s="2714"/>
      <c r="D173" s="2714"/>
      <c r="E173" s="2714"/>
      <c r="F173" s="2714"/>
      <c r="G173" s="2715"/>
      <c r="H173" s="2714"/>
      <c r="I173" s="2715"/>
      <c r="J173" s="2714"/>
      <c r="K173" s="2714"/>
      <c r="L173" s="2715"/>
      <c r="M173" s="2714"/>
      <c r="N173" s="2714"/>
      <c r="O173" s="2715"/>
      <c r="P173" s="2714"/>
      <c r="Q173" s="2714"/>
      <c r="R173" s="2716"/>
    </row>
    <row r="174" spans="2:18" s="906" customFormat="1">
      <c r="B174" s="2714"/>
      <c r="C174" s="2714"/>
      <c r="D174" s="2714"/>
      <c r="E174" s="2714"/>
      <c r="F174" s="2714"/>
      <c r="G174" s="2715"/>
      <c r="H174" s="2714"/>
      <c r="I174" s="2715"/>
      <c r="J174" s="2714"/>
      <c r="K174" s="2714"/>
      <c r="L174" s="2715"/>
      <c r="M174" s="2714"/>
      <c r="N174" s="2714"/>
      <c r="O174" s="2715"/>
      <c r="P174" s="2714"/>
      <c r="Q174" s="2714"/>
      <c r="R174" s="2716"/>
    </row>
    <row r="175" spans="2:18" s="906" customFormat="1">
      <c r="B175" s="2714"/>
      <c r="C175" s="2714"/>
      <c r="D175" s="2714"/>
      <c r="E175" s="2714"/>
      <c r="F175" s="2714"/>
      <c r="G175" s="2715"/>
      <c r="H175" s="2714"/>
      <c r="I175" s="2715"/>
      <c r="J175" s="2714"/>
      <c r="K175" s="2714"/>
      <c r="L175" s="2715"/>
      <c r="M175" s="2714"/>
      <c r="N175" s="2714"/>
      <c r="O175" s="2715"/>
      <c r="P175" s="2714"/>
      <c r="Q175" s="2714"/>
      <c r="R175" s="2716"/>
    </row>
    <row r="176" spans="2:18" s="906" customFormat="1">
      <c r="B176" s="2714"/>
      <c r="C176" s="2714"/>
      <c r="D176" s="2714"/>
      <c r="E176" s="2714"/>
      <c r="F176" s="2714"/>
      <c r="G176" s="2715"/>
      <c r="H176" s="2714"/>
      <c r="I176" s="2715"/>
      <c r="J176" s="2714"/>
      <c r="K176" s="2714"/>
      <c r="L176" s="2715"/>
      <c r="M176" s="2714"/>
      <c r="N176" s="2714"/>
      <c r="O176" s="2715"/>
      <c r="P176" s="2714"/>
      <c r="Q176" s="2714"/>
      <c r="R176" s="2716"/>
    </row>
    <row r="177" spans="1:18" s="906" customFormat="1">
      <c r="B177" s="2714"/>
      <c r="C177" s="2714"/>
      <c r="D177" s="2714"/>
      <c r="E177" s="2714"/>
      <c r="F177" s="2714"/>
      <c r="G177" s="2715"/>
      <c r="H177" s="2714"/>
      <c r="I177" s="2715"/>
      <c r="J177" s="2714"/>
      <c r="K177" s="2714"/>
      <c r="L177" s="2715"/>
      <c r="M177" s="2714"/>
      <c r="N177" s="2714"/>
      <c r="O177" s="2715"/>
      <c r="P177" s="2714"/>
      <c r="Q177" s="2714"/>
      <c r="R177" s="2716"/>
    </row>
    <row r="178" spans="1:18" s="906" customFormat="1">
      <c r="B178" s="2714"/>
      <c r="C178" s="2714"/>
      <c r="D178" s="2714"/>
      <c r="E178" s="2714"/>
      <c r="F178" s="2714"/>
      <c r="G178" s="2715"/>
      <c r="H178" s="2714"/>
      <c r="I178" s="2715"/>
      <c r="J178" s="2714"/>
      <c r="K178" s="2714"/>
      <c r="L178" s="2715"/>
      <c r="M178" s="2714"/>
      <c r="N178" s="2714"/>
      <c r="O178" s="2715"/>
      <c r="P178" s="2714"/>
      <c r="Q178" s="2714"/>
      <c r="R178" s="2716"/>
    </row>
    <row r="179" spans="1:18" s="906" customFormat="1">
      <c r="B179" s="2714"/>
      <c r="C179" s="2714"/>
      <c r="D179" s="2714"/>
      <c r="E179" s="2714"/>
      <c r="F179" s="2714"/>
      <c r="G179" s="2715"/>
      <c r="H179" s="2714"/>
      <c r="I179" s="2715"/>
      <c r="J179" s="2714"/>
      <c r="K179" s="2714"/>
      <c r="L179" s="2715"/>
      <c r="M179" s="2714"/>
      <c r="N179" s="2714"/>
      <c r="O179" s="2715"/>
      <c r="P179" s="2714"/>
      <c r="Q179" s="2714"/>
      <c r="R179" s="2716"/>
    </row>
    <row r="180" spans="1:18" s="906" customFormat="1">
      <c r="B180" s="2714"/>
      <c r="C180" s="2714"/>
      <c r="D180" s="2714"/>
      <c r="E180" s="2714"/>
      <c r="F180" s="2714"/>
      <c r="G180" s="2715"/>
      <c r="H180" s="2714"/>
      <c r="I180" s="2715"/>
      <c r="J180" s="2714"/>
      <c r="K180" s="2714"/>
      <c r="L180" s="2715"/>
      <c r="M180" s="2714"/>
      <c r="N180" s="2714"/>
      <c r="O180" s="2715"/>
      <c r="P180" s="2714"/>
      <c r="Q180" s="2714"/>
      <c r="R180" s="2716"/>
    </row>
    <row r="181" spans="1:18" s="906" customFormat="1">
      <c r="B181" s="2714"/>
      <c r="C181" s="2714"/>
      <c r="D181" s="2714"/>
      <c r="E181" s="2714"/>
      <c r="F181" s="2714"/>
      <c r="G181" s="2715"/>
      <c r="H181" s="2714"/>
      <c r="I181" s="2715"/>
      <c r="J181" s="2714"/>
      <c r="K181" s="2714"/>
      <c r="L181" s="2715"/>
      <c r="M181" s="2714"/>
      <c r="N181" s="2714"/>
      <c r="O181" s="2715"/>
      <c r="P181" s="2714"/>
      <c r="Q181" s="2714"/>
      <c r="R181" s="2716"/>
    </row>
    <row r="182" spans="1:18" s="906" customFormat="1">
      <c r="B182" s="2714"/>
      <c r="C182" s="2714"/>
      <c r="D182" s="2714"/>
      <c r="E182" s="2714"/>
      <c r="F182" s="2714"/>
      <c r="G182" s="2715"/>
      <c r="H182" s="2714"/>
      <c r="I182" s="2715"/>
      <c r="J182" s="2714"/>
      <c r="K182" s="2714"/>
      <c r="L182" s="2715"/>
      <c r="M182" s="2714"/>
      <c r="N182" s="2714"/>
      <c r="O182" s="2715"/>
      <c r="P182" s="2714"/>
      <c r="Q182" s="2714"/>
      <c r="R182" s="2716"/>
    </row>
    <row r="183" spans="1:18" s="906" customFormat="1">
      <c r="B183" s="2714"/>
      <c r="C183" s="2714"/>
      <c r="D183" s="2714"/>
      <c r="E183" s="2714"/>
      <c r="F183" s="2714"/>
      <c r="G183" s="2715"/>
      <c r="H183" s="2714"/>
      <c r="I183" s="2715"/>
      <c r="J183" s="2714"/>
      <c r="K183" s="2714"/>
      <c r="L183" s="2715"/>
      <c r="M183" s="2714"/>
      <c r="N183" s="2714"/>
      <c r="O183" s="2715"/>
      <c r="P183" s="2714"/>
      <c r="Q183" s="2714"/>
      <c r="R183" s="2716"/>
    </row>
    <row r="184" spans="1:18" s="906" customFormat="1">
      <c r="B184" s="2714"/>
      <c r="C184" s="2714"/>
      <c r="D184" s="2714"/>
      <c r="E184" s="2714"/>
      <c r="F184" s="2714"/>
      <c r="G184" s="2715"/>
      <c r="H184" s="2714"/>
      <c r="I184" s="2715"/>
      <c r="J184" s="2714"/>
      <c r="K184" s="2714"/>
      <c r="L184" s="2715"/>
      <c r="M184" s="2714"/>
      <c r="N184" s="2714"/>
      <c r="O184" s="2715"/>
      <c r="P184" s="2714"/>
      <c r="Q184" s="2714"/>
      <c r="R184" s="2716"/>
    </row>
    <row r="185" spans="1:18" s="906"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6"/>
      <c r="B186" s="2714"/>
      <c r="C186" s="2714"/>
      <c r="E186" s="2714"/>
      <c r="F186" s="2714"/>
      <c r="G186" s="2715"/>
    </row>
    <row r="187" spans="1:18">
      <c r="A187" s="906"/>
      <c r="B187" s="2714"/>
      <c r="C187" s="2714"/>
      <c r="E187" s="2714"/>
      <c r="F187" s="2714"/>
      <c r="G187" s="271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zoomScale="80" zoomScaleNormal="80" zoomScaleSheetLayoutView="80" workbookViewId="0">
      <selection activeCell="D14" sqref="D14"/>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117964.09999999983</v>
      </c>
      <c r="C1" s="2912"/>
      <c r="D1" s="2912"/>
      <c r="E1" s="2912"/>
      <c r="F1" s="2912"/>
      <c r="G1" s="2913"/>
      <c r="H1" s="2914"/>
      <c r="I1" s="2914"/>
      <c r="J1" s="2914"/>
      <c r="K1" s="2914"/>
    </row>
    <row r="2" spans="1:11" ht="16.5">
      <c r="A2" s="2735" t="s">
        <v>1319</v>
      </c>
      <c r="B2" s="2735">
        <f>SUM(C14:C23)</f>
        <v>42598.89</v>
      </c>
      <c r="C2" s="2912"/>
      <c r="D2" s="2912"/>
      <c r="E2" s="2912"/>
      <c r="F2" s="2912"/>
      <c r="G2" s="2913"/>
      <c r="H2" s="2914"/>
      <c r="I2" s="2914"/>
      <c r="J2" s="2914"/>
      <c r="K2" s="2914"/>
    </row>
    <row r="3" spans="1:11" ht="16.5">
      <c r="A3" s="2735" t="s">
        <v>1328</v>
      </c>
      <c r="B3" s="2737">
        <f>项目基本情况!D3</f>
        <v>44478</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138209</v>
      </c>
      <c r="C5" s="2735">
        <f ca="1">ROUND(B5*10000/$B$1,0)</f>
        <v>11716</v>
      </c>
      <c r="D5" s="2735">
        <f ca="1">ROUND(B5*10000/$B$2,0)</f>
        <v>32444</v>
      </c>
      <c r="E5" s="2912"/>
      <c r="F5" s="2913"/>
      <c r="G5" s="2913"/>
      <c r="H5" s="2914"/>
      <c r="I5" s="2914"/>
      <c r="J5" s="2914"/>
      <c r="K5" s="2914"/>
    </row>
    <row r="6" spans="1:11" ht="16.5">
      <c r="A6" s="2735" t="s">
        <v>1322</v>
      </c>
      <c r="B6" s="2735">
        <f ca="1">SUM(G14:G23)</f>
        <v>138209</v>
      </c>
      <c r="C6" s="2735">
        <f ca="1">ROUND(B6*10000/$B$1,0)</f>
        <v>11716</v>
      </c>
      <c r="D6" s="2735">
        <f ca="1">ROUND(B6*10000/$B$2,0)</f>
        <v>32444</v>
      </c>
      <c r="E6" s="2912"/>
      <c r="F6" s="2913"/>
      <c r="G6" s="2913"/>
      <c r="H6" s="2914"/>
      <c r="I6" s="2914"/>
      <c r="J6" s="2914"/>
      <c r="K6" s="2914"/>
    </row>
    <row r="7" spans="1:11" ht="16.5">
      <c r="A7" s="2735" t="s">
        <v>1330</v>
      </c>
      <c r="B7" s="2735">
        <f>SUM(H14:H23)</f>
        <v>0</v>
      </c>
      <c r="C7" s="2735">
        <f>ROUND(B7*10000/$B$1,0)</f>
        <v>0</v>
      </c>
      <c r="D7" s="2735">
        <f>ROUND(B7*10000/$B$2,0)</f>
        <v>0</v>
      </c>
      <c r="E7" s="2912"/>
      <c r="F7" s="2913"/>
      <c r="G7" s="2913"/>
      <c r="H7" s="2914"/>
      <c r="I7" s="2914"/>
      <c r="J7" s="2914"/>
      <c r="K7" s="2914"/>
    </row>
    <row r="8" spans="1:11" ht="16.5">
      <c r="A8" s="2735" t="s">
        <v>1252</v>
      </c>
      <c r="B8" s="2735">
        <f>SUM(I14:I23)</f>
        <v>0</v>
      </c>
      <c r="C8" s="2735">
        <f>ROUND(B8*10000/$B$1,0)</f>
        <v>0</v>
      </c>
      <c r="D8" s="2735">
        <f>ROUND(B8*10000/$B$2,0)</f>
        <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117964.09999999983</v>
      </c>
      <c r="C14" s="2741">
        <f>结果表!C118</f>
        <v>42598.89</v>
      </c>
      <c r="D14" s="2741">
        <f ca="1">结果表!H118</f>
        <v>138209</v>
      </c>
      <c r="E14" s="2741">
        <f ca="1">ROUND(D14*10000/B14,0)</f>
        <v>11716</v>
      </c>
      <c r="F14" s="2741">
        <f ca="1">ROUND(D14*10000/C14,0)</f>
        <v>32444</v>
      </c>
      <c r="G14" s="2741">
        <f ca="1">结果表!D122</f>
        <v>138209</v>
      </c>
      <c r="H14" s="2741" t="str">
        <f>结果表!D124</f>
        <v>——</v>
      </c>
      <c r="I14" s="2741" t="str">
        <f>结果表!D126</f>
        <v>——</v>
      </c>
      <c r="J14" s="2913"/>
      <c r="K14" s="2914"/>
    </row>
    <row r="15" spans="1:11" ht="16.5">
      <c r="A15" s="2740" t="s">
        <v>1315</v>
      </c>
      <c r="B15" s="2742"/>
      <c r="C15" s="2742"/>
      <c r="D15" s="2742"/>
      <c r="E15" s="2741" t="e">
        <f t="shared" ref="E15:E23" si="0">ROUND(D15*10000/B15,0)</f>
        <v>#DIV/0!</v>
      </c>
      <c r="F15" s="2741" t="e">
        <f t="shared" ref="F15:F23" si="1">ROUND(D15*10000/C15,0)</f>
        <v>#DIV/0!</v>
      </c>
      <c r="G15" s="1499"/>
      <c r="H15" s="1499"/>
      <c r="I15" s="2742"/>
      <c r="J15" s="2913"/>
      <c r="K15" s="2914"/>
    </row>
    <row r="16" spans="1:11" ht="16.5">
      <c r="A16" s="2740" t="s">
        <v>1314</v>
      </c>
      <c r="B16" s="2742"/>
      <c r="C16" s="2742"/>
      <c r="D16" s="2742"/>
      <c r="E16" s="2741" t="e">
        <f t="shared" si="0"/>
        <v>#DIV/0!</v>
      </c>
      <c r="F16" s="2741" t="e">
        <f t="shared" si="1"/>
        <v>#DIV/0!</v>
      </c>
      <c r="G16" s="1499"/>
      <c r="H16" s="1499"/>
      <c r="I16" s="2742"/>
      <c r="J16" s="2914"/>
      <c r="K16" s="2914"/>
    </row>
    <row r="17" spans="1:11" ht="16.5">
      <c r="A17" s="2740" t="s">
        <v>1313</v>
      </c>
      <c r="B17" s="2742"/>
      <c r="C17" s="2742"/>
      <c r="D17" s="2742"/>
      <c r="E17" s="2741" t="e">
        <f t="shared" si="0"/>
        <v>#DIV/0!</v>
      </c>
      <c r="F17" s="2741" t="e">
        <f t="shared" si="1"/>
        <v>#DIV/0!</v>
      </c>
      <c r="G17" s="1499"/>
      <c r="H17" s="1499"/>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35" sqref="J35"/>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1949</v>
      </c>
      <c r="B1" s="1932"/>
      <c r="C1" s="1933"/>
      <c r="D1" s="1932"/>
      <c r="E1" s="1932"/>
      <c r="F1" s="1934" t="s">
        <v>1950</v>
      </c>
      <c r="G1" s="1745"/>
      <c r="H1" s="1935" t="str">
        <f>IF(G1="现房","——","估价对象范围")</f>
        <v>估价对象范围</v>
      </c>
      <c r="I1" s="1936"/>
    </row>
    <row r="2" spans="1:12" ht="21.75" customHeight="1" thickBot="1">
      <c r="A2" s="3225" t="str">
        <f>项目基本情况!S2</f>
        <v>房地产</v>
      </c>
      <c r="B2" s="3226"/>
      <c r="C2" s="3226"/>
      <c r="D2" s="3226"/>
      <c r="E2" s="3226"/>
      <c r="F2" s="3226"/>
      <c r="G2" s="3226"/>
      <c r="H2" s="3226"/>
      <c r="I2" s="3227"/>
    </row>
    <row r="3" spans="1:12" ht="12.75">
      <c r="A3" s="3229" t="s">
        <v>1951</v>
      </c>
      <c r="B3" s="3230"/>
      <c r="C3" s="3230"/>
      <c r="D3" s="3230"/>
      <c r="E3" s="3230"/>
      <c r="F3" s="3230"/>
      <c r="G3" s="3230"/>
      <c r="H3" s="3230"/>
      <c r="I3" s="3230"/>
    </row>
    <row r="4" spans="1:12" ht="14.25">
      <c r="A4" s="1939" t="s">
        <v>1952</v>
      </c>
      <c r="B4" s="1940" t="s">
        <v>1953</v>
      </c>
      <c r="C4" s="1941" t="s">
        <v>4687</v>
      </c>
      <c r="D4" s="1941" t="s">
        <v>4688</v>
      </c>
      <c r="E4" s="3231" t="s">
        <v>1954</v>
      </c>
      <c r="F4" s="3232"/>
      <c r="G4" s="3232"/>
      <c r="H4" s="3232"/>
      <c r="I4" s="3233"/>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205" t="s">
        <v>1955</v>
      </c>
      <c r="B5" s="3192">
        <v>25</v>
      </c>
      <c r="C5" s="3208"/>
      <c r="D5" s="3228"/>
      <c r="E5" s="135" t="s">
        <v>1956</v>
      </c>
      <c r="F5" s="1942"/>
      <c r="G5" s="1942"/>
      <c r="H5" s="1942"/>
      <c r="I5" s="1556"/>
    </row>
    <row r="6" spans="1:12" ht="12.75">
      <c r="A6" s="3205"/>
      <c r="B6" s="3192"/>
      <c r="C6" s="3209"/>
      <c r="D6" s="3228"/>
      <c r="E6" s="135" t="s">
        <v>1957</v>
      </c>
      <c r="F6" s="1942"/>
      <c r="G6" s="1942"/>
      <c r="H6" s="1942"/>
      <c r="I6" s="1556"/>
    </row>
    <row r="7" spans="1:12" ht="12.75">
      <c r="A7" s="3205"/>
      <c r="B7" s="3192"/>
      <c r="C7" s="3210"/>
      <c r="D7" s="3228"/>
      <c r="E7" s="135" t="s">
        <v>1958</v>
      </c>
      <c r="F7" s="1942"/>
      <c r="G7" s="1942"/>
      <c r="H7" s="1942"/>
      <c r="I7" s="1556"/>
    </row>
    <row r="8" spans="1:12" ht="12.75">
      <c r="A8" s="3205" t="s">
        <v>1959</v>
      </c>
      <c r="B8" s="3192">
        <v>15</v>
      </c>
      <c r="C8" s="3208"/>
      <c r="D8" s="3228"/>
      <c r="E8" s="135" t="s">
        <v>1960</v>
      </c>
      <c r="F8" s="1942"/>
      <c r="G8" s="1942"/>
      <c r="H8" s="1942"/>
      <c r="I8" s="1556"/>
    </row>
    <row r="9" spans="1:12" ht="12.75">
      <c r="A9" s="3205"/>
      <c r="B9" s="3192"/>
      <c r="C9" s="3210"/>
      <c r="D9" s="3228"/>
      <c r="E9" s="135" t="s">
        <v>1961</v>
      </c>
      <c r="F9" s="1942"/>
      <c r="G9" s="1942"/>
      <c r="H9" s="1942"/>
      <c r="I9" s="1556"/>
    </row>
    <row r="10" spans="1:12" ht="12.75">
      <c r="A10" s="3205" t="s">
        <v>1962</v>
      </c>
      <c r="B10" s="3192">
        <v>15</v>
      </c>
      <c r="C10" s="3208"/>
      <c r="D10" s="3228"/>
      <c r="E10" s="135" t="s">
        <v>1963</v>
      </c>
      <c r="F10" s="1942"/>
      <c r="G10" s="1942"/>
      <c r="H10" s="1942"/>
      <c r="I10" s="1556"/>
    </row>
    <row r="11" spans="1:12" ht="12.75">
      <c r="A11" s="3205"/>
      <c r="B11" s="3192"/>
      <c r="C11" s="3210"/>
      <c r="D11" s="3228"/>
      <c r="E11" s="135" t="s">
        <v>1964</v>
      </c>
      <c r="F11" s="1942"/>
      <c r="G11" s="1942"/>
      <c r="H11" s="1942"/>
      <c r="I11" s="1556"/>
    </row>
    <row r="12" spans="1:12" ht="12.75">
      <c r="A12" s="3205" t="s">
        <v>1965</v>
      </c>
      <c r="B12" s="3192">
        <v>15</v>
      </c>
      <c r="C12" s="3208"/>
      <c r="D12" s="3228"/>
      <c r="E12" s="135" t="s">
        <v>1966</v>
      </c>
      <c r="F12" s="1942"/>
      <c r="G12" s="1942"/>
      <c r="H12" s="1942"/>
      <c r="I12" s="1556"/>
    </row>
    <row r="13" spans="1:12" ht="12.75">
      <c r="A13" s="3205"/>
      <c r="B13" s="3192"/>
      <c r="C13" s="3210"/>
      <c r="D13" s="3228"/>
      <c r="E13" s="135" t="s">
        <v>1967</v>
      </c>
      <c r="F13" s="1942"/>
      <c r="G13" s="1942"/>
      <c r="H13" s="1942"/>
      <c r="I13" s="1556"/>
    </row>
    <row r="14" spans="1:12" ht="12.75">
      <c r="A14" s="3205" t="s">
        <v>1968</v>
      </c>
      <c r="B14" s="3192">
        <v>30</v>
      </c>
      <c r="C14" s="3208">
        <v>5</v>
      </c>
      <c r="D14" s="3228">
        <v>5</v>
      </c>
      <c r="E14" s="135" t="s">
        <v>1969</v>
      </c>
      <c r="F14" s="1942"/>
      <c r="G14" s="1942"/>
      <c r="H14" s="1942"/>
      <c r="I14" s="1556"/>
    </row>
    <row r="15" spans="1:12" ht="12.75">
      <c r="A15" s="3205"/>
      <c r="B15" s="3192"/>
      <c r="C15" s="3209"/>
      <c r="D15" s="3228"/>
      <c r="E15" s="135" t="s">
        <v>1970</v>
      </c>
      <c r="F15" s="1942"/>
      <c r="G15" s="1942"/>
      <c r="H15" s="1942"/>
      <c r="I15" s="1556"/>
    </row>
    <row r="16" spans="1:12" ht="12.75">
      <c r="A16" s="3205"/>
      <c r="B16" s="3192"/>
      <c r="C16" s="3210"/>
      <c r="D16" s="3228"/>
      <c r="E16" s="135" t="s">
        <v>1971</v>
      </c>
      <c r="F16" s="1942"/>
      <c r="G16" s="1942"/>
      <c r="H16" s="1942"/>
      <c r="I16" s="1556"/>
    </row>
    <row r="17" spans="1:36" ht="15">
      <c r="A17" s="1943" t="s">
        <v>1972</v>
      </c>
      <c r="B17" s="59"/>
      <c r="C17" s="136">
        <f>SUM(C5:C16)</f>
        <v>5</v>
      </c>
      <c r="D17" s="136">
        <f>SUM(D5:D16)</f>
        <v>5</v>
      </c>
      <c r="E17" s="133"/>
      <c r="F17" s="133"/>
      <c r="G17" s="133"/>
      <c r="H17" s="133"/>
      <c r="I17" s="133"/>
      <c r="K17" s="307"/>
      <c r="L17" s="307" t="s">
        <v>1973</v>
      </c>
      <c r="M17" s="307" t="s">
        <v>1974</v>
      </c>
    </row>
    <row r="18" spans="1:36" ht="31.9" customHeight="1" thickBot="1">
      <c r="A18" s="1944" t="s">
        <v>1975</v>
      </c>
      <c r="B18" s="1945"/>
      <c r="C18" s="137">
        <f>ROUND(C17/SUM(C17:D17),2)</f>
        <v>0.5</v>
      </c>
      <c r="D18" s="137">
        <f>1-C18</f>
        <v>0.5</v>
      </c>
      <c r="E18" s="3215" t="s">
        <v>2872</v>
      </c>
      <c r="F18" s="3216"/>
      <c r="G18" s="3216"/>
      <c r="H18" s="3216"/>
      <c r="I18" s="3216"/>
      <c r="K18" s="307" t="s">
        <v>1976</v>
      </c>
      <c r="L18" s="307">
        <f>IF(C1="",'数据-汇总表'!E3,SUMIF(项目类型,C1,'数据-汇总表'!E17:E26)+SUMIF(项目类型,C1,'数据-汇总表'!I17:I26))</f>
        <v>117964.09999999983</v>
      </c>
      <c r="M18" s="307">
        <f>IF(C1="",'数据-汇总表'!E3,SUMIF(项目类型,C1,'数据-汇总表'!E17:E26))</f>
        <v>117964.09999999983</v>
      </c>
    </row>
    <row r="19" spans="1:36" ht="15">
      <c r="A19" s="1946" t="s">
        <v>1977</v>
      </c>
      <c r="B19" s="1947" t="s">
        <v>1978</v>
      </c>
      <c r="C19" s="138">
        <f ca="1">SUMIF(INDIRECT("'"&amp;C4&amp;"'"&amp;"!A:A"),结果表!B19,INDIRECT("'"&amp;C4&amp;"'"&amp;"!B:B"))</f>
        <v>134008</v>
      </c>
      <c r="D19" s="139">
        <f ca="1">SUMIF(INDIRECT("'"&amp;D4&amp;"'"&amp;"!A:A"),结果表!B19,INDIRECT("'"&amp;D4&amp;"'"&amp;"!B:B"))</f>
        <v>142410</v>
      </c>
      <c r="E19" s="1946" t="s">
        <v>1979</v>
      </c>
      <c r="F19" s="1947" t="s">
        <v>1978</v>
      </c>
      <c r="G19" s="140">
        <f ca="1">ROUND(C19*$C$18+D19*$D$18,0)</f>
        <v>138209</v>
      </c>
      <c r="H19" s="1948" t="s">
        <v>1980</v>
      </c>
      <c r="I19" s="133"/>
      <c r="K19" s="307" t="s">
        <v>1981</v>
      </c>
      <c r="L19" s="307">
        <f>IF(C1="",'数据-汇总表'!D3,SUMIF(项目类型,C1,'数据-汇总表'!D17:D26)+SUMIF(项目类型,C1,'数据-汇总表'!H17:H27))</f>
        <v>42598.89</v>
      </c>
      <c r="M19" s="307">
        <f>IF(C1="",'数据-汇总表'!D3,SUMIF(项目类型,C1,'数据-汇总表'!D17:D26))</f>
        <v>42598.89</v>
      </c>
    </row>
    <row r="20" spans="1:36" ht="15">
      <c r="A20" s="1949"/>
      <c r="B20" s="1156" t="s">
        <v>1982</v>
      </c>
      <c r="C20" s="141">
        <f ca="1">SUMIF(INDIRECT("'"&amp;C4&amp;"'"&amp;"!A:A"),结果表!B20,INDIRECT("'"&amp;C4&amp;"'"&amp;"!B:B"))</f>
        <v>11360</v>
      </c>
      <c r="D20" s="142">
        <f ca="1">SUMIF(INDIRECT("'"&amp;D4&amp;"'"&amp;"!A:A"),结果表!B20,INDIRECT("'"&amp;D4&amp;"'"&amp;"!B:B"))</f>
        <v>12072</v>
      </c>
      <c r="E20" s="1949"/>
      <c r="F20" s="1156" t="s">
        <v>1982</v>
      </c>
      <c r="G20" s="143">
        <f ca="1">ROUND(C20*$C$18+D20*$D$18,0)</f>
        <v>11716</v>
      </c>
      <c r="H20" s="916" t="s">
        <v>1983</v>
      </c>
      <c r="I20" s="133"/>
    </row>
    <row r="21" spans="1:36" ht="15" customHeight="1" thickBot="1">
      <c r="A21" s="936"/>
      <c r="B21" s="1950" t="s">
        <v>1984</v>
      </c>
      <c r="C21" s="727">
        <f ca="1">ROUND(C19*10000/L19,0)</f>
        <v>31458</v>
      </c>
      <c r="D21" s="728">
        <f ca="1">ROUND(D19*10000/L19,0)</f>
        <v>33430</v>
      </c>
      <c r="E21" s="936"/>
      <c r="F21" s="1950" t="s">
        <v>1984</v>
      </c>
      <c r="G21" s="144">
        <f ca="1">ROUND(G19*10000/L19,0)</f>
        <v>32444</v>
      </c>
      <c r="H21" s="1951" t="s">
        <v>1983</v>
      </c>
      <c r="I21" s="133"/>
    </row>
    <row r="22" spans="1:36" ht="15" thickBot="1">
      <c r="A22" s="1873" t="s">
        <v>1985</v>
      </c>
      <c r="B22" s="1952"/>
      <c r="C22" s="1953"/>
      <c r="D22" s="729">
        <f ca="1">IF(C19&lt;D19,D19/C19-1,C19/D19-1)</f>
        <v>6.2697749388096247E-2</v>
      </c>
      <c r="E22" s="133"/>
      <c r="F22" s="133"/>
      <c r="G22" s="133"/>
      <c r="H22" s="133"/>
      <c r="I22" s="133"/>
    </row>
    <row r="23" spans="1:36" ht="13.5" thickBot="1">
      <c r="A23" s="1932"/>
      <c r="B23" s="1932"/>
      <c r="C23" s="1932"/>
      <c r="D23" s="1932"/>
      <c r="E23" s="133"/>
      <c r="F23" s="133"/>
      <c r="G23" s="133"/>
      <c r="H23" s="133"/>
      <c r="I23" s="133"/>
    </row>
    <row r="24" spans="1:36" ht="14.25">
      <c r="A24" s="3199" t="s">
        <v>1986</v>
      </c>
      <c r="B24" s="1947" t="s">
        <v>1978</v>
      </c>
      <c r="C24" s="140">
        <f>IF(B30=0,0,D30)</f>
        <v>0</v>
      </c>
      <c r="D24" s="1954"/>
      <c r="E24" s="133"/>
      <c r="F24" s="133"/>
      <c r="G24" s="133"/>
      <c r="H24" s="133"/>
      <c r="I24" s="133"/>
    </row>
    <row r="25" spans="1:36" ht="14.25">
      <c r="A25" s="3200"/>
      <c r="B25" s="1156" t="s">
        <v>1982</v>
      </c>
      <c r="C25" s="145">
        <f>IF(B30=0,0,C30)</f>
        <v>0</v>
      </c>
      <c r="D25" s="1955"/>
      <c r="E25" s="133"/>
      <c r="F25" s="133"/>
      <c r="G25" s="133"/>
      <c r="H25" s="133"/>
      <c r="I25" s="133"/>
    </row>
    <row r="26" spans="1:36" ht="13.5" customHeight="1">
      <c r="A26" s="1956" t="s">
        <v>1987</v>
      </c>
      <c r="B26" s="146" t="s">
        <v>1988</v>
      </c>
      <c r="C26" s="146" t="s">
        <v>1989</v>
      </c>
      <c r="D26" s="147" t="s">
        <v>1990</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1991</v>
      </c>
      <c r="B30" s="146"/>
      <c r="C30" s="146"/>
      <c r="D30" s="146"/>
      <c r="E30" s="2518" t="s">
        <v>2873</v>
      </c>
      <c r="F30" s="133"/>
      <c r="G30" s="133"/>
      <c r="H30" s="133"/>
      <c r="I30" s="133"/>
    </row>
    <row r="31" spans="1:36" s="2524" customFormat="1" ht="26.45" customHeight="1" thickTop="1" thickBot="1">
      <c r="A31" s="2519"/>
      <c r="B31" s="2520"/>
      <c r="C31" s="2520"/>
      <c r="D31" s="2520"/>
      <c r="E31" s="2520"/>
      <c r="F31" s="2520"/>
      <c r="G31" s="2520"/>
      <c r="H31" s="2520"/>
      <c r="I31" s="2521" t="s">
        <v>2874</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8" t="s">
        <v>1992</v>
      </c>
      <c r="B32" s="1959"/>
      <c r="C32" s="148">
        <f ca="1">IF(D32="总价",G19-C24,G20-C25)</f>
        <v>138209</v>
      </c>
      <c r="D32" s="1960" t="s">
        <v>4756</v>
      </c>
      <c r="E32" s="133"/>
      <c r="F32" s="133"/>
      <c r="G32" s="133"/>
      <c r="H32" s="133"/>
      <c r="I32" s="133"/>
    </row>
    <row r="33" spans="1:15" ht="15">
      <c r="A33" s="893" t="s">
        <v>1993</v>
      </c>
      <c r="B33" s="1961"/>
      <c r="C33" s="1962" t="s">
        <v>4757</v>
      </c>
      <c r="D33" s="1963" t="s">
        <v>4688</v>
      </c>
      <c r="E33" s="1964" t="s">
        <v>1994</v>
      </c>
      <c r="F33" s="1965" t="str">
        <f>IF(D32="楼面单价","取值（单价）","取值（总价）")</f>
        <v>取值（总价）</v>
      </c>
      <c r="G33" s="133"/>
      <c r="H33" s="133"/>
      <c r="I33" s="133"/>
    </row>
    <row r="34" spans="1:15" ht="15">
      <c r="A34" s="1966"/>
      <c r="B34" s="1967" t="s">
        <v>1995</v>
      </c>
      <c r="C34" s="152">
        <f>IF(C33="自定义",F34,C32-C35)</f>
        <v>0</v>
      </c>
      <c r="D34" s="969">
        <f ca="1">IF(C33="自定义",ROUND(C34/C32,3),IF(C33="收益比率",SUMIF(INDIRECT("'"&amp;D33&amp;"'"&amp;"!b:b"),"土地收益比率",INDIRECT("'"&amp;D33&amp;"'"&amp;"!c:c")),SUMIF(INDIRECT("'"&amp;D33&amp;"'"&amp;"!b:b"),"土地成本比率",INDIRECT("'"&amp;D33&amp;"'"&amp;"!c:c"))))</f>
        <v>0</v>
      </c>
      <c r="E34" s="1968" t="s">
        <v>1996</v>
      </c>
      <c r="F34" s="1497"/>
      <c r="G34" s="133"/>
      <c r="H34" s="133"/>
      <c r="I34" s="133"/>
    </row>
    <row r="35" spans="1:15" ht="15.75" thickBot="1">
      <c r="A35" s="1969"/>
      <c r="B35" s="1970" t="s">
        <v>1997</v>
      </c>
      <c r="C35" s="1331">
        <f>IF(C33="自定义",F35,ROUND(C32*D35,0))</f>
        <v>0</v>
      </c>
      <c r="D35" s="1332">
        <f ca="1">IF(C33="自定义",ROUND(C35/C32,3),IF(C33="收益比率",SUMIF(INDIRECT("'"&amp;D33&amp;"'"&amp;"!b:b"),"建筑物收益比率",INDIRECT("'"&amp;D33&amp;"'"&amp;"!c:c")),SUMIF(INDIRECT("'"&amp;D33&amp;"'"&amp;"!b:b"),"建筑物成本比率",INDIRECT("'"&amp;D33&amp;"'"&amp;"!c:c"))))</f>
        <v>0</v>
      </c>
      <c r="E35" s="1971" t="s">
        <v>1998</v>
      </c>
      <c r="F35" s="158"/>
      <c r="G35" s="133"/>
      <c r="H35" s="133"/>
      <c r="I35" s="133"/>
    </row>
    <row r="36" spans="1:15" ht="15.75" thickBot="1">
      <c r="A36" s="3219" t="s">
        <v>1999</v>
      </c>
      <c r="B36" s="1972" t="s">
        <v>2000</v>
      </c>
      <c r="C36" s="149"/>
      <c r="D36" s="1973"/>
      <c r="E36" s="1974"/>
      <c r="F36" s="1975"/>
      <c r="G36" s="133"/>
      <c r="H36" s="133"/>
      <c r="I36" s="133"/>
    </row>
    <row r="37" spans="1:15" ht="15.75" thickBot="1">
      <c r="A37" s="3220"/>
      <c r="B37" s="1859" t="s">
        <v>2001</v>
      </c>
      <c r="C37" s="151"/>
      <c r="D37" s="1300"/>
      <c r="E37" s="1300"/>
      <c r="F37" s="1975"/>
      <c r="G37" s="133"/>
      <c r="H37" s="133"/>
      <c r="I37" s="133"/>
    </row>
    <row r="38" spans="1:15" ht="15.75" thickBot="1">
      <c r="A38" s="3221"/>
      <c r="B38" s="1976" t="s">
        <v>2002</v>
      </c>
      <c r="C38" s="682"/>
      <c r="D38" s="1977" t="s">
        <v>2003</v>
      </c>
      <c r="E38" s="1300"/>
      <c r="F38" s="1975"/>
      <c r="G38" s="133"/>
      <c r="H38" s="133"/>
      <c r="I38" s="133"/>
    </row>
    <row r="39" spans="1:15" ht="15">
      <c r="A39" s="1949" t="s">
        <v>2004</v>
      </c>
      <c r="B39" s="1978" t="s">
        <v>2005</v>
      </c>
      <c r="C39" s="1979" t="s">
        <v>2006</v>
      </c>
      <c r="D39" s="1979" t="s">
        <v>2007</v>
      </c>
      <c r="E39" s="1980" t="s">
        <v>2008</v>
      </c>
      <c r="F39" s="1975"/>
      <c r="G39" s="133"/>
      <c r="H39" s="133"/>
      <c r="I39" s="133"/>
    </row>
    <row r="40" spans="1:15" ht="14.25">
      <c r="A40" s="1981" t="s">
        <v>2009</v>
      </c>
      <c r="B40" s="153"/>
      <c r="C40" s="154"/>
      <c r="D40" s="154"/>
      <c r="E40" s="155"/>
      <c r="F40" s="1975"/>
      <c r="G40" s="133"/>
      <c r="H40" s="133"/>
      <c r="I40" s="133"/>
    </row>
    <row r="41" spans="1:15" ht="14.25">
      <c r="A41" s="1981" t="s">
        <v>2010</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2011</v>
      </c>
      <c r="B44" s="1986"/>
      <c r="C44" s="1986"/>
      <c r="D44" s="1987"/>
      <c r="E44" s="1987"/>
      <c r="F44" s="1988"/>
      <c r="G44" s="1988"/>
      <c r="H44" s="1988"/>
      <c r="I44" s="1988"/>
      <c r="J44" s="1989" t="s">
        <v>2012</v>
      </c>
      <c r="K44" s="1990"/>
      <c r="L44" s="1990"/>
      <c r="M44" s="1990"/>
      <c r="N44" s="1990"/>
      <c r="O44" s="1990"/>
    </row>
    <row r="45" spans="1:15" ht="14.25" customHeight="1" thickBot="1">
      <c r="A45" s="3196" t="s">
        <v>2013</v>
      </c>
      <c r="B45" s="3197"/>
      <c r="C45" s="3198"/>
      <c r="D45" s="159">
        <f ca="1">ROUND(H101*F45,0)</f>
        <v>138209</v>
      </c>
      <c r="E45" s="160" t="s">
        <v>2014</v>
      </c>
      <c r="F45" s="161">
        <v>1</v>
      </c>
      <c r="G45" s="162" t="s">
        <v>2015</v>
      </c>
      <c r="H45" s="133"/>
      <c r="I45" s="133"/>
      <c r="J45" s="3277" t="s">
        <v>2016</v>
      </c>
      <c r="K45" s="3277"/>
      <c r="L45" s="3277"/>
      <c r="M45" s="3277"/>
      <c r="N45" s="3277"/>
      <c r="O45" s="3277"/>
    </row>
    <row r="46" spans="1:15" ht="14.25" customHeight="1">
      <c r="A46" s="3193" t="s">
        <v>2017</v>
      </c>
      <c r="B46" s="3194"/>
      <c r="C46" s="3194"/>
      <c r="D46" s="3194"/>
      <c r="E46" s="3194"/>
      <c r="F46" s="3194"/>
      <c r="G46" s="3195"/>
      <c r="H46" s="1991"/>
      <c r="I46" s="163"/>
      <c r="J46" s="2746">
        <v>1</v>
      </c>
      <c r="K46" s="3258" t="s">
        <v>2018</v>
      </c>
      <c r="L46" s="3258"/>
      <c r="M46" s="3278"/>
      <c r="N46" s="3278"/>
      <c r="O46" s="3278"/>
    </row>
    <row r="47" spans="1:15" ht="12" customHeight="1">
      <c r="A47" s="164" t="s">
        <v>2019</v>
      </c>
      <c r="B47" s="165"/>
      <c r="C47" s="166"/>
      <c r="D47" s="1246" t="s">
        <v>2020</v>
      </c>
      <c r="E47" s="307" t="s">
        <v>2021</v>
      </c>
      <c r="F47" s="167" t="s">
        <v>2022</v>
      </c>
      <c r="G47" s="2769" t="s">
        <v>2023</v>
      </c>
      <c r="H47" s="2770"/>
      <c r="I47" s="163"/>
      <c r="J47" s="2746">
        <v>2</v>
      </c>
      <c r="K47" s="3258" t="s">
        <v>2024</v>
      </c>
      <c r="L47" s="3258"/>
      <c r="M47" s="3279">
        <f>'数据-取费表'!B2</f>
        <v>44478</v>
      </c>
      <c r="N47" s="3279"/>
      <c r="O47" s="3279"/>
    </row>
    <row r="48" spans="1:15" ht="25.5">
      <c r="A48" s="3224" t="s">
        <v>2025</v>
      </c>
      <c r="B48" s="3207"/>
      <c r="C48" s="3207"/>
      <c r="D48" s="2544" t="b">
        <f>IF(H48="情况1",0,IF(H48="情况2",D52,IF(H48="情况3",D53,IF(H48="情况4",D54))))</f>
        <v>0</v>
      </c>
      <c r="E48" s="2554" t="str">
        <f>IF(H48="情况4","(销售额-原购置价)×税（费）率","销售额×税（费）率")</f>
        <v>销售额×税（费）率</v>
      </c>
      <c r="F48" s="2771">
        <f>IF(H48="情况1","免征",'数据-取费表'!B41)</f>
        <v>5.6000000000000001E-2</v>
      </c>
      <c r="G48" s="2772" t="s">
        <v>2026</v>
      </c>
      <c r="H48" s="2773"/>
      <c r="I48" s="1991"/>
      <c r="J48" s="2746">
        <v>3</v>
      </c>
      <c r="K48" s="3258" t="s">
        <v>2027</v>
      </c>
      <c r="L48" s="3258"/>
      <c r="M48" s="3280">
        <f ca="1">H101</f>
        <v>138209</v>
      </c>
      <c r="N48" s="3280"/>
      <c r="O48" s="3280"/>
    </row>
    <row r="49" spans="1:35" ht="25.5" customHeight="1">
      <c r="A49" s="2553" t="s">
        <v>2028</v>
      </c>
      <c r="B49" s="3191" t="s">
        <v>2029</v>
      </c>
      <c r="C49" s="3191"/>
      <c r="D49" s="1774">
        <v>0</v>
      </c>
      <c r="E49" s="329" t="s">
        <v>2030</v>
      </c>
      <c r="F49" s="2647" t="s">
        <v>34</v>
      </c>
      <c r="G49" s="3264"/>
      <c r="H49" s="2525" t="s">
        <v>2875</v>
      </c>
      <c r="I49" s="2526"/>
      <c r="J49" s="2746">
        <v>4</v>
      </c>
      <c r="K49" s="3258" t="str">
        <f>IF(项目基本情况!E8="房地产抵押价值","房地产抵押价值","抵押担保权已注销时的房地产抵押价值")</f>
        <v>抵押担保权已注销时的房地产抵押价值</v>
      </c>
      <c r="L49" s="3258"/>
      <c r="M49" s="3280" t="str">
        <f>IF(项目基本情况!E8="房地产抵押价值",H107,H109)</f>
        <v>——</v>
      </c>
      <c r="N49" s="3280"/>
      <c r="O49" s="3280"/>
    </row>
    <row r="50" spans="1:35" ht="25.5" customHeight="1">
      <c r="A50" s="2774"/>
      <c r="B50" s="3191" t="s">
        <v>2031</v>
      </c>
      <c r="C50" s="3191"/>
      <c r="D50" s="2775"/>
      <c r="E50" s="337"/>
      <c r="F50" s="2647"/>
      <c r="G50" s="3265"/>
      <c r="H50" s="2527" t="s">
        <v>2876</v>
      </c>
      <c r="I50" s="2526"/>
      <c r="J50" s="3277" t="s">
        <v>2032</v>
      </c>
      <c r="K50" s="3277"/>
      <c r="L50" s="3277"/>
      <c r="M50" s="3277"/>
      <c r="N50" s="3277"/>
      <c r="O50" s="3277"/>
    </row>
    <row r="51" spans="1:35" ht="20.45" customHeight="1">
      <c r="A51" s="2776"/>
      <c r="B51" s="3191" t="s">
        <v>2033</v>
      </c>
      <c r="C51" s="3191"/>
      <c r="D51" s="1246"/>
      <c r="E51" s="332"/>
      <c r="F51" s="2647"/>
      <c r="G51" s="3266"/>
      <c r="H51" s="2527" t="s">
        <v>2877</v>
      </c>
      <c r="I51" s="2526"/>
      <c r="J51" s="2747" t="s">
        <v>2034</v>
      </c>
      <c r="K51" s="3258" t="s">
        <v>2035</v>
      </c>
      <c r="L51" s="3258"/>
      <c r="M51" s="2747" t="s">
        <v>2036</v>
      </c>
      <c r="N51" s="2747" t="s">
        <v>2037</v>
      </c>
      <c r="O51" s="2747" t="s">
        <v>2038</v>
      </c>
    </row>
    <row r="52" spans="1:35" ht="24" customHeight="1">
      <c r="A52" s="2555" t="s">
        <v>2039</v>
      </c>
      <c r="B52" s="3191" t="s">
        <v>2040</v>
      </c>
      <c r="C52" s="3191"/>
      <c r="D52" s="1246">
        <f ca="1">ROUND(D45*'数据-取费表'!B41/(1+'数据-取费表'!C42),0)</f>
        <v>7371</v>
      </c>
      <c r="E52" s="2554" t="s">
        <v>2041</v>
      </c>
      <c r="F52" s="2777">
        <f>'数据-取费表'!B41</f>
        <v>5.6000000000000001E-2</v>
      </c>
      <c r="G52" s="2778"/>
      <c r="H52" s="2767"/>
      <c r="I52" s="1992"/>
      <c r="J52" s="2746">
        <v>1</v>
      </c>
      <c r="K52" s="3259" t="s">
        <v>2042</v>
      </c>
      <c r="L52" s="3259"/>
      <c r="M52" s="2748" t="b">
        <f>D48</f>
        <v>0</v>
      </c>
      <c r="N52" s="2746" t="str">
        <f>E48</f>
        <v>销售额×税（费）率</v>
      </c>
      <c r="O52" s="2749">
        <f>F48</f>
        <v>5.6000000000000001E-2</v>
      </c>
    </row>
    <row r="53" spans="1:35" ht="12" customHeight="1">
      <c r="A53" s="2555" t="s">
        <v>2043</v>
      </c>
      <c r="B53" s="3217" t="s">
        <v>3027</v>
      </c>
      <c r="C53" s="3218"/>
      <c r="D53" s="1246">
        <f ca="1">ROUND(D45*'数据-取费表'!B41/(1+'数据-取费表'!C42),0)</f>
        <v>7371</v>
      </c>
      <c r="E53" s="2554" t="s">
        <v>2041</v>
      </c>
      <c r="F53" s="2777">
        <f>'数据-取费表'!B41</f>
        <v>5.6000000000000001E-2</v>
      </c>
      <c r="G53" s="2778"/>
      <c r="H53" s="2767"/>
      <c r="I53" s="1992"/>
      <c r="J53" s="2746">
        <v>2</v>
      </c>
      <c r="K53" s="3259" t="s">
        <v>2044</v>
      </c>
      <c r="L53" s="3259"/>
      <c r="M53" s="2748">
        <f t="shared" ref="M53:O54" ca="1" si="0">D55</f>
        <v>69</v>
      </c>
      <c r="N53" s="2746" t="str">
        <f t="shared" si="0"/>
        <v>销售额×税（费）率</v>
      </c>
      <c r="O53" s="2749" t="str">
        <f t="shared" si="0"/>
        <v>免征</v>
      </c>
    </row>
    <row r="54" spans="1:35" ht="12" customHeight="1">
      <c r="A54" s="2555" t="s">
        <v>2045</v>
      </c>
      <c r="B54" s="3217" t="s">
        <v>3028</v>
      </c>
      <c r="C54" s="3218"/>
      <c r="D54" s="1246">
        <f ca="1">C68</f>
        <v>7371</v>
      </c>
      <c r="E54" s="332" t="s">
        <v>2046</v>
      </c>
      <c r="F54" s="2777">
        <f>'数据-取费表'!B41</f>
        <v>5.6000000000000001E-2</v>
      </c>
      <c r="G54" s="2778"/>
      <c r="H54" s="2779"/>
      <c r="I54" s="1992"/>
      <c r="J54" s="2746">
        <v>3</v>
      </c>
      <c r="K54" s="3259" t="s">
        <v>2047</v>
      </c>
      <c r="L54" s="3259"/>
      <c r="M54" s="2748">
        <f t="shared" ca="1" si="0"/>
        <v>78226</v>
      </c>
      <c r="N54" s="2746" t="str">
        <f t="shared" si="0"/>
        <v>增值额×税（费）率</v>
      </c>
      <c r="O54" s="2750" t="str">
        <f t="shared" si="0"/>
        <v>免征</v>
      </c>
    </row>
    <row r="55" spans="1:35" ht="24" customHeight="1">
      <c r="A55" s="3206" t="s">
        <v>2048</v>
      </c>
      <c r="B55" s="3207"/>
      <c r="C55" s="3207"/>
      <c r="D55" s="2544">
        <f ca="1">IF(H55="个人住宅",0,ROUND(D45*I55,0))</f>
        <v>69</v>
      </c>
      <c r="E55" s="2554" t="s">
        <v>2049</v>
      </c>
      <c r="F55" s="2777" t="str">
        <f>IF(H55="正常",I55,"免征")</f>
        <v>免征</v>
      </c>
      <c r="G55" s="2778"/>
      <c r="H55" s="2773"/>
      <c r="I55" s="169">
        <f>'数据-取费表'!B49</f>
        <v>5.0000000000000001E-4</v>
      </c>
      <c r="J55" s="2746">
        <f>IF(H59="非个人房产","",4)</f>
        <v>4</v>
      </c>
      <c r="K55" s="3259" t="str">
        <f>IF(H59="非个人房产","——","个人所得税")</f>
        <v>个人所得税</v>
      </c>
      <c r="L55" s="3259"/>
      <c r="M55" s="2751">
        <f ca="1">D59</f>
        <v>1316</v>
      </c>
      <c r="N55" s="2225" t="str">
        <f>E59</f>
        <v>差额计税</v>
      </c>
      <c r="O55" s="2752">
        <f>F59</f>
        <v>0.01</v>
      </c>
    </row>
    <row r="56" spans="1:35" ht="24.75">
      <c r="A56" s="3206" t="s">
        <v>2050</v>
      </c>
      <c r="B56" s="3207"/>
      <c r="C56" s="3207"/>
      <c r="D56" s="2544">
        <f ca="1">IF(H56="个人住宅",D57,D58)</f>
        <v>78226</v>
      </c>
      <c r="E56" s="2554" t="s">
        <v>2051</v>
      </c>
      <c r="F56" s="2777" t="str">
        <f>IF(H56="正常",F58,"免征")</f>
        <v>免征</v>
      </c>
      <c r="G56" s="2780" t="s">
        <v>2052</v>
      </c>
      <c r="H56" s="2781"/>
      <c r="I56" s="1993"/>
      <c r="J56" s="2746" t="str">
        <f>IF(项目基本情况!K6="上海银行",IF(J55="",4,J55+1),"")</f>
        <v/>
      </c>
      <c r="K56" s="3282" t="str">
        <f>IF(项目基本情况!K6="上海银行","其他处置费用","")</f>
        <v/>
      </c>
      <c r="L56" s="3283"/>
      <c r="M56" s="2748" t="str">
        <f>IF(项目基本情况!K6="上海银行",M69,"")</f>
        <v/>
      </c>
      <c r="N56" s="3282" t="str">
        <f>IF(项目基本情况!K6="上海银行","包含处置中涉及的律师、诉讼、拍卖、评估等费用","")</f>
        <v/>
      </c>
      <c r="O56" s="3285"/>
    </row>
    <row r="57" spans="1:35" ht="12.75">
      <c r="A57" s="2555" t="s">
        <v>2028</v>
      </c>
      <c r="B57" s="3217" t="s">
        <v>2053</v>
      </c>
      <c r="C57" s="3218"/>
      <c r="D57" s="1774">
        <v>0</v>
      </c>
      <c r="E57" s="329" t="s">
        <v>2030</v>
      </c>
      <c r="F57" s="307"/>
      <c r="G57" s="2778"/>
      <c r="H57" s="2782"/>
      <c r="I57" s="1993"/>
      <c r="J57" s="3259">
        <f>IF(AND(J55="",J56=""),4,IF(项目基本情况!K6="上海银行",结果表!J56+1,结果表!J55+1))</f>
        <v>5</v>
      </c>
      <c r="K57" s="3259" t="s">
        <v>2054</v>
      </c>
      <c r="L57" s="2753" t="s">
        <v>2055</v>
      </c>
      <c r="M57" s="2754"/>
      <c r="N57" s="2755">
        <f ca="1">SUMIF(M52:M56,"&lt;9e307")</f>
        <v>79611</v>
      </c>
      <c r="O57" s="2756"/>
      <c r="P57" s="2916" t="e">
        <f ca="1">N57/M49</f>
        <v>#VALUE!</v>
      </c>
    </row>
    <row r="58" spans="1:35" ht="24.75">
      <c r="A58" s="2555" t="s">
        <v>2039</v>
      </c>
      <c r="B58" s="3217" t="s">
        <v>2056</v>
      </c>
      <c r="C58" s="3191"/>
      <c r="D58" s="2544">
        <f ca="1">IF(H58="转让取得",C81,C97)</f>
        <v>78226</v>
      </c>
      <c r="E58" s="2554" t="s">
        <v>2051</v>
      </c>
      <c r="F58" s="307" t="s">
        <v>34</v>
      </c>
      <c r="G58" s="2778"/>
      <c r="H58" s="2781"/>
      <c r="I58" s="1993"/>
      <c r="J58" s="3259"/>
      <c r="K58" s="3259"/>
      <c r="L58" s="2753" t="s">
        <v>2057</v>
      </c>
      <c r="M58" s="2757"/>
      <c r="N58" s="2758" t="str">
        <f ca="1">NUMBERSTRING(INT(N57*10000),2)&amp;"元整"</f>
        <v>柒亿玖仟陆佰壹拾壹万元整</v>
      </c>
      <c r="O58" s="2759"/>
    </row>
    <row r="59" spans="1:35" ht="24.75" thickBot="1">
      <c r="A59" s="3262" t="s">
        <v>2058</v>
      </c>
      <c r="B59" s="3263"/>
      <c r="C59" s="3263"/>
      <c r="D59" s="2783">
        <f ca="1">IF(H59="非个人房产","——",IF(H59="个人住宅（满五唯一有凭证）",0,IF(H59="个人其他（无凭证）",ROUND(D45*F59,0),ROUND(C67*F59,0))))</f>
        <v>1316</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2052</v>
      </c>
      <c r="H59" s="2529"/>
      <c r="I59" s="2528" t="s">
        <v>2878</v>
      </c>
      <c r="J59" s="3260">
        <f>J57+1</f>
        <v>6</v>
      </c>
      <c r="K59" s="3259" t="s">
        <v>2059</v>
      </c>
      <c r="L59" s="2746" t="s">
        <v>2055</v>
      </c>
      <c r="M59" s="2760"/>
      <c r="N59" s="2761" t="e">
        <f ca="1">M49-N57</f>
        <v>#VALUE!</v>
      </c>
      <c r="O59" s="2762"/>
    </row>
    <row r="60" spans="1:35" ht="12" customHeight="1">
      <c r="A60" s="1994"/>
      <c r="B60" s="1932"/>
      <c r="C60" s="1932"/>
      <c r="D60" s="1932"/>
      <c r="E60" s="1762"/>
      <c r="F60" s="1993"/>
      <c r="G60" s="1993"/>
      <c r="H60" s="1995"/>
      <c r="I60" s="133"/>
      <c r="J60" s="3261"/>
      <c r="K60" s="3259"/>
      <c r="L60" s="2753" t="s">
        <v>2057</v>
      </c>
      <c r="M60" s="2757"/>
      <c r="N60" s="2758" t="e">
        <f ca="1">NUMBERSTRING(INT(N59*10000),2)&amp;"元整"</f>
        <v>#VALUE!</v>
      </c>
      <c r="O60" s="2759"/>
    </row>
    <row r="61" spans="1:35" ht="13.5" thickBot="1">
      <c r="A61" s="3204" t="s">
        <v>2060</v>
      </c>
      <c r="B61" s="3204"/>
      <c r="C61" s="3204"/>
      <c r="D61" s="3204"/>
      <c r="E61" s="3204"/>
      <c r="F61" s="1993"/>
      <c r="G61" s="1993"/>
      <c r="H61" s="1995"/>
      <c r="I61" s="133"/>
      <c r="J61" s="2746">
        <f>J59+1</f>
        <v>7</v>
      </c>
      <c r="K61" s="3259" t="s">
        <v>2061</v>
      </c>
      <c r="L61" s="3259"/>
      <c r="M61" s="2763"/>
      <c r="N61" s="2764" t="e">
        <f ca="1">ROUND(N59*10000/'数据-汇总表'!E3,0)</f>
        <v>#VALUE!</v>
      </c>
      <c r="O61" s="2765"/>
    </row>
    <row r="62" spans="1:35" ht="12.75">
      <c r="A62" s="3222" t="s">
        <v>2062</v>
      </c>
      <c r="B62" s="3223"/>
      <c r="C62" s="2206"/>
      <c r="D62" s="2206" t="s">
        <v>2063</v>
      </c>
      <c r="E62" s="170" t="s">
        <v>2064</v>
      </c>
      <c r="F62" s="1993"/>
      <c r="G62" s="1993"/>
      <c r="H62" s="1995"/>
      <c r="I62" s="133"/>
    </row>
    <row r="63" spans="1:35" ht="12.75">
      <c r="A63" s="177" t="s">
        <v>775</v>
      </c>
      <c r="B63" s="171" t="s">
        <v>2065</v>
      </c>
      <c r="C63" s="2787">
        <f ca="1">ROUND((C64+C65)/(1+'数据-取费表'!C42),0)</f>
        <v>131628</v>
      </c>
      <c r="D63" s="171"/>
      <c r="E63" s="172"/>
      <c r="F63" s="1993"/>
      <c r="G63" s="1993"/>
      <c r="H63" s="1995"/>
      <c r="I63" s="133"/>
      <c r="J63" s="3284" t="s">
        <v>2066</v>
      </c>
      <c r="K63" s="1500" t="s">
        <v>2067</v>
      </c>
      <c r="L63" s="1500" t="e">
        <f>IF(M49&gt;10000,M49*0.5%,IF(AND(M49&gt;1000,M49&lt;=10000),M49*1%,IF(AND(M49&gt;100,M49&lt;=1000),M49*3%,IF(AND(M49&gt;10,M49&lt;=100),M49*5%,M49*8%))))</f>
        <v>#VALUE!</v>
      </c>
      <c r="M63" s="307" t="e">
        <f>ROUND(L63,1)</f>
        <v>#VALUE!</v>
      </c>
      <c r="N63" s="2766"/>
      <c r="Z63" s="1937"/>
      <c r="AI63" s="1938"/>
    </row>
    <row r="64" spans="1:35" ht="14.25" customHeight="1">
      <c r="A64" s="173" t="s">
        <v>770</v>
      </c>
      <c r="B64" s="174" t="s">
        <v>2068</v>
      </c>
      <c r="C64" s="2788">
        <f ca="1">D45</f>
        <v>138209</v>
      </c>
      <c r="D64" s="174" t="s">
        <v>32</v>
      </c>
      <c r="E64" s="176"/>
      <c r="F64" s="1993"/>
      <c r="G64" s="1993"/>
      <c r="H64" s="1995"/>
      <c r="I64" s="133"/>
      <c r="J64" s="3284"/>
      <c r="K64" s="1500" t="s">
        <v>2069</v>
      </c>
      <c r="L64" s="1500"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67" t="s">
        <v>2070</v>
      </c>
      <c r="Z64" s="1937"/>
      <c r="AI64" s="1938"/>
    </row>
    <row r="65" spans="1:35" ht="14.25" customHeight="1">
      <c r="A65" s="173" t="s">
        <v>771</v>
      </c>
      <c r="B65" s="174" t="s">
        <v>2071</v>
      </c>
      <c r="C65" s="2789"/>
      <c r="D65" s="174"/>
      <c r="E65" s="176"/>
      <c r="F65" s="1993"/>
      <c r="G65" s="1993"/>
      <c r="H65" s="1995"/>
      <c r="I65" s="133"/>
      <c r="J65" s="3284"/>
      <c r="K65" s="1500" t="s">
        <v>2072</v>
      </c>
      <c r="L65" s="1500" t="e">
        <f>IF(M49&gt;1000,M49*0.1%,IF(AND(M49&gt;500,M49&lt;=1000),M49*0.5%,IF(AND(M49&gt;50,M49&lt;=500),M49*1%,IF(AND(M49&gt;1,M49&lt;=50),M49*1.5%))))</f>
        <v>#VALUE!</v>
      </c>
      <c r="M65" s="307" t="e">
        <f t="shared" si="1"/>
        <v>#VALUE!</v>
      </c>
      <c r="N65" s="2767" t="s">
        <v>2070</v>
      </c>
      <c r="Z65" s="1937"/>
      <c r="AI65" s="1938"/>
    </row>
    <row r="66" spans="1:35" ht="14.25" customHeight="1">
      <c r="A66" s="177" t="s">
        <v>772</v>
      </c>
      <c r="B66" s="178" t="s">
        <v>2073</v>
      </c>
      <c r="C66" s="2790"/>
      <c r="D66" s="178" t="s">
        <v>32</v>
      </c>
      <c r="E66" s="1508" t="s">
        <v>1337</v>
      </c>
      <c r="F66" s="1993"/>
      <c r="G66" s="1993"/>
      <c r="H66" s="1995"/>
      <c r="I66" s="133"/>
      <c r="J66" s="3284"/>
      <c r="K66" s="1500" t="s">
        <v>2074</v>
      </c>
      <c r="L66" s="1500" t="e">
        <f>M49*0.5%</f>
        <v>#VALUE!</v>
      </c>
      <c r="M66" s="307" t="e">
        <f>IF(L66&gt;0.5,0.5,ROUND(L66,0))</f>
        <v>#VALUE!</v>
      </c>
      <c r="N66" s="2767" t="s">
        <v>2075</v>
      </c>
      <c r="Z66" s="1937"/>
      <c r="AI66" s="1938"/>
    </row>
    <row r="67" spans="1:35" ht="14.25" customHeight="1">
      <c r="A67" s="177" t="s">
        <v>773</v>
      </c>
      <c r="B67" s="178" t="s">
        <v>2076</v>
      </c>
      <c r="C67" s="2791">
        <f ca="1">C63-C66</f>
        <v>131628</v>
      </c>
      <c r="D67" s="174" t="s">
        <v>32</v>
      </c>
      <c r="E67" s="176"/>
      <c r="F67" s="1993"/>
      <c r="G67" s="1993"/>
      <c r="H67" s="1995"/>
      <c r="I67" s="133"/>
      <c r="J67" s="3284"/>
      <c r="K67" s="1500" t="s">
        <v>2077</v>
      </c>
      <c r="L67" s="1500"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66"/>
      <c r="Z67" s="1937"/>
      <c r="AI67" s="1938"/>
    </row>
    <row r="68" spans="1:35" ht="14.25" customHeight="1" thickBot="1">
      <c r="A68" s="180" t="s">
        <v>774</v>
      </c>
      <c r="B68" s="181" t="s">
        <v>2078</v>
      </c>
      <c r="C68" s="2792">
        <f ca="1">IF(C67&lt;=0,0,ROUND(C67*D68,0))</f>
        <v>7371</v>
      </c>
      <c r="D68" s="2793">
        <f>'数据-取费表'!B41</f>
        <v>5.6000000000000001E-2</v>
      </c>
      <c r="E68" s="183"/>
      <c r="F68" s="1993"/>
      <c r="G68" s="1993"/>
      <c r="H68" s="1995"/>
      <c r="I68" s="133"/>
      <c r="J68" s="3284"/>
      <c r="K68" s="1500" t="s">
        <v>2079</v>
      </c>
      <c r="L68" s="1500" t="e">
        <f>IF(M49&gt;10000,M49*0.5%,IF(AND(M49&gt;5000,M49&lt;=10000),M49*1%,IF(AND(M49&gt;1000,M49&lt;=5000),M49*2%,IF(AND(M49&gt;200,M49&lt;=1000),M49*3%,M49*5%))))</f>
        <v>#VALUE!</v>
      </c>
      <c r="M68" s="307" t="e">
        <f>ROUND(L68,1)</f>
        <v>#VALUE!</v>
      </c>
      <c r="N68" s="2766"/>
      <c r="Z68" s="1937"/>
      <c r="AI68" s="1938"/>
    </row>
    <row r="69" spans="1:35" s="1957" customFormat="1" ht="16.5" customHeight="1">
      <c r="A69" s="1996"/>
      <c r="B69" s="1997"/>
      <c r="C69" s="1998"/>
      <c r="D69" s="1999"/>
      <c r="E69" s="2000"/>
      <c r="F69" s="1762"/>
      <c r="G69" s="1762"/>
      <c r="H69" s="1761"/>
      <c r="I69" s="1932"/>
      <c r="J69" s="3284"/>
      <c r="K69" s="1500" t="s">
        <v>2080</v>
      </c>
      <c r="L69" s="1500"/>
      <c r="M69" s="307" t="e">
        <f>ROUND(SUM(M63:M68),0)</f>
        <v>#VALUE!</v>
      </c>
      <c r="N69" s="2768" t="e">
        <f>M69/M49</f>
        <v>#VALUE!</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43" t="s">
        <v>2081</v>
      </c>
      <c r="B70" s="3244"/>
      <c r="C70" s="3244"/>
      <c r="D70" s="3244"/>
      <c r="E70" s="3244"/>
      <c r="F70" s="3244"/>
      <c r="G70" s="3244"/>
      <c r="H70" s="3244"/>
      <c r="I70" s="2001"/>
      <c r="J70" s="2917"/>
      <c r="K70" s="2917"/>
      <c r="L70" s="2917"/>
      <c r="M70" s="2917"/>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22" t="s">
        <v>2062</v>
      </c>
      <c r="B71" s="3223"/>
      <c r="C71" s="2206"/>
      <c r="D71" s="2206" t="s">
        <v>2063</v>
      </c>
      <c r="E71" s="184" t="s">
        <v>2064</v>
      </c>
      <c r="F71" s="185"/>
      <c r="G71" s="185"/>
      <c r="H71" s="186"/>
      <c r="I71" s="2005"/>
      <c r="J71" s="2917"/>
      <c r="K71" s="2917"/>
      <c r="L71" s="2917"/>
      <c r="M71" s="2917"/>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2082</v>
      </c>
      <c r="C72" s="2791">
        <f ca="1">ROUND(D45/(1+'数据-取费表'!C42),0)</f>
        <v>131628</v>
      </c>
      <c r="D72" s="174" t="s">
        <v>32</v>
      </c>
      <c r="E72" s="2551"/>
      <c r="F72" s="2550"/>
      <c r="G72" s="2550"/>
      <c r="H72" s="187"/>
      <c r="I72" s="2005"/>
      <c r="J72" s="2917"/>
      <c r="K72" s="2917"/>
      <c r="L72" s="2917"/>
      <c r="M72" s="2917"/>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2083</v>
      </c>
      <c r="C73" s="2791">
        <f ca="1">C74+C78</f>
        <v>790</v>
      </c>
      <c r="D73" s="174" t="s">
        <v>32</v>
      </c>
      <c r="E73" s="2551"/>
      <c r="F73" s="2550"/>
      <c r="G73" s="2550"/>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2084</v>
      </c>
      <c r="C74" s="174">
        <f>ROUND(IF(G77="2016年5月1日后购买",C75/(1+'数据-取费表'!C42)+C76+C77,C75+C76+C77),0)</f>
        <v>0</v>
      </c>
      <c r="D74" s="174" t="s">
        <v>32</v>
      </c>
      <c r="E74" s="2551"/>
      <c r="F74" s="2550"/>
      <c r="G74" s="2550"/>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2085</v>
      </c>
      <c r="C75" s="2794"/>
      <c r="D75" s="174" t="s">
        <v>32</v>
      </c>
      <c r="E75" s="189" t="s">
        <v>2086</v>
      </c>
      <c r="F75" s="2795"/>
      <c r="G75" s="189" t="s">
        <v>2087</v>
      </c>
      <c r="H75" s="2796"/>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2088</v>
      </c>
      <c r="C76" s="174">
        <f>IF(F75="购房发票",ROUND(C75*H75*D76,0),0)</f>
        <v>0</v>
      </c>
      <c r="D76" s="2797">
        <v>0.05</v>
      </c>
      <c r="E76" s="3217" t="s">
        <v>2089</v>
      </c>
      <c r="F76" s="3191"/>
      <c r="G76" s="3191"/>
      <c r="H76" s="3242"/>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2090</v>
      </c>
      <c r="C77" s="174">
        <f>ROUND(IF(G77="个人住宅",0,IF(G77="2016年5月1日前购买",C75*D77,C75*D77/(1+'数据-取费表'!C42))),0)</f>
        <v>0</v>
      </c>
      <c r="D77" s="2798">
        <f>'数据-取费表'!B48+'数据-取费表'!B49</f>
        <v>3.0499999999999999E-2</v>
      </c>
      <c r="E77" s="2544" t="s">
        <v>2091</v>
      </c>
      <c r="F77" s="191"/>
      <c r="G77" s="2007"/>
      <c r="H77" s="2552"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2092</v>
      </c>
      <c r="C78" s="2799">
        <f ca="1">ROUND(D45*D78/(1+'数据-取费表'!C42),0)</f>
        <v>790</v>
      </c>
      <c r="D78" s="2800">
        <f>'数据-取费表'!B43</f>
        <v>6.000000000000001E-3</v>
      </c>
      <c r="E78" s="3201" t="s">
        <v>2093</v>
      </c>
      <c r="F78" s="3202"/>
      <c r="G78" s="3202"/>
      <c r="H78" s="3211"/>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779</v>
      </c>
      <c r="B79" s="178" t="s">
        <v>2094</v>
      </c>
      <c r="C79" s="2791">
        <f ca="1">C72-C73</f>
        <v>130838</v>
      </c>
      <c r="D79" s="174" t="s">
        <v>32</v>
      </c>
      <c r="E79" s="2551"/>
      <c r="F79" s="2550"/>
      <c r="G79" s="2550"/>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2095</v>
      </c>
      <c r="C80" s="2801">
        <f ca="1">IF(C79&lt;=0,0,C79/C73)</f>
        <v>165.61772151898734</v>
      </c>
      <c r="D80" s="174"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2096</v>
      </c>
      <c r="C81" s="2802">
        <f ca="1">ROUND(IF(C79&lt;=0,0,IF(C80&gt;=200%,C79*60%-C73*35%,IF(C80&gt;=100%,C79*50%-C73*15%,IF(C80&gt;=50%,C79*40%-C73*5%,IF(C80&lt;50%,C79*30%,0))))),0)</f>
        <v>78226</v>
      </c>
      <c r="D81" s="280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3" t="s">
        <v>2097</v>
      </c>
      <c r="B83" s="3244"/>
      <c r="C83" s="3244"/>
      <c r="D83" s="3244"/>
      <c r="E83" s="3244"/>
      <c r="F83" s="3244"/>
      <c r="G83" s="3244"/>
      <c r="H83" s="3244"/>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22" t="s">
        <v>2062</v>
      </c>
      <c r="B84" s="3223"/>
      <c r="C84" s="2206"/>
      <c r="D84" s="2206" t="s">
        <v>2063</v>
      </c>
      <c r="E84" s="184" t="s">
        <v>2064</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2082</v>
      </c>
      <c r="C85" s="2791">
        <f ca="1">ROUND(D45/(1+'数据-取费表'!C42),0)</f>
        <v>131628</v>
      </c>
      <c r="D85" s="174" t="s">
        <v>32</v>
      </c>
      <c r="E85" s="2551"/>
      <c r="F85" s="2550"/>
      <c r="G85" s="2550"/>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2083</v>
      </c>
      <c r="C86" s="2791">
        <f ca="1">IF(H88="仅含出让金",C87+C90+C91+C92+C93+C94,C87+C91+C92+C93+C94)</f>
        <v>790</v>
      </c>
      <c r="D86" s="2804"/>
      <c r="E86" s="2551"/>
      <c r="F86" s="2550"/>
      <c r="G86" s="2550"/>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2098</v>
      </c>
      <c r="C87" s="2799">
        <f>C88+C89</f>
        <v>0</v>
      </c>
      <c r="D87" s="2800"/>
      <c r="E87" s="2546"/>
      <c r="F87" s="2547"/>
      <c r="G87" s="2547"/>
      <c r="H87" s="2548"/>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2099</v>
      </c>
      <c r="C88" s="2805"/>
      <c r="D88" s="2800"/>
      <c r="E88" s="198" t="s">
        <v>2100</v>
      </c>
      <c r="F88" s="2547"/>
      <c r="G88" s="199" t="s">
        <v>2101</v>
      </c>
      <c r="H88" s="2009"/>
      <c r="I88" s="2006"/>
      <c r="J88" s="2744" t="s">
        <v>3024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2090</v>
      </c>
      <c r="C89" s="2799">
        <f>ROUND(C88*D89,0)</f>
        <v>0</v>
      </c>
      <c r="D89" s="2800">
        <f>'数据-取费表'!B48+'数据-取费表'!B49</f>
        <v>3.0499999999999999E-2</v>
      </c>
      <c r="E89" s="198" t="s">
        <v>2102</v>
      </c>
      <c r="F89" s="2547"/>
      <c r="G89" s="2547"/>
      <c r="H89" s="2548"/>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2103</v>
      </c>
      <c r="C90" s="2805"/>
      <c r="D90" s="2800"/>
      <c r="E90" s="198" t="str">
        <f>IF(H88="-","土地取得成本中已包含该笔费用"," ")</f>
        <v xml:space="preserve"> </v>
      </c>
      <c r="F90" s="2547"/>
      <c r="G90" s="3286" t="s">
        <v>2870</v>
      </c>
      <c r="H90" s="3287"/>
      <c r="I90" s="2006"/>
      <c r="J90" s="2744" t="s">
        <v>3025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2104</v>
      </c>
      <c r="B91" s="174" t="s">
        <v>2105</v>
      </c>
      <c r="C91" s="2799">
        <f>IF(H91="——",成本法!C33,I91)</f>
        <v>0</v>
      </c>
      <c r="D91" s="2800"/>
      <c r="E91" s="3201" t="s">
        <v>2106</v>
      </c>
      <c r="F91" s="3202"/>
      <c r="G91" s="3202"/>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2107</v>
      </c>
      <c r="B92" s="174" t="s">
        <v>2108</v>
      </c>
      <c r="C92" s="2799">
        <f>ROUND((C87+C90+C91)*D92,0)</f>
        <v>0</v>
      </c>
      <c r="D92" s="2806"/>
      <c r="E92" s="3201" t="s">
        <v>2109</v>
      </c>
      <c r="F92" s="3202"/>
      <c r="G92" s="3202"/>
      <c r="H92" s="3211"/>
      <c r="I92" s="2006"/>
      <c r="J92" s="2745" t="s">
        <v>3026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2110</v>
      </c>
      <c r="B93" s="174" t="s">
        <v>2092</v>
      </c>
      <c r="C93" s="2799">
        <f ca="1">ROUND(D45*D93/(1+'数据-取费表'!C42),0)</f>
        <v>790</v>
      </c>
      <c r="D93" s="2800">
        <f>'数据-取费表'!B43</f>
        <v>6.000000000000001E-3</v>
      </c>
      <c r="E93" s="3201" t="s">
        <v>2093</v>
      </c>
      <c r="F93" s="3202"/>
      <c r="G93" s="3202"/>
      <c r="H93" s="3211"/>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2111</v>
      </c>
      <c r="B94" s="174" t="s">
        <v>2112</v>
      </c>
      <c r="C94" s="2805">
        <f>ROUND((C87+C90+C91)*D94,0)</f>
        <v>0</v>
      </c>
      <c r="D94" s="2800">
        <v>0.2</v>
      </c>
      <c r="E94" s="3212" t="s">
        <v>2113</v>
      </c>
      <c r="F94" s="3213"/>
      <c r="G94" s="3213"/>
      <c r="H94" s="3214"/>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779</v>
      </c>
      <c r="B95" s="178" t="s">
        <v>2094</v>
      </c>
      <c r="C95" s="2791">
        <f ca="1">ROUND(C85-C86,0)</f>
        <v>130838</v>
      </c>
      <c r="D95" s="174" t="s">
        <v>32</v>
      </c>
      <c r="E95" s="2551"/>
      <c r="F95" s="2550"/>
      <c r="G95" s="2550"/>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2095</v>
      </c>
      <c r="C96" s="2801">
        <f ca="1">IF(C95&lt;=0,0,C95/C86)</f>
        <v>165.61772151898734</v>
      </c>
      <c r="D96" s="174"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2096</v>
      </c>
      <c r="C97" s="2802">
        <f ca="1">ROUND(IF(C95&lt;=0,0,IF(C96&gt;=200%,C95*60%-C86*35%,IF(C96&gt;=100%,C95*50%-C86*15%,IF(C96&gt;=50%,C95*40%-C86*5%,IF(C96&lt;50%,C95*30%,0))))),0)</f>
        <v>78226</v>
      </c>
      <c r="D97" s="280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2114</v>
      </c>
      <c r="B99" s="1932"/>
      <c r="C99" s="1932"/>
      <c r="D99" s="1932"/>
      <c r="E99" s="1762"/>
      <c r="F99" s="1762"/>
      <c r="G99" s="1762"/>
      <c r="H99" s="1761"/>
      <c r="I99" s="133"/>
    </row>
    <row r="100" spans="1:35" ht="18.75" customHeight="1">
      <c r="A100" s="3185" t="s">
        <v>2115</v>
      </c>
      <c r="B100" s="3186"/>
      <c r="C100" s="3186"/>
      <c r="D100" s="3203"/>
      <c r="E100" s="3186" t="s">
        <v>2116</v>
      </c>
      <c r="F100" s="3186"/>
      <c r="G100" s="3186"/>
      <c r="H100" s="3203"/>
      <c r="I100" s="133"/>
    </row>
    <row r="101" spans="1:35" ht="18.75" customHeight="1">
      <c r="A101" s="3267" t="s">
        <v>2117</v>
      </c>
      <c r="B101" s="3268"/>
      <c r="C101" s="2808" t="str">
        <f>C4</f>
        <v>成本法</v>
      </c>
      <c r="D101" s="2809" t="str">
        <f>D4</f>
        <v>假设开发法</v>
      </c>
      <c r="E101" s="3281" t="s">
        <v>2118</v>
      </c>
      <c r="F101" s="3235"/>
      <c r="G101" s="2012" t="s">
        <v>2119</v>
      </c>
      <c r="H101" s="2818">
        <f ca="1">H118</f>
        <v>138209</v>
      </c>
      <c r="I101" s="133"/>
    </row>
    <row r="102" spans="1:35" ht="18.75" customHeight="1">
      <c r="A102" s="3237" t="s">
        <v>2120</v>
      </c>
      <c r="B102" s="2807" t="s">
        <v>2119</v>
      </c>
      <c r="C102" s="2808">
        <f ca="1">C19</f>
        <v>134008</v>
      </c>
      <c r="D102" s="2809">
        <f ca="1">D19</f>
        <v>142410</v>
      </c>
      <c r="E102" s="3281"/>
      <c r="F102" s="3235"/>
      <c r="G102" s="2012" t="s">
        <v>2121</v>
      </c>
      <c r="H102" s="2778">
        <f ca="1">I118</f>
        <v>11716</v>
      </c>
      <c r="I102" s="133"/>
    </row>
    <row r="103" spans="1:35" ht="42.75" customHeight="1">
      <c r="A103" s="3237"/>
      <c r="B103" s="2807" t="s">
        <v>2121</v>
      </c>
      <c r="C103" s="2810">
        <f ca="1">C20</f>
        <v>11360</v>
      </c>
      <c r="D103" s="2811">
        <f ca="1">D20</f>
        <v>12072</v>
      </c>
      <c r="E103" s="3275" t="s">
        <v>2122</v>
      </c>
      <c r="F103" s="3276"/>
      <c r="G103" s="2013" t="s">
        <v>2123</v>
      </c>
      <c r="H103" s="2818">
        <f>IF(D36="正常操作",H104+H105+H106,H105+H106)</f>
        <v>0</v>
      </c>
      <c r="I103" s="133"/>
    </row>
    <row r="104" spans="1:35" ht="18.75" customHeight="1">
      <c r="A104" s="3237" t="s">
        <v>2124</v>
      </c>
      <c r="B104" s="2812" t="s">
        <v>2119</v>
      </c>
      <c r="C104" s="2813">
        <f ca="1">H118</f>
        <v>138209</v>
      </c>
      <c r="D104" s="2814"/>
      <c r="E104" s="1859" t="s">
        <v>2125</v>
      </c>
      <c r="F104" s="1850"/>
      <c r="G104" s="2013" t="s">
        <v>2123</v>
      </c>
      <c r="H104" s="2819">
        <f>IF(D36="同一抵押权人同一抵押物续贷",C36&amp;"（续贷，未扣减，详见特别提示）",C36)</f>
        <v>0</v>
      </c>
      <c r="I104" s="133"/>
    </row>
    <row r="105" spans="1:35" ht="18.75" customHeight="1" thickBot="1">
      <c r="A105" s="3238"/>
      <c r="B105" s="2815" t="s">
        <v>2121</v>
      </c>
      <c r="C105" s="2816">
        <f ca="1">I118</f>
        <v>11716</v>
      </c>
      <c r="D105" s="2817"/>
      <c r="E105" s="1859" t="s">
        <v>2126</v>
      </c>
      <c r="F105" s="1850"/>
      <c r="G105" s="2013" t="s">
        <v>2123</v>
      </c>
      <c r="H105" s="2820">
        <f>C37</f>
        <v>0</v>
      </c>
      <c r="I105" s="133"/>
    </row>
    <row r="106" spans="1:35" ht="18.75" customHeight="1">
      <c r="A106" s="1932" t="s">
        <v>2127</v>
      </c>
      <c r="B106" s="1932"/>
      <c r="C106" s="1932"/>
      <c r="D106" s="1932"/>
      <c r="E106" s="2014" t="s">
        <v>2128</v>
      </c>
      <c r="F106" s="1850"/>
      <c r="G106" s="2013" t="s">
        <v>2123</v>
      </c>
      <c r="H106" s="2820">
        <f>C38</f>
        <v>0</v>
      </c>
      <c r="I106" s="133"/>
    </row>
    <row r="107" spans="1:35" ht="18.75" customHeight="1">
      <c r="A107" s="133"/>
      <c r="B107" s="133"/>
      <c r="C107" s="133"/>
      <c r="D107" s="133"/>
      <c r="E107" s="3234" t="str">
        <f>IF(项目基本情况!E8="已注销","——","3.房地产抵押价值")</f>
        <v>3.房地产抵押价值</v>
      </c>
      <c r="F107" s="3235"/>
      <c r="G107" s="2012" t="s">
        <v>2119</v>
      </c>
      <c r="H107" s="2818">
        <f ca="1">IF(E107="——","——",H101-H103)</f>
        <v>138209</v>
      </c>
      <c r="I107" s="133"/>
    </row>
    <row r="108" spans="1:35" ht="18.75" customHeight="1">
      <c r="A108" s="133"/>
      <c r="B108" s="133"/>
      <c r="C108" s="133"/>
      <c r="D108" s="133"/>
      <c r="E108" s="3234"/>
      <c r="F108" s="3235"/>
      <c r="G108" s="2012" t="s">
        <v>2121</v>
      </c>
      <c r="H108" s="2778">
        <f ca="1">ROUND(H107*10000/'数据-汇总表'!E3,0)</f>
        <v>11716</v>
      </c>
      <c r="I108" s="133"/>
    </row>
    <row r="109" spans="1:35" ht="18.75" customHeight="1">
      <c r="A109" s="133"/>
      <c r="B109" s="133"/>
      <c r="C109" s="133"/>
      <c r="D109" s="133"/>
      <c r="E109" s="3234" t="str">
        <f>IF(项目基本情况!E8="已注销及未注销","4.抵押担保权已注销时的房地产抵押价值",IF(项目基本情况!E8="已注销","3.抵押担保权已注销时的房地产抵押价值","——"))</f>
        <v>——</v>
      </c>
      <c r="F109" s="3235"/>
      <c r="G109" s="2012" t="s">
        <v>2119</v>
      </c>
      <c r="H109" s="2821" t="str">
        <f>IF(E109="——","——",H101-H105-H106)</f>
        <v>——</v>
      </c>
      <c r="I109" s="133"/>
    </row>
    <row r="110" spans="1:35" ht="18.75" customHeight="1">
      <c r="A110" s="133"/>
      <c r="B110" s="133"/>
      <c r="C110" s="133"/>
      <c r="D110" s="133"/>
      <c r="E110" s="3234"/>
      <c r="F110" s="3235"/>
      <c r="G110" s="2012" t="s">
        <v>2121</v>
      </c>
      <c r="H110" s="2778" t="str">
        <f>IF(H109="——","——",ROUND(H109*10000/'数据-汇总表'!E3,0))</f>
        <v>——</v>
      </c>
      <c r="I110" s="133"/>
    </row>
    <row r="111" spans="1:35" ht="18.75" customHeight="1">
      <c r="A111" s="133"/>
      <c r="B111" s="133"/>
      <c r="C111" s="133"/>
      <c r="D111" s="133"/>
      <c r="E111" s="3269" t="str">
        <f>IF(项目基本情况!E9="抵押净值",IF(OR(项目基本情况!E8="已注销",项目基本情况!E8="房地产抵押价值"),"4.抵押净值","5.抵押净值"),"——")</f>
        <v>——</v>
      </c>
      <c r="F111" s="3236"/>
      <c r="G111" s="2012" t="s">
        <v>2119</v>
      </c>
      <c r="H111" s="2818" t="str">
        <f>IF(E111="——","——",N59)</f>
        <v>——</v>
      </c>
      <c r="I111" s="133"/>
    </row>
    <row r="112" spans="1:35" ht="18.75" customHeight="1" thickBot="1">
      <c r="A112" s="133"/>
      <c r="B112" s="133"/>
      <c r="C112" s="133"/>
      <c r="D112" s="133"/>
      <c r="E112" s="3270"/>
      <c r="F112" s="3271"/>
      <c r="G112" s="2015" t="s">
        <v>2121</v>
      </c>
      <c r="H112" s="2822" t="str">
        <f>IF(E111="——","——",N61)</f>
        <v>——</v>
      </c>
      <c r="I112" s="133"/>
    </row>
    <row r="113" spans="1:27" ht="18.75" customHeight="1">
      <c r="A113" s="133"/>
      <c r="B113" s="133"/>
      <c r="C113" s="133"/>
      <c r="D113" s="133"/>
      <c r="E113" s="3239" t="s">
        <v>2127</v>
      </c>
      <c r="F113" s="3239"/>
      <c r="G113" s="3239"/>
      <c r="H113" s="3239"/>
      <c r="I113" s="133"/>
    </row>
    <row r="114" spans="1:27" ht="3.75" customHeight="1">
      <c r="A114" s="1932"/>
      <c r="B114" s="1932"/>
      <c r="C114" s="1932"/>
      <c r="D114" s="1932"/>
      <c r="E114" s="1994"/>
      <c r="F114" s="1994"/>
      <c r="G114" s="1994"/>
      <c r="H114" s="1994"/>
      <c r="I114" s="1932"/>
    </row>
    <row r="115" spans="1:27" ht="18.75" customHeight="1">
      <c r="A115" s="3252" t="s">
        <v>2129</v>
      </c>
      <c r="B115" s="3253"/>
      <c r="C115" s="3253"/>
      <c r="D115" s="3253"/>
      <c r="E115" s="3253"/>
      <c r="F115" s="3253"/>
      <c r="G115" s="3253"/>
      <c r="H115" s="3253"/>
      <c r="I115" s="3254"/>
    </row>
    <row r="116" spans="1:27" ht="27" customHeight="1">
      <c r="A116" s="3205" t="s">
        <v>2130</v>
      </c>
      <c r="B116" s="3240" t="s">
        <v>2131</v>
      </c>
      <c r="C116" s="3240" t="s">
        <v>2132</v>
      </c>
      <c r="D116" s="3256" t="s">
        <v>2133</v>
      </c>
      <c r="E116" s="3257"/>
      <c r="F116" s="3248" t="s">
        <v>2134</v>
      </c>
      <c r="G116" s="3248"/>
      <c r="H116" s="3205" t="s">
        <v>2135</v>
      </c>
      <c r="I116" s="3205"/>
    </row>
    <row r="117" spans="1:27" ht="18.75" customHeight="1">
      <c r="A117" s="3205"/>
      <c r="B117" s="3241"/>
      <c r="C117" s="3241"/>
      <c r="D117" s="2549" t="s">
        <v>2136</v>
      </c>
      <c r="E117" s="2549" t="s">
        <v>2137</v>
      </c>
      <c r="F117" s="2549" t="s">
        <v>2136</v>
      </c>
      <c r="G117" s="2549" t="s">
        <v>2138</v>
      </c>
      <c r="H117" s="2549" t="s">
        <v>2136</v>
      </c>
      <c r="I117" s="2549" t="s">
        <v>2138</v>
      </c>
    </row>
    <row r="118" spans="1:27" ht="24.75" customHeight="1">
      <c r="A118" s="2823" t="str">
        <f>项目基本情况!S2</f>
        <v>房地产</v>
      </c>
      <c r="B118" s="2549">
        <f>M18</f>
        <v>117964.09999999983</v>
      </c>
      <c r="C118" s="2549">
        <f>M19</f>
        <v>42598.89</v>
      </c>
      <c r="D118" s="2549">
        <f>ROUND(IF(D32="总价",C34,E118*B118/10000),0)</f>
        <v>0</v>
      </c>
      <c r="E118" s="2549">
        <f>ROUND(IF(C33="自定义",IF(D32="楼面单价",C34,D118*10000/B118),I118-G118),0)</f>
        <v>0</v>
      </c>
      <c r="F118" s="2549">
        <f>ROUND(IF(D32="总价",C35,G118*B118/10000),0)</f>
        <v>0</v>
      </c>
      <c r="G118" s="2549">
        <f>ROUND(IF(D32="楼面单价",C35,F118*10000/B118),0)</f>
        <v>0</v>
      </c>
      <c r="H118" s="2549">
        <f ca="1">ROUND(IF(D32="总价",C32,I118*B118/10000),0)</f>
        <v>138209</v>
      </c>
      <c r="I118" s="2549">
        <f ca="1">ROUND(IF(D32="楼面单价",C32,H118*10000/B118),0)</f>
        <v>11716</v>
      </c>
    </row>
    <row r="119" spans="1:27" ht="18.75" customHeight="1">
      <c r="A119" s="3205" t="s">
        <v>2139</v>
      </c>
      <c r="B119" s="3205"/>
      <c r="C119" s="3205"/>
      <c r="D119" s="3245" t="str">
        <f>NUMBERSTRING(INT(D118*10000),2)&amp;"元整"</f>
        <v>零元整</v>
      </c>
      <c r="E119" s="3247"/>
      <c r="F119" s="3245" t="str">
        <f>NUMBERSTRING(INT(F118*10000),2)&amp;"元整"</f>
        <v>零元整</v>
      </c>
      <c r="G119" s="3247"/>
      <c r="H119" s="3245" t="str">
        <f ca="1">NUMBERSTRING(INT(H118*10000),2)&amp;"元整"</f>
        <v>壹拾叁亿捌仟贰佰零玖万元整</v>
      </c>
      <c r="I119" s="3247"/>
    </row>
    <row r="120" spans="1:27" ht="18.75" customHeight="1">
      <c r="A120" s="3272" t="str">
        <f>IF(项目基本情况!B9="房地产市场价值","",MID(E103,3,LEN(E103)-2))</f>
        <v>估价师知悉的法定优先受偿款</v>
      </c>
      <c r="B120" s="3273"/>
      <c r="C120" s="3274"/>
      <c r="D120" s="3272">
        <f>H103</f>
        <v>0</v>
      </c>
      <c r="E120" s="3273"/>
      <c r="F120" s="3273"/>
      <c r="G120" s="3273"/>
      <c r="H120" s="3273"/>
      <c r="I120" s="3274"/>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9" t="s">
        <v>2139</v>
      </c>
      <c r="B121" s="3250"/>
      <c r="C121" s="3251"/>
      <c r="D121" s="3245" t="str">
        <f>IF(D120=0,"零元整",NUMBERSTRING(INT(D120*10000),2)&amp;"元整")</f>
        <v>零元整</v>
      </c>
      <c r="E121" s="3246"/>
      <c r="F121" s="3246"/>
      <c r="G121" s="3246"/>
      <c r="H121" s="3246"/>
      <c r="I121" s="3247"/>
      <c r="AA121" s="733"/>
    </row>
    <row r="122" spans="1:27" ht="18.75" customHeight="1">
      <c r="A122" s="3236" t="str">
        <f>IF(项目基本情况!B9="房地产市场价值","",MID(E107,3,LEN(E107)-2))</f>
        <v>房地产抵押价值</v>
      </c>
      <c r="B122" s="3236"/>
      <c r="C122" s="3236"/>
      <c r="D122" s="3272">
        <f ca="1">H107</f>
        <v>138209</v>
      </c>
      <c r="E122" s="3273"/>
      <c r="F122" s="3273"/>
      <c r="G122" s="3273"/>
      <c r="H122" s="3273"/>
      <c r="I122" s="3274"/>
      <c r="AA122" s="733"/>
    </row>
    <row r="123" spans="1:27" ht="18.75" customHeight="1">
      <c r="A123" s="3205" t="s">
        <v>2139</v>
      </c>
      <c r="B123" s="3205"/>
      <c r="C123" s="3205"/>
      <c r="D123" s="3245" t="str">
        <f ca="1">NUMBERSTRING(INT(D122*10000),2)&amp;"元整"</f>
        <v>壹拾叁亿捌仟贰佰零玖万元整</v>
      </c>
      <c r="E123" s="3246"/>
      <c r="F123" s="3246"/>
      <c r="G123" s="3246"/>
      <c r="H123" s="3246"/>
      <c r="I123" s="3247"/>
      <c r="AA123" s="733"/>
    </row>
    <row r="124" spans="1:27" ht="18.75" customHeight="1">
      <c r="A124" s="3236" t="str">
        <f>IF(项目基本情况!B9="房地产市场价值","",MID(E109,3,LEN(E109)-2))</f>
        <v/>
      </c>
      <c r="B124" s="3236"/>
      <c r="C124" s="3236"/>
      <c r="D124" s="3272" t="str">
        <f>H109</f>
        <v>——</v>
      </c>
      <c r="E124" s="3273"/>
      <c r="F124" s="3273"/>
      <c r="G124" s="3273"/>
      <c r="H124" s="3273"/>
      <c r="I124" s="3274"/>
      <c r="AA124" s="733"/>
    </row>
    <row r="125" spans="1:27" ht="18.75" customHeight="1">
      <c r="A125" s="3205" t="s">
        <v>2139</v>
      </c>
      <c r="B125" s="3205"/>
      <c r="C125" s="3205"/>
      <c r="D125" s="3245" t="e">
        <f>NUMBERSTRING(INT(D124*10000),2)&amp;"元整"</f>
        <v>#VALUE!</v>
      </c>
      <c r="E125" s="3246"/>
      <c r="F125" s="3246"/>
      <c r="G125" s="3246"/>
      <c r="H125" s="3246"/>
      <c r="I125" s="3247"/>
      <c r="AA125" s="733"/>
    </row>
    <row r="126" spans="1:27" ht="18.75" customHeight="1">
      <c r="A126" s="3236" t="str">
        <f>IF(项目基本情况!B9="房地产市场价值","",MID(E111,3,LEN(E111)-2))</f>
        <v/>
      </c>
      <c r="B126" s="3236"/>
      <c r="C126" s="3236"/>
      <c r="D126" s="3272" t="str">
        <f>H111</f>
        <v>——</v>
      </c>
      <c r="E126" s="3273"/>
      <c r="F126" s="3273"/>
      <c r="G126" s="3273"/>
      <c r="H126" s="3273"/>
      <c r="I126" s="3274"/>
      <c r="AA126" s="733"/>
    </row>
    <row r="127" spans="1:27" ht="18.75" customHeight="1">
      <c r="A127" s="3205" t="s">
        <v>2139</v>
      </c>
      <c r="B127" s="3205"/>
      <c r="C127" s="3205"/>
      <c r="D127" s="3245" t="e">
        <f>NUMBERSTRING(INT(D126*10000),2)&amp;"元整"</f>
        <v>#VALUE!</v>
      </c>
      <c r="E127" s="3246"/>
      <c r="F127" s="3246"/>
      <c r="G127" s="3246"/>
      <c r="H127" s="3246"/>
      <c r="I127" s="3247"/>
      <c r="AA127" s="733"/>
    </row>
    <row r="128" spans="1:27" ht="21.75" customHeight="1">
      <c r="A128" s="3255" t="s">
        <v>2140</v>
      </c>
      <c r="B128" s="3255"/>
      <c r="C128" s="3255"/>
      <c r="D128" s="3255"/>
      <c r="E128" s="3255"/>
      <c r="F128" s="3255"/>
      <c r="G128" s="3255"/>
      <c r="H128" s="3255"/>
      <c r="I128" s="3255"/>
      <c r="AA128" s="733"/>
    </row>
    <row r="129" spans="1:35" ht="21.75" customHeight="1">
      <c r="A129" s="2016" t="s">
        <v>2141</v>
      </c>
      <c r="B129" s="2017"/>
      <c r="C129" s="2018" t="s">
        <v>2142</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2143</v>
      </c>
      <c r="G135" s="2033"/>
      <c r="H135" s="2033"/>
      <c r="I135" s="2034" t="s">
        <v>2144</v>
      </c>
    </row>
    <row r="136" spans="1:35" ht="21.75" customHeight="1">
      <c r="A136" s="733"/>
      <c r="B136" s="2035" t="s">
        <v>2145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2146</v>
      </c>
    </row>
    <row r="139" spans="1:35" ht="21.75" customHeight="1">
      <c r="A139" s="733"/>
      <c r="B139" s="2035" t="s">
        <v>2147</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2146</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31" sqref="I3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2148</v>
      </c>
      <c r="B1" s="1653"/>
      <c r="C1" s="203"/>
      <c r="D1" s="203"/>
      <c r="E1" s="203"/>
      <c r="F1" s="203"/>
      <c r="G1" s="1287" t="e">
        <f>MATCH(B1,'数据-取费表'!A6:A16,0)+5</f>
        <v>#N/A</v>
      </c>
    </row>
    <row r="2" spans="1:9" s="205" customFormat="1" ht="18" customHeight="1">
      <c r="A2" s="206" t="s">
        <v>2149</v>
      </c>
      <c r="B2" s="207">
        <f ca="1">IF(D2="——",C52,C52-E2)</f>
        <v>134008</v>
      </c>
      <c r="C2" s="204" t="s">
        <v>2150</v>
      </c>
      <c r="D2" s="2038" t="s">
        <v>70</v>
      </c>
      <c r="E2" s="1330" t="e">
        <f ca="1">SUMIF(INDIRECT("'"&amp;G2&amp;"'"&amp;"!A:A"),"承租人权益价值",INDIRECT("'"&amp;G2&amp;"'"&amp;"!c:c"))</f>
        <v>#REF!</v>
      </c>
      <c r="F2" s="2039" t="s">
        <v>2150</v>
      </c>
      <c r="G2" s="2040"/>
    </row>
    <row r="3" spans="1:9" s="205" customFormat="1" ht="18" customHeight="1" thickBot="1">
      <c r="A3" s="208" t="s">
        <v>2151</v>
      </c>
      <c r="B3" s="209">
        <f ca="1">ROUND(B2*10000/(IF(B1="",'数据-汇总表'!E3,INDIRECT("'数据-取费表'!k"&amp;$G$1))),0)</f>
        <v>11360</v>
      </c>
      <c r="C3" s="204" t="s">
        <v>2152</v>
      </c>
      <c r="D3" s="204"/>
      <c r="E3" s="204"/>
      <c r="F3" s="204"/>
      <c r="G3" s="204"/>
    </row>
    <row r="4" spans="1:9" s="213" customFormat="1" ht="15.75">
      <c r="A4" s="210" t="s">
        <v>2153</v>
      </c>
      <c r="B4" s="211"/>
      <c r="C4" s="211"/>
      <c r="D4" s="211"/>
      <c r="E4" s="211"/>
      <c r="F4" s="211"/>
      <c r="G4" s="212"/>
    </row>
    <row r="5" spans="1:9" s="219" customFormat="1" ht="13.5" customHeight="1">
      <c r="A5" s="260" t="s">
        <v>2154</v>
      </c>
      <c r="B5" s="215" t="s">
        <v>2155</v>
      </c>
      <c r="C5" s="216">
        <f>C6+C7+C8</f>
        <v>101812</v>
      </c>
      <c r="D5" s="216" t="s">
        <v>2156</v>
      </c>
      <c r="E5" s="217" t="s">
        <v>2157</v>
      </c>
      <c r="F5" s="217" t="s">
        <v>2158</v>
      </c>
      <c r="G5" s="218"/>
    </row>
    <row r="6" spans="1:9" s="219" customFormat="1" ht="13.5" customHeight="1">
      <c r="A6" s="885" t="s">
        <v>2159</v>
      </c>
      <c r="B6" s="220" t="s">
        <v>2160</v>
      </c>
      <c r="C6" s="221">
        <f>'土地比较法-住宅、综合'!B2</f>
        <v>98799</v>
      </c>
      <c r="D6" s="222"/>
      <c r="E6" s="223"/>
      <c r="F6" s="223"/>
      <c r="G6" s="224"/>
    </row>
    <row r="7" spans="1:9" s="219" customFormat="1" ht="13.5" customHeight="1">
      <c r="A7" s="885" t="s">
        <v>2161</v>
      </c>
      <c r="B7" s="220" t="s">
        <v>2162</v>
      </c>
      <c r="C7" s="225">
        <f>ROUND(C6*F7,0)</f>
        <v>3013</v>
      </c>
      <c r="D7" s="225"/>
      <c r="E7" s="223"/>
      <c r="F7" s="226">
        <f>IF(项目基本情况!B8="出让",0,'数据-取费表'!B48+'数据-取费表'!B49)</f>
        <v>3.0499999999999999E-2</v>
      </c>
      <c r="G7" s="224"/>
    </row>
    <row r="8" spans="1:9" s="228" customFormat="1">
      <c r="A8" s="885" t="s">
        <v>2163</v>
      </c>
      <c r="B8" s="220" t="s">
        <v>2164</v>
      </c>
      <c r="C8" s="225">
        <f>IF(G8="已包含在土地购买价格中","0",IF(B1="",'数据-取费表'!B29,IF(G9="全部缴纳",C9+C10,H9)))</f>
        <v>0</v>
      </c>
      <c r="D8" s="227"/>
      <c r="E8" s="225"/>
      <c r="F8" s="226"/>
      <c r="G8" s="2041" t="s">
        <v>4554</v>
      </c>
    </row>
    <row r="9" spans="1:9" s="219" customFormat="1" ht="13.5" customHeight="1">
      <c r="A9" s="886" t="s">
        <v>800</v>
      </c>
      <c r="B9" s="229" t="s">
        <v>2165</v>
      </c>
      <c r="C9" s="230">
        <f ca="1">ROUND(D9*E9/10000,0)</f>
        <v>0</v>
      </c>
      <c r="D9" s="953">
        <f ca="1">IF(B1="",'数据-汇总表'!E5,IF(INDIRECT("'数据-取费表'!c"&amp;$G$1)="住宅",INDIRECT("'数据-取费表'!k"&amp;$G$1),0))</f>
        <v>0</v>
      </c>
      <c r="E9" s="230">
        <f>'数据-取费表'!B27</f>
        <v>75</v>
      </c>
      <c r="F9" s="226"/>
      <c r="G9" s="2042" t="s">
        <v>4555</v>
      </c>
      <c r="H9" s="1298"/>
      <c r="I9" s="2043" t="s">
        <v>2166</v>
      </c>
    </row>
    <row r="10" spans="1:9" s="219" customFormat="1" ht="13.5" customHeight="1">
      <c r="A10" s="886" t="s">
        <v>801</v>
      </c>
      <c r="B10" s="229" t="s">
        <v>2167</v>
      </c>
      <c r="C10" s="230">
        <f ca="1">ROUND(D10*E10/10000,0)</f>
        <v>885</v>
      </c>
      <c r="D10" s="953">
        <f ca="1">IF(B1="",'数据-汇总表'!E6,IF(INDIRECT("'数据-取费表'!c"&amp;$G$1)="住宅",INDIRECT("'数据-取费表'!s"&amp;$G$1),INDIRECT("'数据-取费表'!k"&amp;$G$1)+INDIRECT("'数据-取费表'!s"&amp;$G$1)))</f>
        <v>117964.09999999983</v>
      </c>
      <c r="E10" s="230">
        <f>'数据-取费表'!B28</f>
        <v>75</v>
      </c>
      <c r="F10" s="226"/>
      <c r="G10" s="231"/>
    </row>
    <row r="11" spans="1:9" s="219" customFormat="1" ht="13.5" hidden="1" customHeight="1">
      <c r="A11" s="232" t="s">
        <v>7</v>
      </c>
      <c r="B11" s="220" t="s">
        <v>2168</v>
      </c>
      <c r="C11" s="216"/>
      <c r="D11" s="955"/>
      <c r="E11" s="223"/>
      <c r="F11" s="223"/>
      <c r="G11" s="224"/>
    </row>
    <row r="12" spans="1:9" s="219" customFormat="1" ht="13.5" hidden="1" customHeight="1">
      <c r="A12" s="232" t="s">
        <v>8</v>
      </c>
      <c r="B12" s="220" t="s">
        <v>2169</v>
      </c>
      <c r="C12" s="216">
        <v>0</v>
      </c>
      <c r="D12" s="955"/>
      <c r="E12" s="233"/>
      <c r="F12" s="226">
        <v>3.0499999999999999E-2</v>
      </c>
      <c r="G12" s="224"/>
    </row>
    <row r="13" spans="1:9" s="219" customFormat="1" ht="13.5" hidden="1" customHeight="1">
      <c r="A13" s="232" t="s">
        <v>9</v>
      </c>
      <c r="B13" s="220" t="s">
        <v>2170</v>
      </c>
      <c r="C13" s="216"/>
      <c r="D13" s="955"/>
      <c r="E13" s="223"/>
      <c r="F13" s="223"/>
      <c r="G13" s="224"/>
    </row>
    <row r="14" spans="1:9" s="219" customFormat="1" ht="13.5" hidden="1" customHeight="1">
      <c r="A14" s="232" t="s">
        <v>10</v>
      </c>
      <c r="B14" s="220" t="s">
        <v>2171</v>
      </c>
      <c r="C14" s="216"/>
      <c r="D14" s="955"/>
      <c r="E14" s="223"/>
      <c r="F14" s="223"/>
      <c r="G14" s="224" t="s">
        <v>2172</v>
      </c>
    </row>
    <row r="15" spans="1:9" s="219" customFormat="1" ht="13.5" hidden="1" customHeight="1">
      <c r="A15" s="232" t="s">
        <v>11</v>
      </c>
      <c r="B15" s="220" t="s">
        <v>2173</v>
      </c>
      <c r="C15" s="225"/>
      <c r="D15" s="955"/>
      <c r="E15" s="223"/>
      <c r="F15" s="223"/>
      <c r="G15" s="224" t="s">
        <v>2174</v>
      </c>
    </row>
    <row r="16" spans="1:9" s="219" customFormat="1" ht="13.5" hidden="1" customHeight="1">
      <c r="A16" s="232" t="s">
        <v>12</v>
      </c>
      <c r="B16" s="220" t="s">
        <v>2171</v>
      </c>
      <c r="C16" s="225"/>
      <c r="D16" s="955"/>
      <c r="E16" s="223"/>
      <c r="F16" s="223"/>
      <c r="G16" s="224"/>
    </row>
    <row r="17" spans="1:7" s="219" customFormat="1" ht="13.5" hidden="1" customHeight="1">
      <c r="A17" s="232" t="s">
        <v>13</v>
      </c>
      <c r="B17" s="220" t="s">
        <v>2175</v>
      </c>
      <c r="C17" s="234"/>
      <c r="D17" s="956"/>
      <c r="E17" s="234"/>
      <c r="F17" s="234"/>
      <c r="G17" s="224" t="s">
        <v>2174</v>
      </c>
    </row>
    <row r="18" spans="1:7" s="219" customFormat="1" ht="13.5" hidden="1" customHeight="1">
      <c r="A18" s="232" t="s">
        <v>14</v>
      </c>
      <c r="B18" s="220" t="s">
        <v>2176</v>
      </c>
      <c r="C18" s="225">
        <v>0</v>
      </c>
      <c r="D18" s="955"/>
      <c r="E18" s="223"/>
      <c r="F18" s="226">
        <v>3.0499999999999999E-2</v>
      </c>
      <c r="G18" s="224" t="s">
        <v>2177</v>
      </c>
    </row>
    <row r="19" spans="1:7" s="228" customFormat="1" ht="13.5" customHeight="1">
      <c r="A19" s="260" t="s">
        <v>2178</v>
      </c>
      <c r="B19" s="215" t="s">
        <v>2179</v>
      </c>
      <c r="C19" s="216" t="str">
        <f>IF(G19="已包含在土地取得成本中","0",ROUND(D19*E19/10000,0))</f>
        <v>0</v>
      </c>
      <c r="D19" s="957">
        <f ca="1">D9+D10</f>
        <v>117964.09999999983</v>
      </c>
      <c r="E19" s="216">
        <f>'数据-取费表'!B31</f>
        <v>200</v>
      </c>
      <c r="F19" s="236"/>
      <c r="G19" s="2041" t="s">
        <v>4556</v>
      </c>
    </row>
    <row r="20" spans="1:7" s="219" customFormat="1" ht="13.5" customHeight="1">
      <c r="A20" s="260" t="s">
        <v>2180</v>
      </c>
      <c r="B20" s="215" t="s">
        <v>2181</v>
      </c>
      <c r="C20" s="237">
        <f>ROUND((C5+C19)*F20,0)</f>
        <v>2036</v>
      </c>
      <c r="D20" s="237"/>
      <c r="E20" s="237"/>
      <c r="F20" s="238">
        <f>'数据-取费表'!B37</f>
        <v>0.02</v>
      </c>
      <c r="G20" s="239" t="s">
        <v>2182</v>
      </c>
    </row>
    <row r="21" spans="1:7" s="219" customFormat="1" ht="13.5" customHeight="1">
      <c r="A21" s="260" t="s">
        <v>2183</v>
      </c>
      <c r="B21" s="215" t="s">
        <v>2184</v>
      </c>
      <c r="C21" s="240">
        <f>F21</f>
        <v>0.03</v>
      </c>
      <c r="D21" s="241" t="s">
        <v>2185</v>
      </c>
      <c r="E21" s="237"/>
      <c r="F21" s="238">
        <f>'数据-取费表'!B38</f>
        <v>0.03</v>
      </c>
      <c r="G21" s="239" t="s">
        <v>2186</v>
      </c>
    </row>
    <row r="22" spans="1:7" s="219" customFormat="1" ht="13.5" customHeight="1">
      <c r="A22" s="260" t="s">
        <v>2187</v>
      </c>
      <c r="B22" s="215" t="s">
        <v>2188</v>
      </c>
      <c r="C22" s="1263">
        <f ca="1">ROUND(SUM(C23:C25),0)</f>
        <v>4016</v>
      </c>
      <c r="D22" s="240">
        <f ca="1">C26</f>
        <v>5.9999999999999995E-4</v>
      </c>
      <c r="E22" s="241" t="s">
        <v>2185</v>
      </c>
      <c r="F22" s="242">
        <f ca="1">'数据-取费表'!B40</f>
        <v>4.3499999999999997E-2</v>
      </c>
      <c r="G22" s="239" t="str">
        <f>IF('数据-取费表'!B22&lt;=1,"单利计息","复利计息")</f>
        <v>复利计息</v>
      </c>
    </row>
    <row r="23" spans="1:7" s="219" customFormat="1" ht="13.5" customHeight="1">
      <c r="A23" s="887" t="s">
        <v>2189</v>
      </c>
      <c r="B23" s="220" t="s">
        <v>2190</v>
      </c>
      <c r="C23" s="1264">
        <f ca="1">ROUND(IF('数据-取费表'!B22&lt;=1,C5*F22*'数据-取费表'!B23,C5*(POWER((1+F22),'数据-取费表'!B23)-1)),0)</f>
        <v>3977</v>
      </c>
      <c r="D23" s="243"/>
      <c r="E23" s="243"/>
      <c r="F23" s="244"/>
      <c r="G23" s="245" t="s">
        <v>2191</v>
      </c>
    </row>
    <row r="24" spans="1:7" s="219" customFormat="1" ht="13.5" customHeight="1">
      <c r="A24" s="887" t="s">
        <v>2192</v>
      </c>
      <c r="B24" s="220" t="s">
        <v>2193</v>
      </c>
      <c r="C24" s="1264">
        <f ca="1">ROUND(IF('数据-取费表'!B22&lt;=1,C19*F22*('数据-取费表'!B19/2+'数据-取费表'!B21),C19*(POWER((1+F22),('数据-取费表'!B19/2+'数据-取费表'!B21))-1)),0)</f>
        <v>0</v>
      </c>
      <c r="D24" s="243"/>
      <c r="E24" s="243"/>
      <c r="F24" s="244"/>
      <c r="G24" s="245" t="s">
        <v>2194</v>
      </c>
    </row>
    <row r="25" spans="1:7" s="219" customFormat="1" ht="24">
      <c r="A25" s="887" t="s">
        <v>2195</v>
      </c>
      <c r="B25" s="220" t="s">
        <v>2196</v>
      </c>
      <c r="C25" s="1264">
        <f ca="1">ROUND(IF('数据-取费表'!B22&lt;=1,C20*F22*'数据-取费表'!B23/2,C20*(POWER((1+F22),'数据-取费表'!B23/2)-1)),0)</f>
        <v>39</v>
      </c>
      <c r="D25" s="243"/>
      <c r="E25" s="246"/>
      <c r="F25" s="244"/>
      <c r="G25" s="247" t="s">
        <v>2197</v>
      </c>
    </row>
    <row r="26" spans="1:7" s="219" customFormat="1">
      <c r="A26" s="887" t="s">
        <v>795</v>
      </c>
      <c r="B26" s="220" t="s">
        <v>2198</v>
      </c>
      <c r="C26" s="243">
        <f ca="1">ROUND(IF('数据-取费表'!B22&lt;=1,F21*F22*'数据-取费表'!B23/2,F21*(POWER((1+F22),'数据-取费表'!B23/2)-1)),4)</f>
        <v>5.9999999999999995E-4</v>
      </c>
      <c r="D26" s="243"/>
      <c r="E26" s="246"/>
      <c r="F26" s="244"/>
      <c r="G26" s="248"/>
    </row>
    <row r="27" spans="1:7" s="219" customFormat="1" ht="24.75">
      <c r="A27" s="260" t="s">
        <v>2199</v>
      </c>
      <c r="B27" s="249" t="s">
        <v>2200</v>
      </c>
      <c r="C27" s="250">
        <f ca="1">C28</f>
        <v>4206</v>
      </c>
      <c r="D27" s="240">
        <f ca="1">C29</f>
        <v>1.1999999999999999E-3</v>
      </c>
      <c r="E27" s="241" t="s">
        <v>2201</v>
      </c>
      <c r="F27" s="251">
        <f ca="1">IF(B1="",'数据-取费表'!Q16,INDIRECT("'数据-取费表'!q"&amp;$G$1))</f>
        <v>0.09</v>
      </c>
      <c r="G27" s="252" t="s">
        <v>2202</v>
      </c>
    </row>
    <row r="28" spans="1:7" s="219" customFormat="1" ht="13.5" customHeight="1">
      <c r="A28" s="887" t="s">
        <v>791</v>
      </c>
      <c r="B28" s="253" t="s">
        <v>2203</v>
      </c>
      <c r="C28" s="254">
        <f ca="1">ROUND((C5+C19+C20)*F27*'数据-取费表'!B21/'数据-取费表'!B20,0)</f>
        <v>4206</v>
      </c>
      <c r="D28" s="240"/>
      <c r="E28" s="241"/>
      <c r="F28" s="251"/>
      <c r="G28" s="252"/>
    </row>
    <row r="29" spans="1:7" s="219" customFormat="1" ht="13.5" customHeight="1">
      <c r="A29" s="887" t="s">
        <v>792</v>
      </c>
      <c r="B29" s="253" t="s">
        <v>2204</v>
      </c>
      <c r="C29" s="243">
        <f ca="1">ROUND(C21*F27*'数据-取费表'!B21/'数据-取费表'!B20,4)</f>
        <v>1.1999999999999999E-3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122494</v>
      </c>
      <c r="D31" s="235"/>
      <c r="E31" s="216"/>
      <c r="F31" s="255"/>
      <c r="G31" s="239" t="s">
        <v>2209</v>
      </c>
    </row>
    <row r="32" spans="1:7" s="213" customFormat="1" ht="15.75">
      <c r="A32" s="257" t="s">
        <v>2210</v>
      </c>
      <c r="B32" s="258"/>
      <c r="C32" s="258"/>
      <c r="D32" s="258"/>
      <c r="E32" s="258"/>
      <c r="F32" s="258"/>
      <c r="G32" s="259"/>
    </row>
    <row r="33" spans="1:7" s="219" customFormat="1" ht="13.5" customHeight="1">
      <c r="A33" s="260" t="s">
        <v>782</v>
      </c>
      <c r="B33" s="215" t="s">
        <v>2211</v>
      </c>
      <c r="C33" s="261">
        <f ca="1">SUM(C34:C38)</f>
        <v>9294</v>
      </c>
      <c r="D33" s="237"/>
      <c r="E33" s="217"/>
      <c r="F33" s="246"/>
      <c r="G33" s="239"/>
    </row>
    <row r="34" spans="1:7" s="263" customFormat="1" ht="13.5" customHeight="1">
      <c r="A34" s="887" t="s">
        <v>791</v>
      </c>
      <c r="B34" s="220" t="s">
        <v>2212</v>
      </c>
      <c r="C34" s="225">
        <f ca="1">IF(B1="",IF(F34=100%,'数据-取费表'!M16,'数据-取费表'!O16),IF(F34=100%,INDIRECT("'数据-取费表'!m"&amp;$G$1)+INDIRECT("'数据-取费表'!t"&amp;$G$1),INDIRECT("'数据-取费表'!o"&amp;$G$1)+INDIRECT("'数据-取费表'!aq"&amp;$G$1)))</f>
        <v>8239</v>
      </c>
      <c r="D34" s="222"/>
      <c r="E34" s="225"/>
      <c r="F34" s="262">
        <f ca="1">IF('数据-取费表'!B24=0,1,IF(B1="",'数据-取费表'!N16,INDIRECT("'数据-取费表'!n"&amp;$G$1)))</f>
        <v>0.20300000000000001</v>
      </c>
      <c r="G34" s="224" t="s">
        <v>2213</v>
      </c>
    </row>
    <row r="35" spans="1:7" ht="13.5" customHeight="1">
      <c r="A35" s="887" t="s">
        <v>796</v>
      </c>
      <c r="B35" s="220" t="s">
        <v>2214</v>
      </c>
      <c r="C35" s="225">
        <f ca="1">ROUND(C34*F35,0)</f>
        <v>247</v>
      </c>
      <c r="D35" s="225"/>
      <c r="E35" s="225"/>
      <c r="F35" s="264">
        <f>'数据-取费表'!B33</f>
        <v>0.03</v>
      </c>
      <c r="G35" s="224" t="s">
        <v>2215</v>
      </c>
    </row>
    <row r="36" spans="1:7" ht="24">
      <c r="A36" s="887" t="s">
        <v>797</v>
      </c>
      <c r="B36" s="220" t="s">
        <v>2216</v>
      </c>
      <c r="C36" s="225">
        <f ca="1">ROUND(IF(B1="",SUMIF('数据-取费表'!C:C,"住宅",IF(F34=100%,'数据-取费表'!M:M,'数据-取费表'!O:O))*F36,IF(INDIRECT("'数据-取费表'!c"&amp;$G$1)="住宅",IF(F34=100%,INDIRECT("'数据-取费表'!m"&amp;$G$1)*F36,INDIRECT("'数据-取费表'!o"&amp;$G$1)*F36),0)),0)</f>
        <v>205</v>
      </c>
      <c r="D36" s="225"/>
      <c r="E36" s="225"/>
      <c r="F36" s="264">
        <f>'数据-取费表'!B34</f>
        <v>0.05</v>
      </c>
      <c r="G36" s="265" t="s">
        <v>2217</v>
      </c>
    </row>
    <row r="37" spans="1:7" s="263" customFormat="1" ht="13.5" customHeight="1">
      <c r="A37" s="887" t="s">
        <v>798</v>
      </c>
      <c r="B37" s="220" t="s">
        <v>2218</v>
      </c>
      <c r="C37" s="254">
        <f ca="1">ROUND(E37*D37*F34/10000,0)</f>
        <v>479</v>
      </c>
      <c r="D37" s="222">
        <f ca="1">D19</f>
        <v>117964.09999999983</v>
      </c>
      <c r="E37" s="254">
        <f>'数据-取费表'!B35</f>
        <v>200</v>
      </c>
      <c r="F37" s="264"/>
      <c r="G37" s="266" t="s">
        <v>2219</v>
      </c>
    </row>
    <row r="38" spans="1:7" ht="13.5" customHeight="1">
      <c r="A38" s="887" t="s">
        <v>799</v>
      </c>
      <c r="B38" s="220" t="s">
        <v>2220</v>
      </c>
      <c r="C38" s="225">
        <f ca="1">ROUND(C34*F38,0)</f>
        <v>124</v>
      </c>
      <c r="D38" s="225"/>
      <c r="E38" s="225"/>
      <c r="F38" s="264">
        <f>'数据-取费表'!B36</f>
        <v>1.4999999999999999E-2</v>
      </c>
      <c r="G38" s="224" t="s">
        <v>2215</v>
      </c>
    </row>
    <row r="39" spans="1:7" s="219" customFormat="1" ht="13.5" customHeight="1">
      <c r="A39" s="260" t="s">
        <v>2221</v>
      </c>
      <c r="B39" s="215" t="s">
        <v>2222</v>
      </c>
      <c r="C39" s="237">
        <f ca="1">ROUND(C33*F20,0)</f>
        <v>186</v>
      </c>
      <c r="D39" s="237"/>
      <c r="E39" s="237"/>
      <c r="F39" s="2532">
        <f>F20</f>
        <v>0.02</v>
      </c>
      <c r="G39" s="239" t="s">
        <v>2223</v>
      </c>
    </row>
    <row r="40" spans="1:7" s="219" customFormat="1" ht="13.5" customHeight="1">
      <c r="A40" s="260" t="s">
        <v>2224</v>
      </c>
      <c r="B40" s="215" t="s">
        <v>2225</v>
      </c>
      <c r="C40" s="1494">
        <f>F21</f>
        <v>0.03</v>
      </c>
      <c r="D40" s="241" t="s">
        <v>2226</v>
      </c>
      <c r="E40" s="237"/>
      <c r="F40" s="2532">
        <f>F21</f>
        <v>0.03</v>
      </c>
      <c r="G40" s="239" t="s">
        <v>2227</v>
      </c>
    </row>
    <row r="41" spans="1:7" s="219" customFormat="1" ht="13.5" customHeight="1">
      <c r="A41" s="260" t="s">
        <v>2228</v>
      </c>
      <c r="B41" s="215" t="s">
        <v>2229</v>
      </c>
      <c r="C41" s="237">
        <f ca="1">ROUND(SUM(C42:C43),0)</f>
        <v>184</v>
      </c>
      <c r="D41" s="240">
        <f ca="1">C44</f>
        <v>5.9999999999999995E-4</v>
      </c>
      <c r="E41" s="241" t="s">
        <v>2226</v>
      </c>
      <c r="F41" s="2533">
        <f ca="1">F22</f>
        <v>4.3499999999999997E-2</v>
      </c>
      <c r="G41" s="239" t="str">
        <f>IF('数据-取费表'!B22&lt;=1,"单利计息","复利计息")</f>
        <v>复利计息</v>
      </c>
    </row>
    <row r="42" spans="1:7" ht="13.5" customHeight="1">
      <c r="A42" s="887" t="s">
        <v>791</v>
      </c>
      <c r="B42" s="220" t="s">
        <v>2230</v>
      </c>
      <c r="C42" s="243">
        <f ca="1">ROUND(IF('数据-取费表'!B22&lt;=1,C33*F22*'数据-取费表'!B21/2,C33*(POWER((1+F22),'数据-取费表'!B21/2)-1)),0)</f>
        <v>180</v>
      </c>
      <c r="D42" s="243"/>
      <c r="E42" s="243"/>
      <c r="F42" s="244"/>
      <c r="G42" s="3288" t="s">
        <v>2231</v>
      </c>
    </row>
    <row r="43" spans="1:7" ht="13.5" customHeight="1">
      <c r="A43" s="887" t="s">
        <v>792</v>
      </c>
      <c r="B43" s="220" t="s">
        <v>2232</v>
      </c>
      <c r="C43" s="243">
        <f ca="1">ROUND(IF('数据-取费表'!B22&lt;=1,C39*F22*'数据-取费表'!B21/2,C39*(POWER((1+F22),'数据-取费表'!B21/2)-1)),0)</f>
        <v>4</v>
      </c>
      <c r="D43" s="243"/>
      <c r="E43" s="243"/>
      <c r="F43" s="244"/>
      <c r="G43" s="3289"/>
    </row>
    <row r="44" spans="1:7" ht="13.5" customHeight="1">
      <c r="A44" s="887" t="s">
        <v>793</v>
      </c>
      <c r="B44" s="220" t="s">
        <v>2233</v>
      </c>
      <c r="C44" s="243">
        <f ca="1">ROUND(IF('数据-取费表'!B22&lt;=1,C40*F22*'数据-取费表'!B21/2,C40*(POWER((1+F22),'数据-取费表'!B21/2)-1)),4)</f>
        <v>5.9999999999999995E-4</v>
      </c>
      <c r="D44" s="243"/>
      <c r="E44" s="243"/>
      <c r="F44" s="244"/>
      <c r="G44" s="3290"/>
    </row>
    <row r="45" spans="1:7" s="219" customFormat="1" ht="13.5" customHeight="1">
      <c r="A45" s="260" t="s">
        <v>2234</v>
      </c>
      <c r="B45" s="249" t="s">
        <v>2200</v>
      </c>
      <c r="C45" s="250">
        <f ca="1">C46</f>
        <v>853</v>
      </c>
      <c r="D45" s="240">
        <f ca="1">C47</f>
        <v>2.7000000000000001E-3</v>
      </c>
      <c r="E45" s="241" t="s">
        <v>2226</v>
      </c>
      <c r="F45" s="2534">
        <f ca="1">F27</f>
        <v>0.09</v>
      </c>
      <c r="G45" s="252" t="s">
        <v>2235</v>
      </c>
    </row>
    <row r="46" spans="1:7" s="219" customFormat="1" ht="13.5" customHeight="1">
      <c r="A46" s="887" t="s">
        <v>791</v>
      </c>
      <c r="B46" s="253" t="s">
        <v>2236</v>
      </c>
      <c r="C46" s="254">
        <f ca="1">ROUND((C33+C39)*F27,0)</f>
        <v>853</v>
      </c>
      <c r="D46" s="268"/>
      <c r="E46" s="241"/>
      <c r="F46" s="251"/>
      <c r="G46" s="252"/>
    </row>
    <row r="47" spans="1:7" s="219" customFormat="1" ht="13.5" customHeight="1">
      <c r="A47" s="887" t="s">
        <v>792</v>
      </c>
      <c r="B47" s="253" t="s">
        <v>2237</v>
      </c>
      <c r="C47" s="243">
        <f ca="1">ROUND(C40*F27,4)</f>
        <v>2.7000000000000001E-3</v>
      </c>
      <c r="D47" s="268"/>
      <c r="E47" s="241"/>
      <c r="F47" s="251"/>
      <c r="G47" s="252"/>
    </row>
    <row r="48" spans="1:7" s="219" customFormat="1" ht="13.5" customHeight="1">
      <c r="A48" s="260" t="s">
        <v>2199</v>
      </c>
      <c r="B48" s="215" t="s">
        <v>2238</v>
      </c>
      <c r="C48" s="1494">
        <f>ROUND(F30/(1+'数据-取费表'!C42),4)</f>
        <v>5.33E-2</v>
      </c>
      <c r="D48" s="241" t="s">
        <v>2226</v>
      </c>
      <c r="E48" s="237"/>
      <c r="F48" s="2533">
        <f>F30</f>
        <v>5.6000000000000001E-2</v>
      </c>
      <c r="G48" s="239" t="s">
        <v>2239</v>
      </c>
    </row>
    <row r="49" spans="1:7" ht="16.5" customHeight="1">
      <c r="A49" s="260" t="s">
        <v>2205</v>
      </c>
      <c r="B49" s="215" t="s">
        <v>2240</v>
      </c>
      <c r="C49" s="237">
        <f ca="1">ROUND((C33+C39+C41+C45)/(1-C40-D41-D45-C48),0)</f>
        <v>11514</v>
      </c>
      <c r="D49" s="237"/>
      <c r="E49" s="237"/>
      <c r="F49" s="269"/>
      <c r="G49" s="239" t="s">
        <v>2241</v>
      </c>
    </row>
    <row r="50" spans="1:7" s="263" customFormat="1" ht="24">
      <c r="A50" s="260" t="s">
        <v>2242</v>
      </c>
      <c r="B50" s="215" t="s">
        <v>2243</v>
      </c>
      <c r="C50" s="237"/>
      <c r="D50" s="237"/>
      <c r="E50" s="237"/>
      <c r="F50" s="269">
        <f>IF('数据-取费表'!B24=0,'数据-取费表'!N16,1)</f>
        <v>1</v>
      </c>
      <c r="G50" s="252" t="s">
        <v>2244</v>
      </c>
    </row>
    <row r="51" spans="1:7" ht="16.5" customHeight="1">
      <c r="A51" s="260" t="s">
        <v>2245</v>
      </c>
      <c r="B51" s="215" t="s">
        <v>2246</v>
      </c>
      <c r="C51" s="237">
        <f ca="1">ROUND(C49*F50,0)</f>
        <v>11514</v>
      </c>
      <c r="D51" s="237"/>
      <c r="E51" s="237"/>
      <c r="F51" s="269"/>
      <c r="G51" s="239" t="s">
        <v>2247</v>
      </c>
    </row>
    <row r="52" spans="1:7" s="213" customFormat="1" ht="16.5" thickBot="1">
      <c r="A52" s="270" t="s">
        <v>2248</v>
      </c>
      <c r="B52" s="271"/>
      <c r="C52" s="272">
        <f ca="1">C31+C51</f>
        <v>134008</v>
      </c>
      <c r="D52" s="271"/>
      <c r="E52" s="271"/>
      <c r="F52" s="271"/>
      <c r="G52" s="273"/>
    </row>
    <row r="55" spans="1:7" ht="15">
      <c r="B55" s="275" t="s">
        <v>2249</v>
      </c>
      <c r="C55" s="276"/>
    </row>
    <row r="56" spans="1:7">
      <c r="B56" s="278" t="s">
        <v>1478</v>
      </c>
      <c r="C56" s="280">
        <f ca="1">1-C57</f>
        <v>0.91400000000000003</v>
      </c>
    </row>
    <row r="57" spans="1:7">
      <c r="B57" s="278" t="s">
        <v>1479</v>
      </c>
      <c r="C57" s="279">
        <f ca="1">ROUND(C51/C52,3)</f>
        <v>8.5999999999999993E-2</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2148</v>
      </c>
      <c r="B1" s="1653"/>
      <c r="C1" s="2044" t="s">
        <v>2250</v>
      </c>
      <c r="D1" s="203"/>
      <c r="E1" s="203"/>
      <c r="F1" s="203"/>
      <c r="G1" s="1287" t="e">
        <f>MATCH(B1,'数据-取费表'!A6:A16,0)+5</f>
        <v>#N/A</v>
      </c>
      <c r="H1" s="1191" t="str">
        <f>IF(ISERROR(FIND("住宅",B1)),"非住宅","住宅")</f>
        <v>非住宅</v>
      </c>
    </row>
    <row r="2" spans="1:8" s="205" customFormat="1" ht="18" customHeight="1">
      <c r="A2" s="206" t="s">
        <v>2149</v>
      </c>
      <c r="B2" s="207">
        <f ca="1">ROUND(IF(D2="——",C52/10000,C52/10000-E2),0)</f>
        <v>63197</v>
      </c>
      <c r="C2" s="204" t="s">
        <v>2150</v>
      </c>
      <c r="D2" s="2038" t="s">
        <v>70</v>
      </c>
      <c r="E2" s="1330" t="e">
        <f ca="1">SUMIF(INDIRECT("'"&amp;G2&amp;"'"&amp;"!A:A"),"承租人权益价值",INDIRECT("'"&amp;G2&amp;"'"&amp;"!c:c"))</f>
        <v>#REF!</v>
      </c>
      <c r="F2" s="2039" t="s">
        <v>2150</v>
      </c>
      <c r="G2" s="2040"/>
    </row>
    <row r="3" spans="1:8" s="205" customFormat="1" ht="18" customHeight="1" thickBot="1">
      <c r="A3" s="208" t="s">
        <v>2151</v>
      </c>
      <c r="B3" s="209">
        <f ca="1">ROUND(B2*10000/(IF(B1="",'数据-汇总表'!E3,INDIRECT("'数据-取费表'!k"&amp;$G$1))),0)</f>
        <v>5357</v>
      </c>
      <c r="C3" s="204" t="s">
        <v>2152</v>
      </c>
      <c r="D3" s="204"/>
      <c r="E3" s="204"/>
      <c r="F3" s="204"/>
      <c r="G3" s="204"/>
    </row>
    <row r="4" spans="1:8" s="213" customFormat="1" ht="15.75">
      <c r="A4" s="210" t="s">
        <v>2153</v>
      </c>
      <c r="B4" s="211"/>
      <c r="C4" s="211"/>
      <c r="D4" s="211"/>
      <c r="E4" s="211"/>
      <c r="F4" s="211"/>
      <c r="G4" s="212"/>
    </row>
    <row r="5" spans="1:8" s="219" customFormat="1" ht="13.5" customHeight="1">
      <c r="A5" s="260" t="s">
        <v>2154</v>
      </c>
      <c r="B5" s="215" t="s">
        <v>2155</v>
      </c>
      <c r="C5" s="216">
        <f ca="1">C6+C7+C8</f>
        <v>8847307</v>
      </c>
      <c r="D5" s="216" t="s">
        <v>2156</v>
      </c>
      <c r="E5" s="217" t="s">
        <v>2157</v>
      </c>
      <c r="F5" s="217" t="s">
        <v>2158</v>
      </c>
      <c r="G5" s="218"/>
    </row>
    <row r="6" spans="1:8" s="219" customFormat="1" ht="13.5" customHeight="1">
      <c r="A6" s="885" t="s">
        <v>2159</v>
      </c>
      <c r="B6" s="220" t="s">
        <v>2160</v>
      </c>
      <c r="C6" s="221"/>
      <c r="D6" s="222"/>
      <c r="E6" s="223"/>
      <c r="F6" s="223"/>
      <c r="G6" s="224"/>
    </row>
    <row r="7" spans="1:8" s="219" customFormat="1" ht="13.5" customHeight="1">
      <c r="A7" s="885" t="s">
        <v>2161</v>
      </c>
      <c r="B7" s="220" t="s">
        <v>2162</v>
      </c>
      <c r="C7" s="225">
        <f>ROUND(C6*F7,0)</f>
        <v>0</v>
      </c>
      <c r="D7" s="225"/>
      <c r="E7" s="223"/>
      <c r="F7" s="226">
        <f>IF(项目基本情况!B8="出让",0,'数据-取费表'!B48+'数据-取费表'!B49)</f>
        <v>3.0499999999999999E-2</v>
      </c>
      <c r="G7" s="224"/>
    </row>
    <row r="8" spans="1:8" s="228" customFormat="1">
      <c r="A8" s="885" t="s">
        <v>2163</v>
      </c>
      <c r="B8" s="220" t="s">
        <v>2164</v>
      </c>
      <c r="C8" s="225">
        <f ca="1">IF(G8="已包含在土地购买价格中",0,C9+C10)</f>
        <v>8847307</v>
      </c>
      <c r="D8" s="227"/>
      <c r="E8" s="225"/>
      <c r="F8" s="226"/>
      <c r="G8" s="2041"/>
    </row>
    <row r="9" spans="1:8" s="219" customFormat="1" ht="13.5" customHeight="1">
      <c r="A9" s="886" t="s">
        <v>800</v>
      </c>
      <c r="B9" s="229" t="s">
        <v>2165</v>
      </c>
      <c r="C9" s="230">
        <f ca="1">ROUND(D9*E9,0)</f>
        <v>0</v>
      </c>
      <c r="D9" s="953">
        <f ca="1">IF(B1="",'数据-汇总表'!E5,IF(INDIRECT("'数据-取费表'!c"&amp;$G$1)="住宅",INDIRECT("'数据-取费表'!k"&amp;$G$1),0))</f>
        <v>0</v>
      </c>
      <c r="E9" s="230">
        <f>'数据-取费表'!B27</f>
        <v>75</v>
      </c>
      <c r="F9" s="226"/>
      <c r="G9" s="231"/>
    </row>
    <row r="10" spans="1:8" s="219" customFormat="1" ht="13.5" customHeight="1">
      <c r="A10" s="886" t="s">
        <v>801</v>
      </c>
      <c r="B10" s="229" t="s">
        <v>2167</v>
      </c>
      <c r="C10" s="230">
        <f ca="1">ROUND(D10*E10,0)</f>
        <v>8847307</v>
      </c>
      <c r="D10" s="953">
        <f ca="1">IF(B1="",'数据-汇总表'!E6,IF(INDIRECT("'数据-取费表'!c"&amp;$G$1)="住宅",INDIRECT("'数据-取费表'!s"&amp;$G$1),INDIRECT("'数据-取费表'!k"&amp;$G$1)+INDIRECT("'数据-取费表'!s"&amp;$G$1)))</f>
        <v>117964.09999999983</v>
      </c>
      <c r="E10" s="230">
        <f>'数据-取费表'!B28</f>
        <v>75</v>
      </c>
      <c r="F10" s="226"/>
      <c r="G10" s="231"/>
    </row>
    <row r="11" spans="1:8" s="219" customFormat="1" ht="13.5" hidden="1" customHeight="1">
      <c r="A11" s="232" t="s">
        <v>7</v>
      </c>
      <c r="B11" s="220" t="s">
        <v>2168</v>
      </c>
      <c r="C11" s="216"/>
      <c r="D11" s="955"/>
      <c r="E11" s="223"/>
      <c r="F11" s="223"/>
      <c r="G11" s="224"/>
    </row>
    <row r="12" spans="1:8" s="219" customFormat="1" ht="13.5" hidden="1" customHeight="1">
      <c r="A12" s="232" t="s">
        <v>8</v>
      </c>
      <c r="B12" s="220" t="s">
        <v>2251</v>
      </c>
      <c r="C12" s="216">
        <v>0</v>
      </c>
      <c r="D12" s="955"/>
      <c r="E12" s="233"/>
      <c r="F12" s="226">
        <v>3.0499999999999999E-2</v>
      </c>
      <c r="G12" s="224"/>
    </row>
    <row r="13" spans="1:8" s="219" customFormat="1" ht="13.5" hidden="1" customHeight="1">
      <c r="A13" s="232" t="s">
        <v>9</v>
      </c>
      <c r="B13" s="220" t="s">
        <v>2252</v>
      </c>
      <c r="C13" s="216"/>
      <c r="D13" s="955"/>
      <c r="E13" s="223"/>
      <c r="F13" s="223"/>
      <c r="G13" s="224"/>
    </row>
    <row r="14" spans="1:8" s="219" customFormat="1" ht="13.5" hidden="1" customHeight="1">
      <c r="A14" s="232" t="s">
        <v>10</v>
      </c>
      <c r="B14" s="220" t="s">
        <v>2164</v>
      </c>
      <c r="C14" s="216"/>
      <c r="D14" s="955"/>
      <c r="E14" s="223"/>
      <c r="F14" s="223"/>
      <c r="G14" s="224" t="s">
        <v>2253</v>
      </c>
    </row>
    <row r="15" spans="1:8" s="219" customFormat="1" ht="13.5" hidden="1" customHeight="1">
      <c r="A15" s="232" t="s">
        <v>11</v>
      </c>
      <c r="B15" s="220" t="s">
        <v>2254</v>
      </c>
      <c r="C15" s="225"/>
      <c r="D15" s="955"/>
      <c r="E15" s="223"/>
      <c r="F15" s="223"/>
      <c r="G15" s="224" t="s">
        <v>2255</v>
      </c>
    </row>
    <row r="16" spans="1:8" s="219" customFormat="1" ht="13.5" hidden="1" customHeight="1">
      <c r="A16" s="232" t="s">
        <v>12</v>
      </c>
      <c r="B16" s="220" t="s">
        <v>2164</v>
      </c>
      <c r="C16" s="225"/>
      <c r="D16" s="955"/>
      <c r="E16" s="223"/>
      <c r="F16" s="223"/>
      <c r="G16" s="224"/>
    </row>
    <row r="17" spans="1:7" s="219" customFormat="1" ht="13.5" hidden="1" customHeight="1">
      <c r="A17" s="232" t="s">
        <v>13</v>
      </c>
      <c r="B17" s="220" t="s">
        <v>2256</v>
      </c>
      <c r="C17" s="234"/>
      <c r="D17" s="956"/>
      <c r="E17" s="234"/>
      <c r="F17" s="234"/>
      <c r="G17" s="224" t="s">
        <v>2255</v>
      </c>
    </row>
    <row r="18" spans="1:7" s="219" customFormat="1" ht="13.5" hidden="1" customHeight="1">
      <c r="A18" s="232" t="s">
        <v>14</v>
      </c>
      <c r="B18" s="220" t="s">
        <v>2257</v>
      </c>
      <c r="C18" s="225">
        <v>0</v>
      </c>
      <c r="D18" s="955"/>
      <c r="E18" s="223"/>
      <c r="F18" s="226">
        <v>3.0499999999999999E-2</v>
      </c>
      <c r="G18" s="224" t="s">
        <v>2258</v>
      </c>
    </row>
    <row r="19" spans="1:7" s="228" customFormat="1" ht="13.5" customHeight="1">
      <c r="A19" s="260" t="s">
        <v>2259</v>
      </c>
      <c r="B19" s="215" t="s">
        <v>2260</v>
      </c>
      <c r="C19" s="216">
        <f ca="1">IF(G19="已包含在土地取得成本中","0",ROUND(D19*E19,0))</f>
        <v>23592820</v>
      </c>
      <c r="D19" s="957">
        <f ca="1">D9+D10</f>
        <v>117964.09999999983</v>
      </c>
      <c r="E19" s="216">
        <f>'数据-取费表'!B31</f>
        <v>200</v>
      </c>
      <c r="F19" s="236"/>
      <c r="G19" s="2041"/>
    </row>
    <row r="20" spans="1:7" s="219" customFormat="1" ht="13.5" customHeight="1">
      <c r="A20" s="260" t="s">
        <v>2261</v>
      </c>
      <c r="B20" s="215" t="s">
        <v>2262</v>
      </c>
      <c r="C20" s="237">
        <f ca="1">ROUND((C5+C19)*F20,0)</f>
        <v>648803</v>
      </c>
      <c r="D20" s="237"/>
      <c r="E20" s="237"/>
      <c r="F20" s="238">
        <f>'数据-取费表'!B37</f>
        <v>0.02</v>
      </c>
      <c r="G20" s="239" t="s">
        <v>2263</v>
      </c>
    </row>
    <row r="21" spans="1:7" s="219" customFormat="1" ht="13.5" customHeight="1">
      <c r="A21" s="260" t="s">
        <v>2264</v>
      </c>
      <c r="B21" s="215" t="s">
        <v>2265</v>
      </c>
      <c r="C21" s="240">
        <f>F21</f>
        <v>0.03</v>
      </c>
      <c r="D21" s="241" t="s">
        <v>2266</v>
      </c>
      <c r="E21" s="237"/>
      <c r="F21" s="238">
        <f>'数据-取费表'!B38</f>
        <v>0.03</v>
      </c>
      <c r="G21" s="239" t="s">
        <v>2267</v>
      </c>
    </row>
    <row r="22" spans="1:7" s="219" customFormat="1" ht="13.5" customHeight="1">
      <c r="A22" s="260" t="s">
        <v>2268</v>
      </c>
      <c r="B22" s="215" t="s">
        <v>2269</v>
      </c>
      <c r="C22" s="1288">
        <f ca="1">ROUND(SUM(C23:C25),0)</f>
        <v>2911899</v>
      </c>
      <c r="D22" s="240">
        <f ca="1">C26</f>
        <v>1.2999999999999999E-3</v>
      </c>
      <c r="E22" s="241" t="s">
        <v>2266</v>
      </c>
      <c r="F22" s="242">
        <f ca="1">'数据-取费表'!B40</f>
        <v>4.3499999999999997E-2</v>
      </c>
      <c r="G22" s="239" t="str">
        <f>IF('数据-取费表'!B22&lt;=1,"单利计息","复利计息")</f>
        <v>复利计息</v>
      </c>
    </row>
    <row r="23" spans="1:7" s="219" customFormat="1" ht="13.5" customHeight="1">
      <c r="A23" s="887" t="s">
        <v>2159</v>
      </c>
      <c r="B23" s="220" t="s">
        <v>2270</v>
      </c>
      <c r="C23" s="1289">
        <f ca="1">ROUND(IF('数据-取费表'!B22&lt;=1,C5*F22*'数据-取费表'!B22,C5*(POWER((1+F22),'数据-取费表'!B22)-1)),0)</f>
        <v>786457</v>
      </c>
      <c r="D23" s="243"/>
      <c r="E23" s="243"/>
      <c r="F23" s="244"/>
      <c r="G23" s="245" t="s">
        <v>2271</v>
      </c>
    </row>
    <row r="24" spans="1:7" s="219" customFormat="1" ht="13.5" customHeight="1">
      <c r="A24" s="887" t="s">
        <v>2161</v>
      </c>
      <c r="B24" s="220" t="s">
        <v>2272</v>
      </c>
      <c r="C24" s="1289">
        <f ca="1">ROUND(IF('数据-取费表'!B22&lt;=1,C19*F22*('数据-取费表'!B19/2+'数据-取费表'!B20),C19*(POWER((1+F22),('数据-取费表'!B19/2+'数据-取费表'!B20))-1)),0)</f>
        <v>2097219</v>
      </c>
      <c r="D24" s="243"/>
      <c r="E24" s="243"/>
      <c r="F24" s="244"/>
      <c r="G24" s="245" t="s">
        <v>2273</v>
      </c>
    </row>
    <row r="25" spans="1:7" s="219" customFormat="1" ht="24">
      <c r="A25" s="887" t="s">
        <v>2163</v>
      </c>
      <c r="B25" s="220" t="s">
        <v>2274</v>
      </c>
      <c r="C25" s="1289">
        <f ca="1">ROUND(IF('数据-取费表'!B22&lt;=1,C20*F22*'数据-取费表'!B22/2,C20*(POWER((1+F22),'数据-取费表'!B22/2)-1)),0)</f>
        <v>28223</v>
      </c>
      <c r="D25" s="243"/>
      <c r="E25" s="246"/>
      <c r="F25" s="244"/>
      <c r="G25" s="247" t="s">
        <v>2275</v>
      </c>
    </row>
    <row r="26" spans="1:7" s="219" customFormat="1">
      <c r="A26" s="887" t="s">
        <v>795</v>
      </c>
      <c r="B26" s="220" t="s">
        <v>2198</v>
      </c>
      <c r="C26" s="243">
        <f ca="1">ROUND(IF('数据-取费表'!B22&lt;=1,F21*F22*'数据-取费表'!B22/2,F21*(POWER((1+F22),'数据-取费表'!B22/2)-1)),4)</f>
        <v>1.2999999999999999E-3</v>
      </c>
      <c r="D26" s="243"/>
      <c r="E26" s="246"/>
      <c r="F26" s="244"/>
      <c r="G26" s="248"/>
    </row>
    <row r="27" spans="1:7" s="219" customFormat="1" ht="24.75">
      <c r="A27" s="260" t="s">
        <v>2199</v>
      </c>
      <c r="B27" s="249" t="s">
        <v>2200</v>
      </c>
      <c r="C27" s="250">
        <f ca="1">C28</f>
        <v>2978004</v>
      </c>
      <c r="D27" s="240">
        <f ca="1">C29</f>
        <v>2.7000000000000001E-3</v>
      </c>
      <c r="E27" s="241" t="s">
        <v>2201</v>
      </c>
      <c r="F27" s="251">
        <f ca="1">IF(B1="",'数据-取费表'!Q16,INDIRECT("'数据-取费表'!q"&amp;$G$1))</f>
        <v>0.09</v>
      </c>
      <c r="G27" s="252" t="s">
        <v>2202</v>
      </c>
    </row>
    <row r="28" spans="1:7" s="219" customFormat="1" ht="13.5" customHeight="1">
      <c r="A28" s="887" t="s">
        <v>791</v>
      </c>
      <c r="B28" s="253" t="s">
        <v>2203</v>
      </c>
      <c r="C28" s="254">
        <f ca="1">ROUND((C5+C19+C20)*F27,0)</f>
        <v>2978004</v>
      </c>
      <c r="D28" s="240"/>
      <c r="E28" s="241"/>
      <c r="F28" s="251"/>
      <c r="G28" s="252"/>
    </row>
    <row r="29" spans="1:7" s="219" customFormat="1" ht="13.5" customHeight="1">
      <c r="A29" s="887" t="s">
        <v>792</v>
      </c>
      <c r="B29" s="253" t="s">
        <v>2204</v>
      </c>
      <c r="C29" s="243">
        <f ca="1">ROUND(C21*F27,4)</f>
        <v>2.7000000000000001E-3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42707169</v>
      </c>
      <c r="D31" s="235"/>
      <c r="E31" s="216"/>
      <c r="F31" s="255"/>
      <c r="G31" s="239" t="s">
        <v>2209</v>
      </c>
    </row>
    <row r="32" spans="1:7" s="213" customFormat="1" ht="15.75">
      <c r="A32" s="257" t="s">
        <v>2276</v>
      </c>
      <c r="B32" s="258"/>
      <c r="C32" s="258"/>
      <c r="D32" s="258"/>
      <c r="E32" s="258"/>
      <c r="F32" s="258"/>
      <c r="G32" s="259"/>
    </row>
    <row r="33" spans="1:7" s="219" customFormat="1" ht="13.5" customHeight="1">
      <c r="A33" s="260" t="s">
        <v>782</v>
      </c>
      <c r="B33" s="215" t="s">
        <v>2277</v>
      </c>
      <c r="C33" s="261">
        <f ca="1">SUM(C34:C38)</f>
        <v>465176219</v>
      </c>
      <c r="D33" s="237"/>
      <c r="E33" s="217"/>
      <c r="F33" s="246"/>
      <c r="G33" s="239"/>
    </row>
    <row r="34" spans="1:7" s="263" customFormat="1" ht="13.5" customHeight="1">
      <c r="A34" s="887" t="s">
        <v>791</v>
      </c>
      <c r="B34" s="220" t="s">
        <v>2212</v>
      </c>
      <c r="C34" s="225">
        <f ca="1">ROUND(IF(B1="",SUMPRODUCT('数据-取费表'!K6:K14,'数据-取费表'!L6:L14),INDIRECT("'数据-取费表'!l"&amp;$G$1)*INDIRECT("'数据-取费表'!k"&amp;$G$1)+'数据-取费表'!L14*INDIRECT("'数据-取费表'!S"&amp;$G$1)),0)</f>
        <v>406269145</v>
      </c>
      <c r="D34" s="222"/>
      <c r="E34" s="225"/>
      <c r="F34" s="262"/>
      <c r="G34" s="224"/>
    </row>
    <row r="35" spans="1:7" ht="13.5" customHeight="1">
      <c r="A35" s="887" t="s">
        <v>796</v>
      </c>
      <c r="B35" s="220" t="s">
        <v>2214</v>
      </c>
      <c r="C35" s="225">
        <f ca="1">ROUND(C34*F35,0)</f>
        <v>12188074</v>
      </c>
      <c r="D35" s="225"/>
      <c r="E35" s="225"/>
      <c r="F35" s="264">
        <f>'数据-取费表'!B33</f>
        <v>0.03</v>
      </c>
      <c r="G35" s="224" t="s">
        <v>2215</v>
      </c>
    </row>
    <row r="36" spans="1:7" ht="24">
      <c r="A36" s="887" t="s">
        <v>797</v>
      </c>
      <c r="B36" s="220" t="s">
        <v>2216</v>
      </c>
      <c r="C36" s="225">
        <f ca="1">ROUND(IF(B1="",SUM('数据-取费表'!AP6:AP13)*F36,IF(INDIRECT("'数据-取费表'!c"&amp;$G$1)="住宅",INDIRECT("'数据-取费表'!k"&amp;$G$1)*INDIRECT("'数据-取费表'!l"&amp;$G$1)*F36,0)),0)</f>
        <v>17032143</v>
      </c>
      <c r="D36" s="225"/>
      <c r="E36" s="225"/>
      <c r="F36" s="264">
        <f>'数据-取费表'!B34</f>
        <v>0.05</v>
      </c>
      <c r="G36" s="265" t="s">
        <v>2217</v>
      </c>
    </row>
    <row r="37" spans="1:7" s="263" customFormat="1" ht="13.5" customHeight="1">
      <c r="A37" s="887" t="s">
        <v>798</v>
      </c>
      <c r="B37" s="220" t="s">
        <v>2218</v>
      </c>
      <c r="C37" s="254">
        <f ca="1">ROUND(E37*D37,0)</f>
        <v>23592820</v>
      </c>
      <c r="D37" s="222">
        <f ca="1">D19</f>
        <v>117964.09999999983</v>
      </c>
      <c r="E37" s="254">
        <f>'数据-取费表'!B35</f>
        <v>200</v>
      </c>
      <c r="F37" s="264"/>
      <c r="G37" s="266"/>
    </row>
    <row r="38" spans="1:7" ht="13.5" customHeight="1">
      <c r="A38" s="887" t="s">
        <v>799</v>
      </c>
      <c r="B38" s="220" t="s">
        <v>2220</v>
      </c>
      <c r="C38" s="225">
        <f ca="1">ROUND(C34*F38,0)</f>
        <v>6094037</v>
      </c>
      <c r="D38" s="225"/>
      <c r="E38" s="225"/>
      <c r="F38" s="264">
        <f>'数据-取费表'!B36</f>
        <v>1.4999999999999999E-2</v>
      </c>
      <c r="G38" s="224" t="s">
        <v>2215</v>
      </c>
    </row>
    <row r="39" spans="1:7" s="219" customFormat="1" ht="13.5" customHeight="1">
      <c r="A39" s="260" t="s">
        <v>2221</v>
      </c>
      <c r="B39" s="215" t="s">
        <v>2222</v>
      </c>
      <c r="C39" s="237">
        <f ca="1">ROUND(C33*F20,0)</f>
        <v>9303524</v>
      </c>
      <c r="D39" s="237"/>
      <c r="E39" s="237"/>
      <c r="F39" s="2532">
        <f>F20</f>
        <v>0.02</v>
      </c>
      <c r="G39" s="239" t="s">
        <v>2223</v>
      </c>
    </row>
    <row r="40" spans="1:7" s="219" customFormat="1" ht="13.5" customHeight="1">
      <c r="A40" s="260" t="s">
        <v>2224</v>
      </c>
      <c r="B40" s="215" t="s">
        <v>2225</v>
      </c>
      <c r="C40" s="1494">
        <f>F21</f>
        <v>0.03</v>
      </c>
      <c r="D40" s="241" t="s">
        <v>2226</v>
      </c>
      <c r="E40" s="237"/>
      <c r="F40" s="2532">
        <f>F21</f>
        <v>0.03</v>
      </c>
      <c r="G40" s="239" t="s">
        <v>2227</v>
      </c>
    </row>
    <row r="41" spans="1:7" s="219" customFormat="1" ht="13.5" customHeight="1">
      <c r="A41" s="260" t="s">
        <v>2228</v>
      </c>
      <c r="B41" s="215" t="s">
        <v>2229</v>
      </c>
      <c r="C41" s="237">
        <f ca="1">ROUND(SUM(C42:C43),0)</f>
        <v>20639869</v>
      </c>
      <c r="D41" s="240">
        <f ca="1">C44</f>
        <v>1.2999999999999999E-3</v>
      </c>
      <c r="E41" s="241" t="s">
        <v>2226</v>
      </c>
      <c r="F41" s="2533">
        <f ca="1">F22</f>
        <v>4.3499999999999997E-2</v>
      </c>
      <c r="G41" s="239" t="str">
        <f>IF('数据-取费表'!B22&lt;=1,"单利计息","复利计息")</f>
        <v>复利计息</v>
      </c>
    </row>
    <row r="42" spans="1:7" ht="13.5" customHeight="1">
      <c r="A42" s="887" t="s">
        <v>791</v>
      </c>
      <c r="B42" s="220" t="s">
        <v>2230</v>
      </c>
      <c r="C42" s="243">
        <f ca="1">ROUND(IF('数据-取费表'!B22&lt;=1,C33*F22*'数据-取费表'!B20/2,C33*(POWER((1+F22),'数据-取费表'!B20/2)-1)),0)</f>
        <v>20235166</v>
      </c>
      <c r="D42" s="243"/>
      <c r="E42" s="243"/>
      <c r="F42" s="244"/>
      <c r="G42" s="3288" t="s">
        <v>2278</v>
      </c>
    </row>
    <row r="43" spans="1:7" ht="13.5" customHeight="1">
      <c r="A43" s="887" t="s">
        <v>792</v>
      </c>
      <c r="B43" s="220" t="s">
        <v>2232</v>
      </c>
      <c r="C43" s="243">
        <f ca="1">ROUND(IF('数据-取费表'!B22&lt;=1,C39*F22*'数据-取费表'!B20/2,C39*(POWER((1+F22),'数据-取费表'!B20/2)-1)),0)</f>
        <v>404703</v>
      </c>
      <c r="D43" s="243"/>
      <c r="E43" s="243"/>
      <c r="F43" s="244"/>
      <c r="G43" s="3289"/>
    </row>
    <row r="44" spans="1:7" ht="13.5" customHeight="1">
      <c r="A44" s="887" t="s">
        <v>793</v>
      </c>
      <c r="B44" s="220" t="s">
        <v>2233</v>
      </c>
      <c r="C44" s="243">
        <f ca="1">ROUND(IF('数据-取费表'!B22&lt;=1,C40*F22*'数据-取费表'!B20/2,C40*(POWER((1+F22),'数据-取费表'!B20/2)-1)),4)</f>
        <v>1.2999999999999999E-3</v>
      </c>
      <c r="D44" s="243"/>
      <c r="E44" s="243"/>
      <c r="F44" s="244"/>
      <c r="G44" s="3290"/>
    </row>
    <row r="45" spans="1:7" s="219" customFormat="1" ht="13.5" customHeight="1">
      <c r="A45" s="260" t="s">
        <v>2234</v>
      </c>
      <c r="B45" s="249" t="s">
        <v>2200</v>
      </c>
      <c r="C45" s="250">
        <f ca="1">C46</f>
        <v>42703177</v>
      </c>
      <c r="D45" s="240">
        <f ca="1">C47</f>
        <v>2.7000000000000001E-3</v>
      </c>
      <c r="E45" s="241" t="s">
        <v>2226</v>
      </c>
      <c r="F45" s="2534">
        <f ca="1">F27</f>
        <v>0.09</v>
      </c>
      <c r="G45" s="252" t="s">
        <v>2235</v>
      </c>
    </row>
    <row r="46" spans="1:7" s="219" customFormat="1" ht="13.5" customHeight="1">
      <c r="A46" s="887" t="s">
        <v>791</v>
      </c>
      <c r="B46" s="253" t="s">
        <v>2236</v>
      </c>
      <c r="C46" s="254">
        <f ca="1">ROUND((C33+C39)*F27,0)</f>
        <v>42703177</v>
      </c>
      <c r="D46" s="268"/>
      <c r="E46" s="241"/>
      <c r="F46" s="251"/>
      <c r="G46" s="252"/>
    </row>
    <row r="47" spans="1:7" s="219" customFormat="1" ht="13.5" customHeight="1">
      <c r="A47" s="887" t="s">
        <v>792</v>
      </c>
      <c r="B47" s="253" t="s">
        <v>2237</v>
      </c>
      <c r="C47" s="243">
        <f ca="1">ROUND(C40*F27,4)</f>
        <v>2.7000000000000001E-3</v>
      </c>
      <c r="D47" s="268"/>
      <c r="E47" s="241"/>
      <c r="F47" s="251"/>
      <c r="G47" s="252"/>
    </row>
    <row r="48" spans="1:7" s="219" customFormat="1" ht="13.5" customHeight="1">
      <c r="A48" s="260" t="s">
        <v>2199</v>
      </c>
      <c r="B48" s="215" t="s">
        <v>2238</v>
      </c>
      <c r="C48" s="267">
        <f>ROUND(F30/(1+'数据-取费表'!C42),4)</f>
        <v>5.33E-2</v>
      </c>
      <c r="D48" s="241" t="s">
        <v>2226</v>
      </c>
      <c r="E48" s="237"/>
      <c r="F48" s="2533">
        <f>F30</f>
        <v>5.6000000000000001E-2</v>
      </c>
      <c r="G48" s="239" t="s">
        <v>2239</v>
      </c>
    </row>
    <row r="49" spans="1:7" ht="16.5" customHeight="1">
      <c r="A49" s="260" t="s">
        <v>2205</v>
      </c>
      <c r="B49" s="215" t="s">
        <v>2279</v>
      </c>
      <c r="C49" s="237">
        <f ca="1">ROUND((C33+C39+C41+C45)/(1-C40-D41-D45-C48),0)</f>
        <v>589265683</v>
      </c>
      <c r="D49" s="237"/>
      <c r="E49" s="237"/>
      <c r="F49" s="269"/>
      <c r="G49" s="239" t="s">
        <v>2241</v>
      </c>
    </row>
    <row r="50" spans="1:7" s="263" customFormat="1">
      <c r="A50" s="260" t="s">
        <v>2242</v>
      </c>
      <c r="B50" s="215" t="s">
        <v>2243</v>
      </c>
      <c r="C50" s="237"/>
      <c r="D50" s="237"/>
      <c r="E50" s="237"/>
      <c r="F50" s="269">
        <f>IF('数据-取费表'!B24=0,'数据-取费表'!N16,1)</f>
        <v>1</v>
      </c>
      <c r="G50" s="252"/>
    </row>
    <row r="51" spans="1:7" ht="16.5" customHeight="1">
      <c r="A51" s="260" t="s">
        <v>2245</v>
      </c>
      <c r="B51" s="215" t="s">
        <v>2280</v>
      </c>
      <c r="C51" s="237">
        <f ca="1">ROUND(C49*F50,0)</f>
        <v>589265683</v>
      </c>
      <c r="D51" s="237"/>
      <c r="E51" s="237"/>
      <c r="F51" s="269"/>
      <c r="G51" s="239" t="s">
        <v>2247</v>
      </c>
    </row>
    <row r="52" spans="1:7" s="213" customFormat="1" ht="16.5" thickBot="1">
      <c r="A52" s="270" t="s">
        <v>2248</v>
      </c>
      <c r="B52" s="271"/>
      <c r="C52" s="272">
        <f ca="1">C31+C51</f>
        <v>631972852</v>
      </c>
      <c r="D52" s="271"/>
      <c r="E52" s="271"/>
      <c r="F52" s="271"/>
      <c r="G52" s="273"/>
    </row>
    <row r="55" spans="1:7" ht="15">
      <c r="B55" s="275" t="s">
        <v>2249</v>
      </c>
      <c r="C55" s="276"/>
    </row>
    <row r="56" spans="1:7">
      <c r="B56" s="278" t="s">
        <v>1478</v>
      </c>
      <c r="C56" s="280">
        <f ca="1">1-C57</f>
        <v>6.7999999999999949E-2</v>
      </c>
    </row>
    <row r="57" spans="1:7">
      <c r="B57" s="278" t="s">
        <v>1479</v>
      </c>
      <c r="C57" s="279">
        <f ca="1">ROUND(C51/C52,3)</f>
        <v>0.93200000000000005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26"/>
  <sheetViews>
    <sheetView topLeftCell="A25" workbookViewId="0">
      <selection activeCell="O59" sqref="O59"/>
    </sheetView>
  </sheetViews>
  <sheetFormatPr defaultRowHeight="12.75"/>
  <cols>
    <col min="1" max="1" width="54.125" style="3073" customWidth="1"/>
    <col min="2" max="2" width="6.25" style="3073" hidden="1" customWidth="1"/>
    <col min="3" max="3" width="13.875" style="3073" hidden="1" customWidth="1"/>
    <col min="4" max="4" width="7.375" style="3073" customWidth="1"/>
    <col min="5" max="5" width="10.25" style="3073" customWidth="1"/>
    <col min="6" max="6" width="13.75" style="3073" customWidth="1"/>
    <col min="7" max="7" width="7.875" style="3073" hidden="1" customWidth="1"/>
    <col min="8" max="8" width="18.375" style="3073" hidden="1" customWidth="1"/>
    <col min="9" max="9" width="7.875" style="3073" customWidth="1"/>
    <col min="10" max="11" width="9" style="3073" customWidth="1"/>
    <col min="12" max="12" width="7.875" style="3073" customWidth="1"/>
    <col min="13" max="13" width="8.5" style="3073" customWidth="1"/>
    <col min="14" max="14" width="10.25" style="3073" customWidth="1"/>
    <col min="15" max="15" width="10.125" style="3073" customWidth="1"/>
    <col min="16" max="16" width="6.25" style="3073" customWidth="1"/>
    <col min="17" max="17" width="26.125" style="3073" customWidth="1"/>
    <col min="18" max="16384" width="9" style="3073"/>
  </cols>
  <sheetData>
    <row r="1" spans="1:17">
      <c r="A1" s="3073" t="s">
        <v>4677</v>
      </c>
      <c r="B1" s="3073" t="s">
        <v>4676</v>
      </c>
      <c r="C1" s="3073" t="s">
        <v>4675</v>
      </c>
      <c r="D1" s="3073" t="s">
        <v>4674</v>
      </c>
      <c r="E1" s="3073" t="s">
        <v>4673</v>
      </c>
      <c r="F1" s="3073" t="s">
        <v>4672</v>
      </c>
      <c r="G1" s="3073" t="s">
        <v>4671</v>
      </c>
      <c r="H1" s="3073" t="s">
        <v>4670</v>
      </c>
      <c r="I1" s="3073" t="s">
        <v>4669</v>
      </c>
      <c r="J1" s="3073" t="s">
        <v>4668</v>
      </c>
      <c r="K1" s="3073" t="s">
        <v>4667</v>
      </c>
      <c r="L1" s="3073" t="s">
        <v>4666</v>
      </c>
      <c r="M1" s="3073" t="s">
        <v>4665</v>
      </c>
      <c r="N1" s="3073" t="s">
        <v>4678</v>
      </c>
      <c r="O1" s="3073" t="s">
        <v>4664</v>
      </c>
      <c r="P1" s="3073" t="s">
        <v>4663</v>
      </c>
      <c r="Q1" s="3073" t="s">
        <v>4662</v>
      </c>
    </row>
    <row r="2" spans="1:17">
      <c r="A2" s="3073" t="s">
        <v>4661</v>
      </c>
      <c r="B2" s="3073" t="s">
        <v>4563</v>
      </c>
      <c r="C2" s="3073" t="s">
        <v>4660</v>
      </c>
      <c r="D2" s="3073">
        <v>7916</v>
      </c>
      <c r="E2" s="3073">
        <v>19790</v>
      </c>
      <c r="F2" s="3073" t="s">
        <v>4659</v>
      </c>
      <c r="G2" s="3073" t="s">
        <v>4560</v>
      </c>
      <c r="H2" s="3073" t="s">
        <v>4658</v>
      </c>
      <c r="I2" s="3073">
        <v>0</v>
      </c>
      <c r="J2" s="3073" t="s">
        <v>4657</v>
      </c>
      <c r="K2" s="3073" t="s">
        <v>4657</v>
      </c>
      <c r="L2" s="3073">
        <v>673</v>
      </c>
      <c r="M2" s="3073">
        <v>673</v>
      </c>
      <c r="N2" s="3073">
        <v>56.68</v>
      </c>
      <c r="O2" s="3073">
        <v>340.06</v>
      </c>
      <c r="P2" s="3073">
        <v>0</v>
      </c>
      <c r="Q2" s="3073" t="s">
        <v>4656</v>
      </c>
    </row>
    <row r="3" spans="1:17">
      <c r="A3" s="3073" t="s">
        <v>4655</v>
      </c>
      <c r="B3" s="3073" t="s">
        <v>4563</v>
      </c>
      <c r="C3" s="3073" t="s">
        <v>4562</v>
      </c>
      <c r="D3" s="3073">
        <v>5139</v>
      </c>
      <c r="E3" s="3073">
        <v>5909.85</v>
      </c>
      <c r="F3" s="3073" t="s">
        <v>4654</v>
      </c>
      <c r="G3" s="3073" t="s">
        <v>4560</v>
      </c>
      <c r="H3" s="3073" t="s">
        <v>4653</v>
      </c>
      <c r="I3" s="3073">
        <v>0</v>
      </c>
      <c r="J3" s="3073" t="s">
        <v>4652</v>
      </c>
      <c r="K3" s="3073" t="s">
        <v>4651</v>
      </c>
      <c r="L3" s="3073">
        <v>1789</v>
      </c>
      <c r="M3" s="3073">
        <v>2683</v>
      </c>
      <c r="N3" s="3073">
        <v>348.06</v>
      </c>
      <c r="O3" s="3073">
        <v>4539.88</v>
      </c>
      <c r="P3" s="3073">
        <v>49.97</v>
      </c>
      <c r="Q3" s="3073" t="s">
        <v>4650</v>
      </c>
    </row>
    <row r="4" spans="1:17">
      <c r="A4" s="3073" t="s">
        <v>4649</v>
      </c>
      <c r="B4" s="3073" t="s">
        <v>4563</v>
      </c>
      <c r="C4" s="3073" t="s">
        <v>4562</v>
      </c>
      <c r="D4" s="3073">
        <v>21791</v>
      </c>
      <c r="E4" s="3073">
        <v>37044.699999999997</v>
      </c>
      <c r="F4" s="3073" t="s">
        <v>4648</v>
      </c>
      <c r="G4" s="3073" t="s">
        <v>4560</v>
      </c>
      <c r="H4" s="3073" t="s">
        <v>4562</v>
      </c>
      <c r="I4" s="3073">
        <v>0</v>
      </c>
      <c r="J4" s="3073" t="s">
        <v>4647</v>
      </c>
      <c r="K4" s="3073" t="s">
        <v>4647</v>
      </c>
      <c r="L4" s="3073">
        <v>54867</v>
      </c>
      <c r="M4" s="3073">
        <v>56867</v>
      </c>
      <c r="N4" s="3073">
        <v>1739.77</v>
      </c>
      <c r="O4" s="3073">
        <v>15350.9</v>
      </c>
      <c r="P4" s="3073">
        <v>3.65</v>
      </c>
      <c r="Q4" s="3073" t="s">
        <v>4646</v>
      </c>
    </row>
    <row r="5" spans="1:17">
      <c r="A5" s="3073" t="s">
        <v>4645</v>
      </c>
      <c r="B5" s="3073" t="s">
        <v>4563</v>
      </c>
      <c r="C5" s="3073" t="s">
        <v>4562</v>
      </c>
      <c r="D5" s="3073">
        <v>29952</v>
      </c>
      <c r="E5" s="3073">
        <v>47923.199999999997</v>
      </c>
      <c r="F5" s="3073" t="s">
        <v>4644</v>
      </c>
      <c r="G5" s="3073" t="s">
        <v>4560</v>
      </c>
      <c r="H5" s="3073" t="s">
        <v>4573</v>
      </c>
      <c r="I5" s="3073">
        <v>0</v>
      </c>
      <c r="J5" s="3073" t="s">
        <v>4643</v>
      </c>
      <c r="K5" s="3073" t="s">
        <v>4643</v>
      </c>
      <c r="L5" s="3073">
        <v>31630</v>
      </c>
      <c r="M5" s="3073">
        <v>31830</v>
      </c>
      <c r="N5" s="3073">
        <v>708.47</v>
      </c>
      <c r="O5" s="3073">
        <v>6641.88</v>
      </c>
      <c r="P5" s="3073">
        <v>0.63</v>
      </c>
      <c r="Q5" s="3073" t="s">
        <v>4642</v>
      </c>
    </row>
    <row r="6" spans="1:17">
      <c r="A6" s="3073" t="s">
        <v>4641</v>
      </c>
      <c r="B6" s="3073" t="s">
        <v>4563</v>
      </c>
      <c r="C6" s="3073" t="s">
        <v>4562</v>
      </c>
      <c r="D6" s="3073">
        <v>24098</v>
      </c>
      <c r="E6" s="3073">
        <v>43376.4</v>
      </c>
      <c r="F6" s="3073" t="s">
        <v>4640</v>
      </c>
      <c r="G6" s="3073" t="s">
        <v>4560</v>
      </c>
      <c r="H6" s="3073" t="s">
        <v>4573</v>
      </c>
      <c r="I6" s="3073">
        <v>0</v>
      </c>
      <c r="J6" s="3073" t="s">
        <v>4639</v>
      </c>
      <c r="K6" s="3073" t="s">
        <v>4639</v>
      </c>
      <c r="L6" s="3073">
        <v>43377</v>
      </c>
      <c r="M6" s="3073">
        <v>67677</v>
      </c>
      <c r="N6" s="3073">
        <v>1872.27</v>
      </c>
      <c r="O6" s="3073">
        <v>15602.26</v>
      </c>
      <c r="P6" s="3073">
        <v>56.02</v>
      </c>
      <c r="Q6" s="3073" t="s">
        <v>4638</v>
      </c>
    </row>
    <row r="7" spans="1:17" s="3072" customFormat="1">
      <c r="A7" s="3072" t="s">
        <v>4637</v>
      </c>
      <c r="B7" s="3072" t="s">
        <v>4563</v>
      </c>
      <c r="C7" s="3072" t="s">
        <v>4599</v>
      </c>
      <c r="D7" s="3072">
        <v>179649</v>
      </c>
      <c r="E7" s="3072">
        <v>353908.53</v>
      </c>
      <c r="F7" s="3072" t="s">
        <v>4636</v>
      </c>
      <c r="G7" s="3072" t="s">
        <v>4560</v>
      </c>
      <c r="H7" s="3072" t="s">
        <v>4607</v>
      </c>
      <c r="I7" s="3072">
        <v>0</v>
      </c>
      <c r="J7" s="3072" t="s">
        <v>4633</v>
      </c>
      <c r="K7" s="3072" t="s">
        <v>4633</v>
      </c>
      <c r="L7" s="3072">
        <v>302452</v>
      </c>
      <c r="M7" s="3072">
        <v>330452</v>
      </c>
      <c r="N7" s="3072">
        <v>1226.29</v>
      </c>
      <c r="O7" s="3072">
        <v>9337.2000000000007</v>
      </c>
      <c r="P7" s="3072">
        <v>9.26</v>
      </c>
      <c r="Q7" s="3072" t="s">
        <v>4632</v>
      </c>
    </row>
    <row r="8" spans="1:17">
      <c r="A8" s="3073" t="s">
        <v>4635</v>
      </c>
      <c r="B8" s="3073" t="s">
        <v>4563</v>
      </c>
      <c r="C8" s="3073" t="s">
        <v>4562</v>
      </c>
      <c r="D8" s="3073">
        <v>59850</v>
      </c>
      <c r="E8" s="3073">
        <v>113715</v>
      </c>
      <c r="F8" s="3073" t="s">
        <v>4634</v>
      </c>
      <c r="G8" s="3073" t="s">
        <v>4560</v>
      </c>
      <c r="H8" s="3073" t="s">
        <v>4573</v>
      </c>
      <c r="I8" s="3073">
        <v>0</v>
      </c>
      <c r="J8" s="3073" t="s">
        <v>4633</v>
      </c>
      <c r="K8" s="3073" t="s">
        <v>4633</v>
      </c>
      <c r="L8" s="3073">
        <v>97182</v>
      </c>
      <c r="M8" s="3073">
        <v>101382</v>
      </c>
      <c r="N8" s="3073">
        <v>1129.29</v>
      </c>
      <c r="O8" s="3073">
        <v>8915.4500000000007</v>
      </c>
      <c r="P8" s="3073">
        <v>4.32</v>
      </c>
      <c r="Q8" s="3073" t="s">
        <v>4632</v>
      </c>
    </row>
    <row r="9" spans="1:17">
      <c r="A9" s="3073" t="s">
        <v>4631</v>
      </c>
      <c r="B9" s="3073" t="s">
        <v>4563</v>
      </c>
      <c r="C9" s="3073" t="s">
        <v>4562</v>
      </c>
      <c r="D9" s="3073">
        <v>36594</v>
      </c>
      <c r="E9" s="3073">
        <v>69528.600000000006</v>
      </c>
      <c r="F9" s="3073" t="s">
        <v>4630</v>
      </c>
      <c r="G9" s="3073" t="s">
        <v>4560</v>
      </c>
      <c r="H9" s="3073" t="s">
        <v>4573</v>
      </c>
      <c r="I9" s="3073">
        <v>0</v>
      </c>
      <c r="J9" s="3073" t="s">
        <v>4629</v>
      </c>
      <c r="K9" s="3073" t="s">
        <v>4629</v>
      </c>
      <c r="L9" s="3073">
        <v>8234</v>
      </c>
      <c r="M9" s="3073">
        <v>12350</v>
      </c>
      <c r="N9" s="3073">
        <v>224.99</v>
      </c>
      <c r="O9" s="3073">
        <v>1776.25</v>
      </c>
      <c r="P9" s="3073">
        <v>49.99</v>
      </c>
      <c r="Q9" s="3073" t="s">
        <v>4628</v>
      </c>
    </row>
    <row r="10" spans="1:17" s="3072" customFormat="1">
      <c r="A10" s="3072" t="s">
        <v>4627</v>
      </c>
      <c r="B10" s="3072" t="s">
        <v>4563</v>
      </c>
      <c r="C10" s="3072" t="s">
        <v>4562</v>
      </c>
      <c r="D10" s="3072">
        <v>84195</v>
      </c>
      <c r="E10" s="3072">
        <v>202068</v>
      </c>
      <c r="F10" s="3072" t="s">
        <v>4626</v>
      </c>
      <c r="G10" s="3072" t="s">
        <v>4560</v>
      </c>
      <c r="H10" s="3072" t="s">
        <v>4573</v>
      </c>
      <c r="I10" s="3072">
        <v>0</v>
      </c>
      <c r="J10" s="3072" t="s">
        <v>4625</v>
      </c>
      <c r="K10" s="3072" t="s">
        <v>4625</v>
      </c>
      <c r="L10" s="3072">
        <v>165696</v>
      </c>
      <c r="M10" s="3072">
        <v>201196</v>
      </c>
      <c r="N10" s="3072">
        <v>1593.1</v>
      </c>
      <c r="O10" s="3072">
        <v>9956.85</v>
      </c>
      <c r="P10" s="3072">
        <v>21.42</v>
      </c>
      <c r="Q10" s="3072" t="s">
        <v>4605</v>
      </c>
    </row>
    <row r="11" spans="1:17" s="3074" customFormat="1">
      <c r="A11" s="3074" t="s">
        <v>4624</v>
      </c>
      <c r="B11" s="3074" t="s">
        <v>4563</v>
      </c>
      <c r="C11" s="3074" t="s">
        <v>4562</v>
      </c>
      <c r="D11" s="3074">
        <v>67064</v>
      </c>
      <c r="E11" s="3074">
        <v>167660</v>
      </c>
      <c r="F11" s="3074" t="s">
        <v>4583</v>
      </c>
      <c r="G11" s="3074" t="s">
        <v>4560</v>
      </c>
      <c r="H11" s="3074" t="s">
        <v>4573</v>
      </c>
      <c r="I11" s="3074">
        <v>0</v>
      </c>
      <c r="J11" s="3074" t="s">
        <v>4623</v>
      </c>
      <c r="K11" s="3074" t="s">
        <v>4623</v>
      </c>
      <c r="L11" s="3074">
        <v>142511</v>
      </c>
      <c r="M11" s="3074">
        <v>164011</v>
      </c>
      <c r="N11" s="3074">
        <v>1630.39</v>
      </c>
      <c r="O11" s="3074">
        <v>9782.36</v>
      </c>
      <c r="P11" s="3074">
        <v>15.09</v>
      </c>
      <c r="Q11" s="3074" t="s">
        <v>4622</v>
      </c>
    </row>
    <row r="12" spans="1:17">
      <c r="A12" s="3073" t="s">
        <v>4621</v>
      </c>
      <c r="B12" s="3073" t="s">
        <v>4563</v>
      </c>
      <c r="C12" s="3073" t="s">
        <v>4562</v>
      </c>
      <c r="D12" s="3073">
        <v>46047</v>
      </c>
      <c r="E12" s="3073">
        <v>81825.52</v>
      </c>
      <c r="F12" s="3073" t="s">
        <v>4620</v>
      </c>
      <c r="G12" s="3073" t="s">
        <v>4560</v>
      </c>
      <c r="H12" s="3073" t="s">
        <v>4562</v>
      </c>
      <c r="I12" s="3073">
        <v>0</v>
      </c>
      <c r="J12" s="3073" t="s">
        <v>4619</v>
      </c>
      <c r="K12" s="3073" t="s">
        <v>4619</v>
      </c>
      <c r="L12" s="3073">
        <v>67916</v>
      </c>
      <c r="M12" s="3073">
        <v>77716</v>
      </c>
      <c r="N12" s="3073">
        <v>1125.17</v>
      </c>
      <c r="O12" s="3073">
        <v>9497.77</v>
      </c>
      <c r="P12" s="3073">
        <v>14.43</v>
      </c>
      <c r="Q12" s="3073" t="s">
        <v>4618</v>
      </c>
    </row>
    <row r="13" spans="1:17">
      <c r="A13" s="3073" t="s">
        <v>4617</v>
      </c>
      <c r="B13" s="3073" t="s">
        <v>4563</v>
      </c>
      <c r="C13" s="3073" t="s">
        <v>4569</v>
      </c>
      <c r="D13" s="3073">
        <v>9564</v>
      </c>
      <c r="E13" s="3073">
        <v>14346</v>
      </c>
      <c r="F13" s="3073" t="s">
        <v>4616</v>
      </c>
      <c r="G13" s="3073" t="s">
        <v>4560</v>
      </c>
      <c r="H13" s="3073" t="s">
        <v>27</v>
      </c>
      <c r="I13" s="3073">
        <v>0</v>
      </c>
      <c r="J13" s="3073" t="s">
        <v>4615</v>
      </c>
      <c r="K13" s="3073" t="s">
        <v>4615</v>
      </c>
      <c r="L13" s="3073">
        <v>2296</v>
      </c>
      <c r="M13" s="3073">
        <v>2396</v>
      </c>
      <c r="N13" s="3073">
        <v>167.02</v>
      </c>
      <c r="O13" s="3073">
        <v>1670.15</v>
      </c>
      <c r="P13" s="3073">
        <v>4.3600000000000003</v>
      </c>
      <c r="Q13" s="3073" t="s">
        <v>4614</v>
      </c>
    </row>
    <row r="14" spans="1:17">
      <c r="A14" s="3073" t="s">
        <v>4613</v>
      </c>
      <c r="B14" s="3073" t="s">
        <v>4563</v>
      </c>
      <c r="C14" s="3073" t="s">
        <v>4562</v>
      </c>
      <c r="D14" s="3073">
        <v>23694</v>
      </c>
      <c r="E14" s="3073">
        <v>47388</v>
      </c>
      <c r="F14" s="3073" t="s">
        <v>4612</v>
      </c>
      <c r="G14" s="3073" t="s">
        <v>4560</v>
      </c>
      <c r="H14" s="3073" t="s">
        <v>4562</v>
      </c>
      <c r="I14" s="3073">
        <v>0</v>
      </c>
      <c r="J14" s="3073" t="s">
        <v>4611</v>
      </c>
      <c r="K14" s="3073" t="s">
        <v>4611</v>
      </c>
      <c r="L14" s="3073">
        <v>37342</v>
      </c>
      <c r="M14" s="3073">
        <v>41342</v>
      </c>
      <c r="N14" s="3073">
        <v>1163.22</v>
      </c>
      <c r="O14" s="3073">
        <v>8724.14</v>
      </c>
      <c r="P14" s="3073">
        <v>10.71</v>
      </c>
      <c r="Q14" s="3073" t="s">
        <v>4610</v>
      </c>
    </row>
    <row r="15" spans="1:17">
      <c r="A15" s="3073" t="s">
        <v>4609</v>
      </c>
      <c r="B15" s="3073" t="s">
        <v>4563</v>
      </c>
      <c r="C15" s="3073" t="s">
        <v>4599</v>
      </c>
      <c r="D15" s="3073">
        <v>75631</v>
      </c>
      <c r="E15" s="3073">
        <v>189077.5</v>
      </c>
      <c r="F15" s="3073" t="s">
        <v>4608</v>
      </c>
      <c r="G15" s="3073" t="s">
        <v>4560</v>
      </c>
      <c r="H15" s="3073" t="s">
        <v>4607</v>
      </c>
      <c r="I15" s="3073">
        <v>0</v>
      </c>
      <c r="J15" s="3073" t="s">
        <v>4606</v>
      </c>
      <c r="K15" s="3073" t="s">
        <v>4606</v>
      </c>
      <c r="L15" s="3073">
        <v>160716</v>
      </c>
      <c r="M15" s="3073">
        <v>160716</v>
      </c>
      <c r="N15" s="3073">
        <v>1416.67</v>
      </c>
      <c r="O15" s="3073">
        <v>8500.01</v>
      </c>
      <c r="P15" s="3073">
        <v>0</v>
      </c>
      <c r="Q15" s="3073" t="s">
        <v>4605</v>
      </c>
    </row>
    <row r="16" spans="1:17">
      <c r="A16" s="3073" t="s">
        <v>4604</v>
      </c>
      <c r="B16" s="3073" t="s">
        <v>4563</v>
      </c>
      <c r="C16" s="3073" t="s">
        <v>4599</v>
      </c>
      <c r="D16" s="3073">
        <v>103869</v>
      </c>
      <c r="E16" s="3073">
        <v>181874.62</v>
      </c>
      <c r="F16" s="3073" t="s">
        <v>4603</v>
      </c>
      <c r="G16" s="3073" t="s">
        <v>4560</v>
      </c>
      <c r="H16" s="3073" t="s">
        <v>4597</v>
      </c>
      <c r="I16" s="3073">
        <v>0</v>
      </c>
      <c r="J16" s="3073" t="s">
        <v>4602</v>
      </c>
      <c r="K16" s="3073" t="s">
        <v>4602</v>
      </c>
      <c r="L16" s="3073">
        <v>82799</v>
      </c>
      <c r="M16" s="3073">
        <v>82799</v>
      </c>
      <c r="N16" s="3073">
        <v>531.42999999999995</v>
      </c>
      <c r="O16" s="3073">
        <v>4552.5200000000004</v>
      </c>
      <c r="P16" s="3073">
        <v>0</v>
      </c>
      <c r="Q16" s="3073" t="s">
        <v>4601</v>
      </c>
    </row>
    <row r="17" spans="1:17">
      <c r="A17" s="3073" t="s">
        <v>4600</v>
      </c>
      <c r="B17" s="3073" t="s">
        <v>4563</v>
      </c>
      <c r="C17" s="3073" t="s">
        <v>4599</v>
      </c>
      <c r="D17" s="3073">
        <v>76356</v>
      </c>
      <c r="E17" s="3073">
        <v>198525.6</v>
      </c>
      <c r="F17" s="3073" t="s">
        <v>4598</v>
      </c>
      <c r="G17" s="3073" t="s">
        <v>4560</v>
      </c>
      <c r="H17" s="3073" t="s">
        <v>4597</v>
      </c>
      <c r="I17" s="3073">
        <v>0</v>
      </c>
      <c r="J17" s="3073" t="s">
        <v>4596</v>
      </c>
      <c r="K17" s="3073" t="s">
        <v>4596</v>
      </c>
      <c r="L17" s="3073">
        <v>119234</v>
      </c>
      <c r="M17" s="3073">
        <v>119234</v>
      </c>
      <c r="N17" s="3073">
        <v>1041.04</v>
      </c>
      <c r="O17" s="3073">
        <v>6005.97</v>
      </c>
      <c r="P17" s="3073">
        <v>0</v>
      </c>
      <c r="Q17" s="3073" t="s">
        <v>4595</v>
      </c>
    </row>
    <row r="18" spans="1:17" s="3072" customFormat="1">
      <c r="A18" s="3072" t="s">
        <v>4594</v>
      </c>
      <c r="B18" s="3072" t="s">
        <v>4563</v>
      </c>
      <c r="C18" s="3072" t="s">
        <v>4562</v>
      </c>
      <c r="D18" s="3072">
        <v>47113</v>
      </c>
      <c r="E18" s="3072">
        <v>108359.9</v>
      </c>
      <c r="F18" s="3072" t="s">
        <v>4593</v>
      </c>
      <c r="G18" s="3072" t="s">
        <v>4560</v>
      </c>
      <c r="H18" s="3072" t="s">
        <v>1298</v>
      </c>
      <c r="I18" s="3072">
        <v>0</v>
      </c>
      <c r="J18" s="3072" t="s">
        <v>4592</v>
      </c>
      <c r="K18" s="3072" t="s">
        <v>4592</v>
      </c>
      <c r="L18" s="3072">
        <v>102943</v>
      </c>
      <c r="M18" s="3072">
        <v>104743</v>
      </c>
      <c r="N18" s="3072">
        <v>1482.15</v>
      </c>
      <c r="O18" s="3072">
        <v>9666.2000000000007</v>
      </c>
      <c r="P18" s="3072">
        <v>1.75</v>
      </c>
      <c r="Q18" s="3072" t="s">
        <v>4591</v>
      </c>
    </row>
    <row r="19" spans="1:17">
      <c r="A19" s="3073" t="s">
        <v>4590</v>
      </c>
      <c r="B19" s="3073" t="s">
        <v>4563</v>
      </c>
      <c r="C19" s="3073" t="s">
        <v>4562</v>
      </c>
      <c r="D19" s="3073">
        <v>65517</v>
      </c>
      <c r="E19" s="3073">
        <v>131034</v>
      </c>
      <c r="F19" s="3073" t="s">
        <v>4589</v>
      </c>
      <c r="G19" s="3073" t="s">
        <v>4560</v>
      </c>
      <c r="H19" s="3073" t="s">
        <v>4562</v>
      </c>
      <c r="I19" s="3073">
        <v>0</v>
      </c>
      <c r="J19" s="3073" t="s">
        <v>4588</v>
      </c>
      <c r="K19" s="3073" t="s">
        <v>4588</v>
      </c>
      <c r="L19" s="3073">
        <v>85172</v>
      </c>
      <c r="M19" s="3073">
        <v>108372</v>
      </c>
      <c r="N19" s="3073">
        <v>1102.74</v>
      </c>
      <c r="O19" s="3073">
        <v>8270.5300000000007</v>
      </c>
      <c r="P19" s="3073">
        <v>27.24</v>
      </c>
      <c r="Q19" s="3073" t="s">
        <v>4587</v>
      </c>
    </row>
    <row r="20" spans="1:17">
      <c r="A20" s="3073" t="s">
        <v>4586</v>
      </c>
      <c r="B20" s="3073" t="s">
        <v>4563</v>
      </c>
      <c r="C20" s="3073" t="s">
        <v>4562</v>
      </c>
      <c r="D20" s="3073">
        <v>35626</v>
      </c>
      <c r="E20" s="3073">
        <v>96190.2</v>
      </c>
      <c r="F20" s="3073" t="s">
        <v>4585</v>
      </c>
      <c r="G20" s="3073" t="s">
        <v>4560</v>
      </c>
      <c r="H20" s="3073" t="s">
        <v>4582</v>
      </c>
      <c r="I20" s="3073">
        <v>0</v>
      </c>
      <c r="J20" s="3073" t="s">
        <v>4581</v>
      </c>
      <c r="K20" s="3073" t="s">
        <v>4581</v>
      </c>
      <c r="L20" s="3073">
        <v>67333</v>
      </c>
      <c r="M20" s="3073">
        <v>80333</v>
      </c>
      <c r="N20" s="3073">
        <v>1503.27</v>
      </c>
      <c r="O20" s="3073">
        <v>8351.4599999999991</v>
      </c>
      <c r="P20" s="3073">
        <v>19.309999999999999</v>
      </c>
      <c r="Q20" s="3073" t="s">
        <v>4580</v>
      </c>
    </row>
    <row r="21" spans="1:17">
      <c r="A21" s="3073" t="s">
        <v>4584</v>
      </c>
      <c r="B21" s="3073" t="s">
        <v>4563</v>
      </c>
      <c r="C21" s="3073" t="s">
        <v>4562</v>
      </c>
      <c r="D21" s="3073">
        <v>37756</v>
      </c>
      <c r="E21" s="3073">
        <v>94390</v>
      </c>
      <c r="F21" s="3073" t="s">
        <v>4583</v>
      </c>
      <c r="G21" s="3073" t="s">
        <v>4560</v>
      </c>
      <c r="H21" s="3073" t="s">
        <v>4582</v>
      </c>
      <c r="I21" s="3073">
        <v>0</v>
      </c>
      <c r="J21" s="3073" t="s">
        <v>4581</v>
      </c>
      <c r="K21" s="3073" t="s">
        <v>4581</v>
      </c>
      <c r="L21" s="3073">
        <v>66074</v>
      </c>
      <c r="M21" s="3073">
        <v>80474</v>
      </c>
      <c r="N21" s="3073">
        <v>1420.95</v>
      </c>
      <c r="O21" s="3073">
        <v>8525.69</v>
      </c>
      <c r="P21" s="3073">
        <v>21.79</v>
      </c>
      <c r="Q21" s="3073" t="s">
        <v>4580</v>
      </c>
    </row>
    <row r="22" spans="1:17">
      <c r="A22" s="3073" t="s">
        <v>4579</v>
      </c>
      <c r="B22" s="3073" t="s">
        <v>4563</v>
      </c>
      <c r="C22" s="3073" t="s">
        <v>4562</v>
      </c>
      <c r="D22" s="3073">
        <v>60267</v>
      </c>
      <c r="E22" s="3073">
        <v>150667.5</v>
      </c>
      <c r="F22" s="3073" t="s">
        <v>4578</v>
      </c>
      <c r="G22" s="3073" t="s">
        <v>4560</v>
      </c>
      <c r="H22" s="3073" t="s">
        <v>4573</v>
      </c>
      <c r="I22" s="3073">
        <v>0</v>
      </c>
      <c r="J22" s="3073" t="s">
        <v>4577</v>
      </c>
      <c r="K22" s="3073" t="s">
        <v>4577</v>
      </c>
      <c r="L22" s="3073">
        <v>117521</v>
      </c>
      <c r="M22" s="3073">
        <v>131921</v>
      </c>
      <c r="N22" s="3073">
        <v>1459.3</v>
      </c>
      <c r="O22" s="3073">
        <v>8755.77</v>
      </c>
      <c r="P22" s="3073">
        <v>12.25</v>
      </c>
      <c r="Q22" s="3073" t="s">
        <v>4576</v>
      </c>
    </row>
    <row r="23" spans="1:17">
      <c r="A23" s="3073" t="s">
        <v>4575</v>
      </c>
      <c r="B23" s="3073" t="s">
        <v>4563</v>
      </c>
      <c r="C23" s="3073" t="s">
        <v>4562</v>
      </c>
      <c r="D23" s="3073">
        <v>16384</v>
      </c>
      <c r="E23" s="3073">
        <v>32768</v>
      </c>
      <c r="F23" s="3073" t="s">
        <v>4574</v>
      </c>
      <c r="G23" s="3073" t="s">
        <v>4560</v>
      </c>
      <c r="H23" s="3073" t="s">
        <v>4573</v>
      </c>
      <c r="I23" s="3073">
        <v>0</v>
      </c>
      <c r="J23" s="3073" t="s">
        <v>4572</v>
      </c>
      <c r="K23" s="3073" t="s">
        <v>4572</v>
      </c>
      <c r="L23" s="3073">
        <v>22937</v>
      </c>
      <c r="M23" s="3073">
        <v>31537</v>
      </c>
      <c r="N23" s="3073">
        <v>1283.24</v>
      </c>
      <c r="O23" s="3073">
        <v>9624.32</v>
      </c>
      <c r="P23" s="3073">
        <v>37.49</v>
      </c>
      <c r="Q23" s="3073" t="s">
        <v>4571</v>
      </c>
    </row>
    <row r="24" spans="1:17">
      <c r="A24" s="3073" t="s">
        <v>4570</v>
      </c>
      <c r="B24" s="3073" t="s">
        <v>4563</v>
      </c>
      <c r="C24" s="3073" t="s">
        <v>4569</v>
      </c>
      <c r="D24" s="3073">
        <v>13822</v>
      </c>
      <c r="E24" s="3073">
        <v>16586.400000000001</v>
      </c>
      <c r="F24" s="3073" t="s">
        <v>4568</v>
      </c>
      <c r="G24" s="3073" t="s">
        <v>4560</v>
      </c>
      <c r="H24" s="3073" t="s">
        <v>4567</v>
      </c>
      <c r="I24" s="3073">
        <v>0</v>
      </c>
      <c r="J24" s="3073" t="s">
        <v>4566</v>
      </c>
      <c r="K24" s="3073" t="s">
        <v>4566</v>
      </c>
      <c r="L24" s="3073">
        <v>12799</v>
      </c>
      <c r="M24" s="3073">
        <v>12799</v>
      </c>
      <c r="N24" s="3073">
        <v>617.33000000000004</v>
      </c>
      <c r="O24" s="3073">
        <v>7716.56</v>
      </c>
      <c r="P24" s="3073">
        <v>0</v>
      </c>
      <c r="Q24" s="3073" t="s">
        <v>4565</v>
      </c>
    </row>
    <row r="25" spans="1:17">
      <c r="A25" s="3073" t="s">
        <v>4570</v>
      </c>
      <c r="B25" s="3073" t="s">
        <v>4563</v>
      </c>
      <c r="C25" s="3073" t="s">
        <v>4569</v>
      </c>
      <c r="D25" s="3073">
        <v>33787</v>
      </c>
      <c r="E25" s="3073">
        <v>40544.400000000001</v>
      </c>
      <c r="F25" s="3073" t="s">
        <v>4568</v>
      </c>
      <c r="G25" s="3073" t="s">
        <v>4560</v>
      </c>
      <c r="H25" s="3073" t="s">
        <v>4567</v>
      </c>
      <c r="I25" s="3073">
        <v>0</v>
      </c>
      <c r="J25" s="3073" t="s">
        <v>4566</v>
      </c>
      <c r="K25" s="3073" t="s">
        <v>4566</v>
      </c>
      <c r="L25" s="3073">
        <v>31290</v>
      </c>
      <c r="M25" s="3073">
        <v>31290</v>
      </c>
      <c r="N25" s="3073">
        <v>617.4</v>
      </c>
      <c r="O25" s="3073">
        <v>7717.47</v>
      </c>
      <c r="P25" s="3073">
        <v>0</v>
      </c>
      <c r="Q25" s="3073" t="s">
        <v>4565</v>
      </c>
    </row>
    <row r="26" spans="1:17">
      <c r="A26" s="3073" t="s">
        <v>4564</v>
      </c>
      <c r="B26" s="3073" t="s">
        <v>4563</v>
      </c>
      <c r="C26" s="3073" t="s">
        <v>4562</v>
      </c>
      <c r="D26" s="3073">
        <v>19568</v>
      </c>
      <c r="E26" s="3073">
        <v>43049.599999999999</v>
      </c>
      <c r="F26" s="3073" t="s">
        <v>4561</v>
      </c>
      <c r="G26" s="3073" t="s">
        <v>4560</v>
      </c>
      <c r="H26" s="3073" t="s">
        <v>4559</v>
      </c>
      <c r="I26" s="3073">
        <v>0</v>
      </c>
      <c r="J26" s="3073" t="s">
        <v>4558</v>
      </c>
      <c r="K26" s="3073" t="s">
        <v>4558</v>
      </c>
      <c r="L26" s="3073">
        <v>30996</v>
      </c>
      <c r="M26" s="3073">
        <v>33196</v>
      </c>
      <c r="N26" s="3073">
        <v>1130.96</v>
      </c>
      <c r="O26" s="3073">
        <v>7711.1</v>
      </c>
      <c r="P26" s="3073">
        <v>7.1</v>
      </c>
      <c r="Q26" s="3073" t="s">
        <v>4557</v>
      </c>
    </row>
  </sheetData>
  <phoneticPr fontId="141" type="noConversion"/>
  <pageMargins left="0.75" right="0.75" top="1" bottom="1" header="0.5" footer="0.5"/>
  <pageSetup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view="pageBreakPreview" zoomScale="85" zoomScaleNormal="60" zoomScaleSheetLayoutView="85" workbookViewId="0">
      <selection activeCell="M23" sqref="M23"/>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2563</v>
      </c>
      <c r="B1" s="354"/>
      <c r="C1" s="355" t="s">
        <v>2564</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2149</v>
      </c>
      <c r="B2" s="626">
        <f>F66</f>
        <v>98799</v>
      </c>
      <c r="C2" s="1037"/>
      <c r="D2" s="1037"/>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c r="AD2" s="356"/>
    </row>
    <row r="3" spans="1:30" s="357" customFormat="1" ht="28.5" customHeight="1" thickBot="1">
      <c r="A3" s="208" t="s">
        <v>2151</v>
      </c>
      <c r="B3" s="565">
        <f>ROUND(IF(D3="",B2*10000/'数据-汇总表'!E3,B2*10000/D3),0)</f>
        <v>8375</v>
      </c>
      <c r="C3" s="208" t="s">
        <v>2565</v>
      </c>
      <c r="D3" s="1354"/>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30" ht="15">
      <c r="A4" s="360" t="s">
        <v>2464</v>
      </c>
      <c r="B4" s="361"/>
      <c r="C4" s="3295" t="s">
        <v>2465</v>
      </c>
      <c r="D4" s="3308"/>
      <c r="E4" s="3309" t="s">
        <v>2466</v>
      </c>
      <c r="F4" s="3310"/>
      <c r="G4" s="3295" t="s">
        <v>2467</v>
      </c>
      <c r="H4" s="3308"/>
      <c r="I4" s="3295" t="s">
        <v>2468</v>
      </c>
      <c r="J4" s="3308"/>
      <c r="K4" s="566" t="s">
        <v>2469</v>
      </c>
      <c r="L4" s="2941"/>
      <c r="M4" s="2942"/>
      <c r="N4" s="2942"/>
      <c r="O4" s="2942"/>
      <c r="P4" s="3311" t="s">
        <v>2470</v>
      </c>
      <c r="Q4" s="3312"/>
      <c r="R4" s="3317" t="s">
        <v>2466</v>
      </c>
      <c r="S4" s="3318"/>
      <c r="T4" s="3317" t="s">
        <v>2467</v>
      </c>
      <c r="U4" s="3318"/>
      <c r="V4" s="3304" t="s">
        <v>2468</v>
      </c>
      <c r="W4" s="3304"/>
      <c r="X4" s="1538"/>
      <c r="Y4" s="3317" t="s">
        <v>2470</v>
      </c>
      <c r="Z4" s="3318"/>
      <c r="AA4" s="3305" t="s">
        <v>2466</v>
      </c>
      <c r="AB4" s="3306" t="s">
        <v>2467</v>
      </c>
      <c r="AC4" s="3305" t="s">
        <v>2468</v>
      </c>
    </row>
    <row r="5" spans="1:30" ht="15">
      <c r="A5" s="363"/>
      <c r="B5" s="364"/>
      <c r="C5" s="3325" t="s">
        <v>2361</v>
      </c>
      <c r="D5" s="3326"/>
      <c r="E5" s="3332" t="str">
        <f>Sheet0!A7</f>
        <v>江阴市澄江街道通渡路东、西横河南、通江路西、毗陵路北</v>
      </c>
      <c r="F5" s="3333"/>
      <c r="G5" s="3325" t="str">
        <f>Sheet0!A10</f>
        <v>江阴市澄江街道芙蓉大道南、虹桥南路东、立新路北、花山路西侧</v>
      </c>
      <c r="H5" s="3326"/>
      <c r="I5" s="3325" t="str">
        <f>Sheet0!A18</f>
        <v>江阴市澄江街道朝阳关南路东、人民东路南</v>
      </c>
      <c r="J5" s="3326"/>
      <c r="K5" s="566"/>
      <c r="L5" s="2941"/>
      <c r="M5" s="2942"/>
      <c r="N5" s="2942"/>
      <c r="O5" s="2942"/>
      <c r="P5" s="3313"/>
      <c r="Q5" s="3314"/>
      <c r="R5" s="3319"/>
      <c r="S5" s="3320"/>
      <c r="T5" s="3319"/>
      <c r="U5" s="3320"/>
      <c r="V5" s="3304"/>
      <c r="W5" s="3304"/>
      <c r="X5" s="1538"/>
      <c r="Y5" s="3319"/>
      <c r="Z5" s="3320"/>
      <c r="AA5" s="3306"/>
      <c r="AB5" s="3306"/>
      <c r="AC5" s="3306"/>
    </row>
    <row r="6" spans="1:30" ht="15.75" thickBot="1">
      <c r="A6" s="365"/>
      <c r="B6" s="366"/>
      <c r="C6" s="3323" t="s">
        <v>2365</v>
      </c>
      <c r="D6" s="3324"/>
      <c r="E6" s="3330" t="s">
        <v>2365</v>
      </c>
      <c r="F6" s="3331"/>
      <c r="G6" s="3323" t="s">
        <v>2365</v>
      </c>
      <c r="H6" s="3324"/>
      <c r="I6" s="3323" t="s">
        <v>2365</v>
      </c>
      <c r="J6" s="3324"/>
      <c r="K6" s="566" t="s">
        <v>2366</v>
      </c>
      <c r="L6" s="2941"/>
      <c r="M6" s="2942"/>
      <c r="N6" s="2942"/>
      <c r="O6" s="2942"/>
      <c r="P6" s="3315"/>
      <c r="Q6" s="3316"/>
      <c r="R6" s="3319"/>
      <c r="S6" s="3320"/>
      <c r="T6" s="3321"/>
      <c r="U6" s="3322"/>
      <c r="V6" s="3304"/>
      <c r="W6" s="3304"/>
      <c r="X6" s="1538"/>
      <c r="Y6" s="3321"/>
      <c r="Z6" s="3322"/>
      <c r="AA6" s="3307"/>
      <c r="AB6" s="3307"/>
      <c r="AC6" s="3307"/>
    </row>
    <row r="7" spans="1:30" s="112" customFormat="1" ht="15.75" thickBot="1">
      <c r="A7" s="367" t="s">
        <v>2367</v>
      </c>
      <c r="B7" s="368"/>
      <c r="C7" s="369">
        <f>'数据-取费表'!B2</f>
        <v>44478</v>
      </c>
      <c r="D7" s="370">
        <v>100</v>
      </c>
      <c r="E7" s="371" t="str">
        <f>Sheet0!K7</f>
        <v>2020-07-24</v>
      </c>
      <c r="F7" s="372">
        <f>SUMIF(70:70,YEAR(E7)&amp;"-"&amp;INT((MONTH(E7)+2)/3),71:71)</f>
        <v>97.5</v>
      </c>
      <c r="G7" s="2157" t="str">
        <f>Sheet0!K10</f>
        <v>2020-05-26</v>
      </c>
      <c r="H7" s="370">
        <f>SUMIF(70:70,YEAR(G7)&amp;"-"&amp;INT((MONTH(G7)+2)/3),71:71)</f>
        <v>97</v>
      </c>
      <c r="I7" s="2157" t="str">
        <f>Sheet0!K18</f>
        <v>2019-08-02</v>
      </c>
      <c r="J7" s="370">
        <f>SUMIF(70:70,YEAR(I7)&amp;"-"&amp;INT((MONTH(I7)+2)/3),71:71)</f>
        <v>95.5</v>
      </c>
      <c r="K7" s="567"/>
      <c r="L7" s="2943"/>
      <c r="M7" s="2944"/>
      <c r="N7" s="2944"/>
      <c r="O7" s="2944"/>
      <c r="P7" s="3327" t="s">
        <v>2368</v>
      </c>
      <c r="Q7" s="3329"/>
      <c r="R7" s="709" t="s">
        <v>17</v>
      </c>
      <c r="S7" s="710">
        <f t="shared" ref="S7:S15" si="0">F7</f>
        <v>97.5</v>
      </c>
      <c r="T7" s="709" t="s">
        <v>17</v>
      </c>
      <c r="U7" s="710">
        <f t="shared" ref="U7:U15" si="1">H7</f>
        <v>97</v>
      </c>
      <c r="V7" s="709" t="s">
        <v>17</v>
      </c>
      <c r="W7" s="710">
        <f t="shared" ref="W7:W15" si="2">J7</f>
        <v>95.5</v>
      </c>
      <c r="X7" s="711"/>
      <c r="Y7" s="3327" t="s">
        <v>2368</v>
      </c>
      <c r="Z7" s="3328"/>
      <c r="AA7" s="712">
        <f>D7/F7</f>
        <v>1.0256410256410255</v>
      </c>
      <c r="AB7" s="712">
        <f>D7/H7</f>
        <v>1.0309278350515463</v>
      </c>
      <c r="AC7" s="712">
        <f>D7/J7</f>
        <v>1.0471204188481675</v>
      </c>
    </row>
    <row r="8" spans="1:30" s="112" customFormat="1" ht="15.75" thickBot="1">
      <c r="A8" s="367" t="s">
        <v>2369</v>
      </c>
      <c r="B8" s="368"/>
      <c r="C8" s="373" t="s">
        <v>2370</v>
      </c>
      <c r="D8" s="370">
        <v>100</v>
      </c>
      <c r="E8" s="373" t="s">
        <v>4679</v>
      </c>
      <c r="F8" s="372">
        <f>SUMIF(73:73,E8,74:74)-SUMIF(73:73,C8,74:74)+100</f>
        <v>100</v>
      </c>
      <c r="G8" s="373" t="s">
        <v>4679</v>
      </c>
      <c r="H8" s="370">
        <f>SUMIF(73:73,G8,74:74)-SUMIF(73:73,C8,74:74)+100</f>
        <v>100</v>
      </c>
      <c r="I8" s="373" t="s">
        <v>4679</v>
      </c>
      <c r="J8" s="370">
        <f>SUMIF(73:73,I8,74:74)-SUMIF(73:73,C8,74:74)+100</f>
        <v>100</v>
      </c>
      <c r="K8" s="567"/>
      <c r="L8" s="2943"/>
      <c r="M8" s="2944"/>
      <c r="N8" s="2944"/>
      <c r="O8" s="2944"/>
      <c r="P8" s="3327" t="s">
        <v>2371</v>
      </c>
      <c r="Q8" s="3328"/>
      <c r="R8" s="709" t="s">
        <v>17</v>
      </c>
      <c r="S8" s="710">
        <f t="shared" si="0"/>
        <v>100</v>
      </c>
      <c r="T8" s="709" t="s">
        <v>17</v>
      </c>
      <c r="U8" s="710">
        <f t="shared" si="1"/>
        <v>100</v>
      </c>
      <c r="V8" s="709" t="s">
        <v>17</v>
      </c>
      <c r="W8" s="710">
        <f t="shared" si="2"/>
        <v>100</v>
      </c>
      <c r="X8" s="711"/>
      <c r="Y8" s="3327" t="s">
        <v>2371</v>
      </c>
      <c r="Z8" s="3328"/>
      <c r="AA8" s="712">
        <f t="shared" ref="AA8:AA45" si="3">D8/F8</f>
        <v>1</v>
      </c>
      <c r="AB8" s="712">
        <f t="shared" ref="AB8:AB45" si="4">D8/H8</f>
        <v>1</v>
      </c>
      <c r="AC8" s="712">
        <f t="shared" ref="AC8:AC45" si="5">D8/J8</f>
        <v>1</v>
      </c>
    </row>
    <row r="9" spans="1:30" s="112" customFormat="1">
      <c r="A9" s="374" t="s">
        <v>2372</v>
      </c>
      <c r="B9" s="66" t="s">
        <v>2373</v>
      </c>
      <c r="C9" s="2160" t="s">
        <v>4540</v>
      </c>
      <c r="D9" s="130">
        <v>100</v>
      </c>
      <c r="E9" s="2160" t="s">
        <v>4540</v>
      </c>
      <c r="F9" s="130">
        <f>SUMIF(75:75,E9,76:76)-SUMIF(75:75,C9,76:76)+100</f>
        <v>100</v>
      </c>
      <c r="G9" s="2160" t="s">
        <v>4540</v>
      </c>
      <c r="H9" s="130">
        <f>SUMIF(75:75,G9,76:76)-SUMIF(75:75,C9,76:76)+100</f>
        <v>100</v>
      </c>
      <c r="I9" s="2160" t="s">
        <v>4540</v>
      </c>
      <c r="J9" s="130">
        <f>SUMIF(75:75,I9,76:76)-SUMIF(75:75,C9,76:76)+100</f>
        <v>100</v>
      </c>
      <c r="K9" s="567"/>
      <c r="L9" s="2943"/>
      <c r="M9" s="2944"/>
      <c r="N9" s="2944"/>
      <c r="O9" s="2998"/>
      <c r="P9" s="3298" t="s">
        <v>2374</v>
      </c>
      <c r="Q9" s="1526" t="str">
        <f t="shared" ref="Q9:Q15" si="6">B9</f>
        <v>用途</v>
      </c>
      <c r="R9" s="709" t="s">
        <v>17</v>
      </c>
      <c r="S9" s="710">
        <f t="shared" si="0"/>
        <v>100</v>
      </c>
      <c r="T9" s="709" t="s">
        <v>17</v>
      </c>
      <c r="U9" s="710">
        <f t="shared" si="1"/>
        <v>100</v>
      </c>
      <c r="V9" s="709" t="s">
        <v>17</v>
      </c>
      <c r="W9" s="710">
        <f t="shared" si="2"/>
        <v>100</v>
      </c>
      <c r="X9" s="711"/>
      <c r="Y9" s="3192" t="s">
        <v>2375</v>
      </c>
      <c r="Z9" s="55" t="str">
        <f t="shared" ref="Z9:Z15" si="7">Q9</f>
        <v>用途</v>
      </c>
      <c r="AA9" s="712">
        <f t="shared" si="3"/>
        <v>1</v>
      </c>
      <c r="AB9" s="712">
        <f t="shared" si="4"/>
        <v>1</v>
      </c>
      <c r="AC9" s="712">
        <f t="shared" si="5"/>
        <v>1</v>
      </c>
    </row>
    <row r="10" spans="1:30" s="385" customFormat="1" ht="28.5">
      <c r="A10" s="379"/>
      <c r="B10" s="380" t="s">
        <v>2376</v>
      </c>
      <c r="C10" s="390" t="str">
        <f>项目基本情况!F16</f>
        <v>住宅68.7年、商业38.7年</v>
      </c>
      <c r="D10" s="131">
        <v>100</v>
      </c>
      <c r="E10" s="423" t="s">
        <v>4744</v>
      </c>
      <c r="F10" s="131">
        <f>ROUND(100/'数据-取费表'!G16,0)</f>
        <v>100</v>
      </c>
      <c r="G10" s="421" t="s">
        <v>4744</v>
      </c>
      <c r="H10" s="131">
        <f>ROUND(100/'数据-取费表'!G16,0)</f>
        <v>100</v>
      </c>
      <c r="I10" s="421" t="s">
        <v>4744</v>
      </c>
      <c r="J10" s="131">
        <f>ROUND(100/'数据-取费表'!G16,0)</f>
        <v>100</v>
      </c>
      <c r="K10" s="627"/>
      <c r="L10" s="2945"/>
      <c r="M10" s="2946"/>
      <c r="N10" s="2946"/>
      <c r="O10" s="2999"/>
      <c r="P10" s="3298"/>
      <c r="Q10" s="1526" t="str">
        <f t="shared" si="6"/>
        <v>土地使用年限（年）</v>
      </c>
      <c r="R10" s="709" t="s">
        <v>17</v>
      </c>
      <c r="S10" s="710">
        <f t="shared" si="0"/>
        <v>100</v>
      </c>
      <c r="T10" s="709" t="s">
        <v>17</v>
      </c>
      <c r="U10" s="710">
        <f t="shared" si="1"/>
        <v>100</v>
      </c>
      <c r="V10" s="709" t="s">
        <v>17</v>
      </c>
      <c r="W10" s="710">
        <f t="shared" si="2"/>
        <v>100</v>
      </c>
      <c r="X10" s="711"/>
      <c r="Y10" s="3192"/>
      <c r="Z10" s="55" t="str">
        <f t="shared" si="7"/>
        <v>土地使用年限（年）</v>
      </c>
      <c r="AA10" s="712">
        <f t="shared" si="3"/>
        <v>1</v>
      </c>
      <c r="AB10" s="712">
        <f t="shared" si="4"/>
        <v>1</v>
      </c>
      <c r="AC10" s="712">
        <f t="shared" si="5"/>
        <v>1</v>
      </c>
    </row>
    <row r="11" spans="1:30" ht="15.75" thickBot="1">
      <c r="A11" s="386"/>
      <c r="B11" s="380" t="s">
        <v>2377</v>
      </c>
      <c r="C11" s="387">
        <f>'数据-汇总表'!I7</f>
        <v>2.5</v>
      </c>
      <c r="D11" s="131">
        <v>100</v>
      </c>
      <c r="E11" s="387">
        <v>1.97</v>
      </c>
      <c r="F11" s="131">
        <f>LOOKUP(E11,80:80,81:81)-LOOKUP(C11,80:80,81:81)+100</f>
        <v>102</v>
      </c>
      <c r="G11" s="388">
        <v>2.4</v>
      </c>
      <c r="H11" s="131">
        <f>LOOKUP(G11,80:80,81:81)-LOOKUP(C11,80:80,81:81)+100</f>
        <v>100</v>
      </c>
      <c r="I11" s="387">
        <v>2.2999999999999998</v>
      </c>
      <c r="J11" s="131">
        <f>LOOKUP(I11,80:80,81:81)-LOOKUP(C11,80:80,81:81)+100</f>
        <v>100</v>
      </c>
      <c r="K11" s="628">
        <v>2</v>
      </c>
      <c r="L11" s="2947"/>
      <c r="M11" s="2942"/>
      <c r="N11" s="2942"/>
      <c r="O11" s="3000"/>
      <c r="P11" s="3298"/>
      <c r="Q11" s="1526" t="str">
        <f t="shared" si="6"/>
        <v>容积率</v>
      </c>
      <c r="R11" s="709" t="s">
        <v>17</v>
      </c>
      <c r="S11" s="710">
        <f t="shared" si="0"/>
        <v>102</v>
      </c>
      <c r="T11" s="709" t="s">
        <v>17</v>
      </c>
      <c r="U11" s="710">
        <f t="shared" si="1"/>
        <v>100</v>
      </c>
      <c r="V11" s="709" t="s">
        <v>17</v>
      </c>
      <c r="W11" s="710">
        <f t="shared" si="2"/>
        <v>100</v>
      </c>
      <c r="X11" s="711"/>
      <c r="Y11" s="3192"/>
      <c r="Z11" s="55" t="str">
        <f t="shared" si="7"/>
        <v>容积率</v>
      </c>
      <c r="AA11" s="712">
        <f t="shared" si="3"/>
        <v>0.98039215686274506</v>
      </c>
      <c r="AB11" s="712">
        <f t="shared" si="4"/>
        <v>1</v>
      </c>
      <c r="AC11" s="712">
        <f t="shared" si="5"/>
        <v>1</v>
      </c>
    </row>
    <row r="12" spans="1:30" s="112" customFormat="1" ht="15" hidden="1">
      <c r="A12" s="389"/>
      <c r="B12" s="2078" t="s">
        <v>2566</v>
      </c>
      <c r="C12" s="390"/>
      <c r="D12" s="391">
        <v>100</v>
      </c>
      <c r="E12" s="423"/>
      <c r="F12" s="131">
        <f>SUMIF(82:82,E12,83:83)-SUMIF(82:82,C12,83:83)+100</f>
        <v>100</v>
      </c>
      <c r="G12" s="421"/>
      <c r="H12" s="131">
        <f>SUMIF(82:82,G12,83:83)-SUMIF(82:82,C12,83:83)+100</f>
        <v>100</v>
      </c>
      <c r="I12" s="423"/>
      <c r="J12" s="131">
        <f>SUMIF(82:82,I12,83:83)-SUMIF(82:82,C12,83:83)+100</f>
        <v>100</v>
      </c>
      <c r="K12" s="627"/>
      <c r="L12" s="2943"/>
      <c r="M12" s="2944"/>
      <c r="N12" s="2944"/>
      <c r="O12" s="2998"/>
      <c r="P12" s="3298"/>
      <c r="Q12" s="1526" t="str">
        <f t="shared" si="6"/>
        <v>配建</v>
      </c>
      <c r="R12" s="709" t="s">
        <v>17</v>
      </c>
      <c r="S12" s="710">
        <f t="shared" si="0"/>
        <v>100</v>
      </c>
      <c r="T12" s="709" t="s">
        <v>17</v>
      </c>
      <c r="U12" s="710">
        <f t="shared" si="1"/>
        <v>100</v>
      </c>
      <c r="V12" s="709" t="s">
        <v>17</v>
      </c>
      <c r="W12" s="710">
        <f t="shared" si="2"/>
        <v>100</v>
      </c>
      <c r="X12" s="711"/>
      <c r="Y12" s="3192"/>
      <c r="Z12" s="55" t="str">
        <f t="shared" si="7"/>
        <v>配建</v>
      </c>
      <c r="AA12" s="712">
        <f>D12/F12</f>
        <v>1</v>
      </c>
      <c r="AB12" s="712">
        <f>D12/H12</f>
        <v>1</v>
      </c>
      <c r="AC12" s="712">
        <f>D12/J12</f>
        <v>1</v>
      </c>
    </row>
    <row r="13" spans="1:30" ht="15" hidden="1">
      <c r="A13" s="386"/>
      <c r="B13" s="2078">
        <v>111</v>
      </c>
      <c r="C13" s="392"/>
      <c r="D13" s="393">
        <v>100</v>
      </c>
      <c r="E13" s="505"/>
      <c r="F13" s="131">
        <f>SUMIF(84:84,E13,85:85)-SUMIF(84:84,C13,85:85)+100</f>
        <v>100</v>
      </c>
      <c r="G13" s="629"/>
      <c r="H13" s="393">
        <f>SUMIF(84:84,G13,85:85)-SUMIF(84:84,C13,85:85)+100</f>
        <v>100</v>
      </c>
      <c r="I13" s="629"/>
      <c r="J13" s="393">
        <f>SUMIF(84:84,I13,85:85)-SUMIF(84:84,C13,85:85)+100</f>
        <v>100</v>
      </c>
      <c r="K13" s="627"/>
      <c r="L13" s="2948"/>
      <c r="M13" s="2942"/>
      <c r="N13" s="2942"/>
      <c r="O13" s="3000"/>
      <c r="P13" s="3298"/>
      <c r="Q13" s="1526">
        <f t="shared" si="6"/>
        <v>111</v>
      </c>
      <c r="R13" s="709" t="s">
        <v>17</v>
      </c>
      <c r="S13" s="710">
        <f t="shared" si="0"/>
        <v>100</v>
      </c>
      <c r="T13" s="709" t="s">
        <v>17</v>
      </c>
      <c r="U13" s="710">
        <f t="shared" si="1"/>
        <v>100</v>
      </c>
      <c r="V13" s="709" t="s">
        <v>17</v>
      </c>
      <c r="W13" s="710">
        <f t="shared" si="2"/>
        <v>100</v>
      </c>
      <c r="X13" s="711"/>
      <c r="Y13" s="3192"/>
      <c r="Z13" s="55">
        <f t="shared" si="7"/>
        <v>111</v>
      </c>
      <c r="AA13" s="712">
        <f>D13/F13</f>
        <v>1</v>
      </c>
      <c r="AB13" s="712">
        <f>D13/H13</f>
        <v>1</v>
      </c>
      <c r="AC13" s="712">
        <f>D13/J13</f>
        <v>1</v>
      </c>
    </row>
    <row r="14" spans="1:30" ht="15.75" hidden="1" thickBot="1">
      <c r="A14" s="394"/>
      <c r="B14" s="2080">
        <v>111</v>
      </c>
      <c r="C14" s="395"/>
      <c r="D14" s="396">
        <v>100</v>
      </c>
      <c r="E14" s="505"/>
      <c r="F14" s="396">
        <f>SUMIF(86:86,E14,87:87)-SUMIF(86:86,C14,87:87)+100</f>
        <v>100</v>
      </c>
      <c r="G14" s="629"/>
      <c r="H14" s="396">
        <f>SUMIF(86:86,G14,87:87)-SUMIF(86:86,C14,87:87)+100</f>
        <v>100</v>
      </c>
      <c r="I14" s="629"/>
      <c r="J14" s="396">
        <f>SUMIF(86:86,I14,87:87)-SUMIF(86:86,C14,87:87)+100</f>
        <v>100</v>
      </c>
      <c r="K14" s="627"/>
      <c r="L14" s="2948"/>
      <c r="M14" s="2942"/>
      <c r="N14" s="2942"/>
      <c r="O14" s="3000"/>
      <c r="P14" s="3298"/>
      <c r="Q14" s="1526">
        <f t="shared" si="6"/>
        <v>111</v>
      </c>
      <c r="R14" s="709" t="s">
        <v>17</v>
      </c>
      <c r="S14" s="710">
        <f t="shared" si="0"/>
        <v>100</v>
      </c>
      <c r="T14" s="709" t="s">
        <v>17</v>
      </c>
      <c r="U14" s="710">
        <f t="shared" si="1"/>
        <v>100</v>
      </c>
      <c r="V14" s="709" t="s">
        <v>17</v>
      </c>
      <c r="W14" s="710">
        <f t="shared" si="2"/>
        <v>100</v>
      </c>
      <c r="X14" s="711"/>
      <c r="Y14" s="3192"/>
      <c r="Z14" s="55">
        <f t="shared" si="7"/>
        <v>111</v>
      </c>
      <c r="AA14" s="712">
        <f>D14/F14</f>
        <v>1</v>
      </c>
      <c r="AB14" s="712">
        <f>D14/H14</f>
        <v>1</v>
      </c>
      <c r="AC14" s="712">
        <f>D14/J14</f>
        <v>1</v>
      </c>
    </row>
    <row r="15" spans="1:30" ht="15">
      <c r="A15" s="398" t="s">
        <v>2378</v>
      </c>
      <c r="B15" s="64" t="s">
        <v>1944</v>
      </c>
      <c r="C15" s="2081">
        <f>估价对象房地状况!C15</f>
        <v>0</v>
      </c>
      <c r="D15" s="399">
        <v>100</v>
      </c>
      <c r="E15" s="400"/>
      <c r="F15" s="399">
        <f>SUMIF(88:88,E16,89:89)-SUMIF(88:88,C16,89:89)+100</f>
        <v>100</v>
      </c>
      <c r="G15" s="400"/>
      <c r="H15" s="399">
        <f>SUMIF(88:88,G16,89:89)-SUMIF(88:88,C16,89:89)+100</f>
        <v>100</v>
      </c>
      <c r="I15" s="402"/>
      <c r="J15" s="399">
        <f>SUMIF(88:88,I16,89:89)-SUMIF(88:88,C16,89:89)+100</f>
        <v>100</v>
      </c>
      <c r="K15" s="628">
        <v>3</v>
      </c>
      <c r="L15" s="2948"/>
      <c r="M15" s="2942"/>
      <c r="N15" s="2942"/>
      <c r="O15" s="3000"/>
      <c r="P15" s="3300" t="s">
        <v>2379</v>
      </c>
      <c r="Q15" s="1535" t="str">
        <f t="shared" si="6"/>
        <v>居住社区成熟度</v>
      </c>
      <c r="R15" s="713" t="s">
        <v>17</v>
      </c>
      <c r="S15" s="714">
        <f t="shared" si="0"/>
        <v>100</v>
      </c>
      <c r="T15" s="713" t="s">
        <v>17</v>
      </c>
      <c r="U15" s="714">
        <f t="shared" si="1"/>
        <v>100</v>
      </c>
      <c r="V15" s="713" t="s">
        <v>17</v>
      </c>
      <c r="W15" s="714">
        <f t="shared" si="2"/>
        <v>100</v>
      </c>
      <c r="X15" s="1538"/>
      <c r="Y15" s="3300" t="s">
        <v>2379</v>
      </c>
      <c r="Z15" s="1539" t="str">
        <f t="shared" si="7"/>
        <v>居住社区成熟度</v>
      </c>
      <c r="AA15" s="1536">
        <f t="shared" si="3"/>
        <v>1</v>
      </c>
      <c r="AB15" s="1536">
        <f t="shared" si="4"/>
        <v>1</v>
      </c>
      <c r="AC15" s="1536">
        <f t="shared" si="5"/>
        <v>1</v>
      </c>
    </row>
    <row r="16" spans="1:30" ht="15">
      <c r="A16" s="386"/>
      <c r="B16" s="404"/>
      <c r="C16" s="405" t="s">
        <v>4692</v>
      </c>
      <c r="D16" s="406"/>
      <c r="E16" s="405" t="s">
        <v>4692</v>
      </c>
      <c r="F16" s="406"/>
      <c r="G16" s="405" t="s">
        <v>4692</v>
      </c>
      <c r="H16" s="408"/>
      <c r="I16" s="405" t="s">
        <v>4692</v>
      </c>
      <c r="J16" s="406"/>
      <c r="K16" s="627"/>
      <c r="L16" s="2948"/>
      <c r="M16" s="2942"/>
      <c r="N16" s="2942"/>
      <c r="O16" s="3000"/>
      <c r="P16" s="3301"/>
      <c r="Q16" s="1535"/>
      <c r="R16" s="713"/>
      <c r="S16" s="714"/>
      <c r="T16" s="713"/>
      <c r="U16" s="714"/>
      <c r="V16" s="713"/>
      <c r="W16" s="714"/>
      <c r="X16" s="1538"/>
      <c r="Y16" s="3301"/>
      <c r="Z16" s="1539"/>
      <c r="AA16" s="1536">
        <v>1</v>
      </c>
      <c r="AB16" s="1536">
        <v>1</v>
      </c>
      <c r="AC16" s="1536">
        <v>1</v>
      </c>
    </row>
    <row r="17" spans="1:29" ht="15">
      <c r="A17" s="386"/>
      <c r="B17" s="409" t="s">
        <v>2472</v>
      </c>
      <c r="C17" s="2138">
        <f>估价对象房地状况!C16</f>
        <v>0</v>
      </c>
      <c r="D17" s="408">
        <v>100</v>
      </c>
      <c r="E17" s="410"/>
      <c r="F17" s="408">
        <f>SUMIF(90:90,E18,91:91)-SUMIF(90:90,C18,91:91)+100</f>
        <v>100</v>
      </c>
      <c r="G17" s="410"/>
      <c r="H17" s="413">
        <f>SUMIF(90:90,G18,91:91)-SUMIF(90:90,C18,91:91)+100</f>
        <v>100</v>
      </c>
      <c r="I17" s="412"/>
      <c r="J17" s="413">
        <f>SUMIF(90:90,I18,91:91)-SUMIF(90:90,C18,91:91)+100</f>
        <v>100</v>
      </c>
      <c r="K17" s="628">
        <v>3</v>
      </c>
      <c r="L17" s="2948"/>
      <c r="M17" s="2942"/>
      <c r="N17" s="2942"/>
      <c r="O17" s="3000"/>
      <c r="P17" s="3301"/>
      <c r="Q17" s="1535" t="str">
        <f>B17</f>
        <v>商业繁华度</v>
      </c>
      <c r="R17" s="713" t="s">
        <v>17</v>
      </c>
      <c r="S17" s="714">
        <f>F17</f>
        <v>100</v>
      </c>
      <c r="T17" s="713" t="s">
        <v>17</v>
      </c>
      <c r="U17" s="714">
        <f>H17</f>
        <v>100</v>
      </c>
      <c r="V17" s="713" t="s">
        <v>17</v>
      </c>
      <c r="W17" s="714">
        <f>J17</f>
        <v>100</v>
      </c>
      <c r="X17" s="1538"/>
      <c r="Y17" s="3301"/>
      <c r="Z17" s="1539" t="str">
        <f>Q17</f>
        <v>商业繁华度</v>
      </c>
      <c r="AA17" s="1536">
        <f t="shared" si="3"/>
        <v>1</v>
      </c>
      <c r="AB17" s="1536">
        <f t="shared" si="4"/>
        <v>1</v>
      </c>
      <c r="AC17" s="1536">
        <f t="shared" si="5"/>
        <v>1</v>
      </c>
    </row>
    <row r="18" spans="1:29" ht="15">
      <c r="A18" s="386"/>
      <c r="B18" s="414"/>
      <c r="C18" s="405" t="s">
        <v>4692</v>
      </c>
      <c r="D18" s="408"/>
      <c r="E18" s="405" t="s">
        <v>4692</v>
      </c>
      <c r="F18" s="408"/>
      <c r="G18" s="405" t="s">
        <v>4692</v>
      </c>
      <c r="H18" s="406"/>
      <c r="I18" s="405" t="s">
        <v>4692</v>
      </c>
      <c r="J18" s="406"/>
      <c r="K18" s="627"/>
      <c r="L18" s="2948"/>
      <c r="M18" s="2942"/>
      <c r="N18" s="2942"/>
      <c r="O18" s="3000"/>
      <c r="P18" s="3301"/>
      <c r="Q18" s="1535"/>
      <c r="R18" s="713"/>
      <c r="S18" s="714"/>
      <c r="T18" s="713"/>
      <c r="U18" s="714"/>
      <c r="V18" s="713"/>
      <c r="W18" s="714"/>
      <c r="X18" s="1538"/>
      <c r="Y18" s="3301"/>
      <c r="Z18" s="1539"/>
      <c r="AA18" s="1536">
        <v>1</v>
      </c>
      <c r="AB18" s="1536">
        <v>1</v>
      </c>
      <c r="AC18" s="1536">
        <v>1</v>
      </c>
    </row>
    <row r="19" spans="1:29" ht="15" hidden="1" customHeight="1">
      <c r="A19" s="386"/>
      <c r="B19" s="409" t="s">
        <v>2506</v>
      </c>
      <c r="C19" s="2138">
        <f>估价对象房地状况!C17</f>
        <v>0</v>
      </c>
      <c r="D19" s="413">
        <v>100</v>
      </c>
      <c r="E19" s="415"/>
      <c r="F19" s="413">
        <f>SUMIF(92:92,E20,93:93)-SUMIF(92:92,C20,93:93)+100</f>
        <v>100</v>
      </c>
      <c r="G19" s="415"/>
      <c r="H19" s="408">
        <f>SUMIF(92:92,G20,93:93)-SUMIF(92:92,C20,93:93)+100</f>
        <v>100</v>
      </c>
      <c r="I19" s="417"/>
      <c r="J19" s="408">
        <f>SUMIF(92:92,I20,93:93)-SUMIF(92:92,C20,93:93)+100</f>
        <v>100</v>
      </c>
      <c r="K19" s="628"/>
      <c r="L19" s="2948"/>
      <c r="M19" s="2942"/>
      <c r="N19" s="2942"/>
      <c r="O19" s="3000"/>
      <c r="P19" s="3301"/>
      <c r="Q19" s="1535" t="str">
        <f>B19</f>
        <v>办公集聚程度</v>
      </c>
      <c r="R19" s="713" t="s">
        <v>17</v>
      </c>
      <c r="S19" s="714">
        <f>F19</f>
        <v>100</v>
      </c>
      <c r="T19" s="713" t="s">
        <v>17</v>
      </c>
      <c r="U19" s="714">
        <f>H19</f>
        <v>100</v>
      </c>
      <c r="V19" s="713" t="s">
        <v>17</v>
      </c>
      <c r="W19" s="714">
        <f>J19</f>
        <v>100</v>
      </c>
      <c r="X19" s="1538"/>
      <c r="Y19" s="3301"/>
      <c r="Z19" s="1539" t="str">
        <f>Q19</f>
        <v>办公集聚程度</v>
      </c>
      <c r="AA19" s="1536">
        <f t="shared" si="3"/>
        <v>1</v>
      </c>
      <c r="AB19" s="1536">
        <f t="shared" si="4"/>
        <v>1</v>
      </c>
      <c r="AC19" s="1536">
        <f t="shared" si="5"/>
        <v>1</v>
      </c>
    </row>
    <row r="20" spans="1:29" ht="15" hidden="1" customHeight="1">
      <c r="A20" s="386"/>
      <c r="B20" s="414"/>
      <c r="C20" s="405"/>
      <c r="D20" s="406"/>
      <c r="E20" s="2083"/>
      <c r="F20" s="406"/>
      <c r="G20" s="2083"/>
      <c r="H20" s="406"/>
      <c r="I20" s="2082"/>
      <c r="J20" s="406"/>
      <c r="K20" s="627"/>
      <c r="L20" s="2948"/>
      <c r="M20" s="2942"/>
      <c r="N20" s="2942"/>
      <c r="O20" s="3000"/>
      <c r="P20" s="3301"/>
      <c r="Q20" s="1535"/>
      <c r="R20" s="713"/>
      <c r="S20" s="714"/>
      <c r="T20" s="713"/>
      <c r="U20" s="714"/>
      <c r="V20" s="713"/>
      <c r="W20" s="714"/>
      <c r="X20" s="1538"/>
      <c r="Y20" s="3301"/>
      <c r="Z20" s="1539"/>
      <c r="AA20" s="1536">
        <v>1</v>
      </c>
      <c r="AB20" s="1536">
        <v>1</v>
      </c>
      <c r="AC20" s="1536">
        <v>1</v>
      </c>
    </row>
    <row r="21" spans="1:29" ht="15">
      <c r="A21" s="386"/>
      <c r="B21" s="409" t="s">
        <v>2528</v>
      </c>
      <c r="C21" s="2085">
        <f>估价对象房地状况!C18</f>
        <v>0</v>
      </c>
      <c r="D21" s="408">
        <v>100</v>
      </c>
      <c r="E21" s="410"/>
      <c r="F21" s="413">
        <f>SUMIF(94:94,E22,95:95)-SUMIF(94:94,C22,95:95)+100</f>
        <v>100</v>
      </c>
      <c r="G21" s="410"/>
      <c r="H21" s="408">
        <f>SUMIF(94:94,G22,95:95)-SUMIF(94:94,C22,95:95)+100</f>
        <v>100</v>
      </c>
      <c r="I21" s="412"/>
      <c r="J21" s="408">
        <f>SUMIF(94:94,I22,95:95)-SUMIF(94:94,C22,95:95)+100</f>
        <v>100</v>
      </c>
      <c r="K21" s="628">
        <v>3</v>
      </c>
      <c r="L21" s="2948"/>
      <c r="M21" s="2942"/>
      <c r="N21" s="2942"/>
      <c r="O21" s="3000"/>
      <c r="P21" s="3301"/>
      <c r="Q21" s="1535" t="str">
        <f>B21</f>
        <v>交通便捷度</v>
      </c>
      <c r="R21" s="713" t="s">
        <v>17</v>
      </c>
      <c r="S21" s="714">
        <f>F21</f>
        <v>100</v>
      </c>
      <c r="T21" s="713" t="s">
        <v>17</v>
      </c>
      <c r="U21" s="714">
        <f>H21</f>
        <v>100</v>
      </c>
      <c r="V21" s="713" t="s">
        <v>17</v>
      </c>
      <c r="W21" s="714">
        <f>J21</f>
        <v>100</v>
      </c>
      <c r="X21" s="1538"/>
      <c r="Y21" s="3301"/>
      <c r="Z21" s="1539" t="str">
        <f>Q21</f>
        <v>交通便捷度</v>
      </c>
      <c r="AA21" s="1536">
        <f t="shared" si="3"/>
        <v>1</v>
      </c>
      <c r="AB21" s="1536">
        <f t="shared" si="4"/>
        <v>1</v>
      </c>
      <c r="AC21" s="1536">
        <f t="shared" si="5"/>
        <v>1</v>
      </c>
    </row>
    <row r="22" spans="1:29" ht="15">
      <c r="A22" s="386"/>
      <c r="B22" s="1292"/>
      <c r="C22" s="405" t="s">
        <v>4692</v>
      </c>
      <c r="D22" s="408"/>
      <c r="E22" s="405" t="s">
        <v>4692</v>
      </c>
      <c r="F22" s="406"/>
      <c r="G22" s="405" t="s">
        <v>4692</v>
      </c>
      <c r="H22" s="406"/>
      <c r="I22" s="405" t="s">
        <v>4692</v>
      </c>
      <c r="J22" s="406"/>
      <c r="K22" s="627"/>
      <c r="L22" s="2948"/>
      <c r="M22" s="2942"/>
      <c r="N22" s="2942"/>
      <c r="O22" s="3000"/>
      <c r="P22" s="3301"/>
      <c r="Q22" s="1535"/>
      <c r="R22" s="713"/>
      <c r="S22" s="714"/>
      <c r="T22" s="713"/>
      <c r="U22" s="714"/>
      <c r="V22" s="713"/>
      <c r="W22" s="714"/>
      <c r="X22" s="1538"/>
      <c r="Y22" s="3301"/>
      <c r="Z22" s="1539"/>
      <c r="AA22" s="1536">
        <v>1</v>
      </c>
      <c r="AB22" s="1536">
        <v>1</v>
      </c>
      <c r="AC22" s="1536">
        <v>1</v>
      </c>
    </row>
    <row r="23" spans="1:29" ht="15">
      <c r="A23" s="363"/>
      <c r="B23" s="409" t="s">
        <v>2567</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3</v>
      </c>
      <c r="L23" s="2948"/>
      <c r="M23" s="2942"/>
      <c r="N23" s="2942"/>
      <c r="O23" s="3000"/>
      <c r="P23" s="3301"/>
      <c r="Q23" s="1535" t="str">
        <f t="shared" ref="Q23:Q37" si="8">B23</f>
        <v>区域土地利用方向</v>
      </c>
      <c r="R23" s="713" t="s">
        <v>17</v>
      </c>
      <c r="S23" s="714">
        <f>F23</f>
        <v>100</v>
      </c>
      <c r="T23" s="713" t="s">
        <v>17</v>
      </c>
      <c r="U23" s="714">
        <f>H23</f>
        <v>100</v>
      </c>
      <c r="V23" s="713" t="s">
        <v>17</v>
      </c>
      <c r="W23" s="714">
        <f>J23</f>
        <v>100</v>
      </c>
      <c r="X23" s="1538"/>
      <c r="Y23" s="3301"/>
      <c r="Z23" s="1539" t="str">
        <f>Q23</f>
        <v>区域土地利用方向</v>
      </c>
      <c r="AA23" s="1536">
        <f t="shared" si="3"/>
        <v>1</v>
      </c>
      <c r="AB23" s="1536">
        <f t="shared" si="4"/>
        <v>1</v>
      </c>
      <c r="AC23" s="1536">
        <f t="shared" si="5"/>
        <v>1</v>
      </c>
    </row>
    <row r="24" spans="1:29" ht="15">
      <c r="A24" s="363"/>
      <c r="B24" s="414"/>
      <c r="C24" s="572" t="s">
        <v>4692</v>
      </c>
      <c r="D24" s="406"/>
      <c r="E24" s="572" t="s">
        <v>4692</v>
      </c>
      <c r="F24" s="406"/>
      <c r="G24" s="572" t="s">
        <v>4692</v>
      </c>
      <c r="H24" s="406"/>
      <c r="I24" s="572" t="s">
        <v>4692</v>
      </c>
      <c r="J24" s="406"/>
      <c r="K24" s="750"/>
      <c r="L24" s="2948"/>
      <c r="M24" s="2942"/>
      <c r="N24" s="2942"/>
      <c r="O24" s="3000"/>
      <c r="P24" s="3301"/>
      <c r="Q24" s="1535"/>
      <c r="R24" s="713"/>
      <c r="S24" s="714"/>
      <c r="T24" s="713"/>
      <c r="U24" s="714"/>
      <c r="V24" s="713"/>
      <c r="W24" s="714"/>
      <c r="X24" s="1538"/>
      <c r="Y24" s="3301"/>
      <c r="Z24" s="1539"/>
      <c r="AA24" s="1536"/>
      <c r="AB24" s="1536"/>
      <c r="AC24" s="1536"/>
    </row>
    <row r="25" spans="1:29" ht="27">
      <c r="A25" s="363"/>
      <c r="B25" s="1292" t="s">
        <v>2568</v>
      </c>
      <c r="C25" s="2138">
        <f>估价对象房地状况!C20</f>
        <v>0</v>
      </c>
      <c r="D25" s="408">
        <v>100</v>
      </c>
      <c r="E25" s="410"/>
      <c r="F25" s="408">
        <f>SUMIF(98:98,E26,99:99)-SUMIF(98:98,C26,99:99)+100</f>
        <v>100</v>
      </c>
      <c r="G25" s="410"/>
      <c r="H25" s="408">
        <f>SUMIF(98:98,G26,99:99)-SUMIF(98:98,C26,99:99)+100</f>
        <v>100</v>
      </c>
      <c r="I25" s="412"/>
      <c r="J25" s="408">
        <f>SUMIF(98:98,I26,99:99)-SUMIF(98:98,C26,99:99)+100</f>
        <v>100</v>
      </c>
      <c r="K25" s="628">
        <v>3</v>
      </c>
      <c r="L25" s="2948"/>
      <c r="M25" s="2942"/>
      <c r="N25" s="2942"/>
      <c r="O25" s="3000"/>
      <c r="P25" s="3301"/>
      <c r="Q25" s="1535" t="str">
        <f t="shared" si="8"/>
        <v>自然及人文环境状况</v>
      </c>
      <c r="R25" s="713" t="s">
        <v>17</v>
      </c>
      <c r="S25" s="714">
        <f>F25</f>
        <v>100</v>
      </c>
      <c r="T25" s="713" t="s">
        <v>17</v>
      </c>
      <c r="U25" s="714">
        <f>H25</f>
        <v>100</v>
      </c>
      <c r="V25" s="713" t="s">
        <v>17</v>
      </c>
      <c r="W25" s="714">
        <f>J25</f>
        <v>100</v>
      </c>
      <c r="X25" s="1538"/>
      <c r="Y25" s="3301"/>
      <c r="Z25" s="1539" t="str">
        <f>Q25</f>
        <v>自然及人文环境状况</v>
      </c>
      <c r="AA25" s="1536">
        <f t="shared" si="3"/>
        <v>1</v>
      </c>
      <c r="AB25" s="1536">
        <f t="shared" si="4"/>
        <v>1</v>
      </c>
      <c r="AC25" s="1536">
        <f t="shared" si="5"/>
        <v>1</v>
      </c>
    </row>
    <row r="26" spans="1:29" ht="15">
      <c r="A26" s="363"/>
      <c r="B26" s="414"/>
      <c r="C26" s="572" t="s">
        <v>4692</v>
      </c>
      <c r="D26" s="406"/>
      <c r="E26" s="572" t="s">
        <v>4692</v>
      </c>
      <c r="F26" s="406"/>
      <c r="G26" s="572" t="s">
        <v>4692</v>
      </c>
      <c r="H26" s="406"/>
      <c r="I26" s="572" t="s">
        <v>4692</v>
      </c>
      <c r="J26" s="406"/>
      <c r="K26" s="627"/>
      <c r="L26" s="2948"/>
      <c r="M26" s="2942"/>
      <c r="N26" s="2942"/>
      <c r="O26" s="3000"/>
      <c r="P26" s="3301"/>
      <c r="Q26" s="1535"/>
      <c r="R26" s="713"/>
      <c r="S26" s="714"/>
      <c r="T26" s="713"/>
      <c r="U26" s="714"/>
      <c r="V26" s="713"/>
      <c r="W26" s="714"/>
      <c r="X26" s="1538"/>
      <c r="Y26" s="3301"/>
      <c r="Z26" s="1539"/>
      <c r="AA26" s="1536">
        <v>1</v>
      </c>
      <c r="AB26" s="1536">
        <v>1</v>
      </c>
      <c r="AC26" s="1536">
        <v>1</v>
      </c>
    </row>
    <row r="27" spans="1:29" s="112" customFormat="1" ht="15">
      <c r="A27" s="604"/>
      <c r="B27" s="1292" t="s">
        <v>2473</v>
      </c>
      <c r="C27" s="2085">
        <f>估价对象房地状况!C21</f>
        <v>0</v>
      </c>
      <c r="D27" s="408">
        <v>100</v>
      </c>
      <c r="E27" s="410"/>
      <c r="F27" s="408">
        <f>SUMIF(100:100,E28,101:101)-SUMIF(100:100,C28,101:101)+100</f>
        <v>100</v>
      </c>
      <c r="G27" s="410"/>
      <c r="H27" s="408">
        <f>SUMIF(100:100,G28,101:101)-SUMIF(100:100,C28,101:101)+100</f>
        <v>100</v>
      </c>
      <c r="I27" s="412"/>
      <c r="J27" s="408">
        <f>SUMIF(100:100,I28,101:101)-SUMIF(100:100,C28,101:101)+100</f>
        <v>100</v>
      </c>
      <c r="K27" s="628">
        <v>3</v>
      </c>
      <c r="L27" s="2943"/>
      <c r="M27" s="2944"/>
      <c r="N27" s="2944"/>
      <c r="O27" s="2998"/>
      <c r="P27" s="3301"/>
      <c r="Q27" s="1526" t="str">
        <f t="shared" si="8"/>
        <v>公共配套设施</v>
      </c>
      <c r="R27" s="709" t="s">
        <v>17</v>
      </c>
      <c r="S27" s="710">
        <f>F27</f>
        <v>100</v>
      </c>
      <c r="T27" s="709" t="s">
        <v>17</v>
      </c>
      <c r="U27" s="710">
        <f>H27</f>
        <v>100</v>
      </c>
      <c r="V27" s="709" t="s">
        <v>17</v>
      </c>
      <c r="W27" s="710">
        <f>J27</f>
        <v>100</v>
      </c>
      <c r="X27" s="711"/>
      <c r="Y27" s="3301"/>
      <c r="Z27" s="55" t="str">
        <f>Q27</f>
        <v>公共配套设施</v>
      </c>
      <c r="AA27" s="1536">
        <f>D27/F27</f>
        <v>1</v>
      </c>
      <c r="AB27" s="1536">
        <f>D27/H27</f>
        <v>1</v>
      </c>
      <c r="AC27" s="1536">
        <f>D27/J27</f>
        <v>1</v>
      </c>
    </row>
    <row r="28" spans="1:29" s="112" customFormat="1" ht="15">
      <c r="A28" s="604"/>
      <c r="B28" s="414"/>
      <c r="C28" s="572" t="s">
        <v>4692</v>
      </c>
      <c r="D28" s="406"/>
      <c r="E28" s="572" t="s">
        <v>4692</v>
      </c>
      <c r="F28" s="406"/>
      <c r="G28" s="572" t="s">
        <v>4692</v>
      </c>
      <c r="H28" s="406"/>
      <c r="I28" s="572" t="s">
        <v>4692</v>
      </c>
      <c r="J28" s="406"/>
      <c r="K28" s="627"/>
      <c r="L28" s="2943"/>
      <c r="M28" s="2944"/>
      <c r="N28" s="2944"/>
      <c r="O28" s="2998"/>
      <c r="P28" s="3301"/>
      <c r="Q28" s="1526"/>
      <c r="R28" s="709"/>
      <c r="S28" s="710"/>
      <c r="T28" s="709"/>
      <c r="U28" s="710"/>
      <c r="V28" s="709"/>
      <c r="W28" s="710"/>
      <c r="X28" s="711"/>
      <c r="Y28" s="3301"/>
      <c r="Z28" s="55"/>
      <c r="AA28" s="1536">
        <v>1</v>
      </c>
      <c r="AB28" s="1536">
        <v>1</v>
      </c>
      <c r="AC28" s="1536">
        <v>1</v>
      </c>
    </row>
    <row r="29" spans="1:29" s="112" customFormat="1" ht="15">
      <c r="A29" s="604"/>
      <c r="B29" s="1292" t="s">
        <v>2474</v>
      </c>
      <c r="C29" s="2085">
        <f>估价对象房地状况!C22</f>
        <v>0</v>
      </c>
      <c r="D29" s="408">
        <v>100</v>
      </c>
      <c r="E29" s="410"/>
      <c r="F29" s="408">
        <f>SUMIF(102:102,E30,103:103)-SUMIF(102:102,C30,103:103)+100</f>
        <v>100</v>
      </c>
      <c r="G29" s="410"/>
      <c r="H29" s="408">
        <f>SUMIF(102:102,G30,103:103)-SUMIF(102:102,C30,103:103)+100</f>
        <v>100</v>
      </c>
      <c r="I29" s="412"/>
      <c r="J29" s="408">
        <f>SUMIF(102:102,I30,103:103)-SUMIF(102:102,C30,103:103)+100</f>
        <v>100</v>
      </c>
      <c r="K29" s="628">
        <v>3</v>
      </c>
      <c r="L29" s="2943"/>
      <c r="M29" s="2944"/>
      <c r="N29" s="2944"/>
      <c r="O29" s="2998"/>
      <c r="P29" s="3301"/>
      <c r="Q29" s="1526" t="str">
        <f t="shared" ref="Q29" si="9">B29</f>
        <v>基础设施水平</v>
      </c>
      <c r="R29" s="709" t="s">
        <v>17</v>
      </c>
      <c r="S29" s="710">
        <f>F29</f>
        <v>100</v>
      </c>
      <c r="T29" s="709" t="s">
        <v>17</v>
      </c>
      <c r="U29" s="710">
        <f>H29</f>
        <v>100</v>
      </c>
      <c r="V29" s="709" t="s">
        <v>17</v>
      </c>
      <c r="W29" s="710">
        <f>J29</f>
        <v>100</v>
      </c>
      <c r="X29" s="711"/>
      <c r="Y29" s="3301"/>
      <c r="Z29" s="55" t="str">
        <f>Q29</f>
        <v>基础设施水平</v>
      </c>
      <c r="AA29" s="1536">
        <f>D29/F29</f>
        <v>1</v>
      </c>
      <c r="AB29" s="1536">
        <f>D29/H29</f>
        <v>1</v>
      </c>
      <c r="AC29" s="1536">
        <f>D29/J29</f>
        <v>1</v>
      </c>
    </row>
    <row r="30" spans="1:29" s="112" customFormat="1" ht="15.75" thickBot="1">
      <c r="A30" s="604"/>
      <c r="B30" s="414"/>
      <c r="C30" s="2161" t="s">
        <v>4693</v>
      </c>
      <c r="D30" s="406"/>
      <c r="E30" s="2161" t="s">
        <v>4693</v>
      </c>
      <c r="F30" s="406"/>
      <c r="G30" s="2161" t="s">
        <v>4693</v>
      </c>
      <c r="H30" s="406"/>
      <c r="I30" s="2161" t="s">
        <v>4693</v>
      </c>
      <c r="J30" s="406"/>
      <c r="K30" s="627"/>
      <c r="L30" s="2943"/>
      <c r="M30" s="2944"/>
      <c r="N30" s="2944"/>
      <c r="O30" s="2998"/>
      <c r="P30" s="3301"/>
      <c r="Q30" s="1526"/>
      <c r="R30" s="709"/>
      <c r="S30" s="710"/>
      <c r="T30" s="709"/>
      <c r="U30" s="710"/>
      <c r="V30" s="709"/>
      <c r="W30" s="710"/>
      <c r="X30" s="711"/>
      <c r="Y30" s="3301"/>
      <c r="Z30" s="55"/>
      <c r="AA30" s="1536">
        <v>1</v>
      </c>
      <c r="AB30" s="1536">
        <v>1</v>
      </c>
      <c r="AC30" s="1536">
        <v>1</v>
      </c>
    </row>
    <row r="31" spans="1:29" ht="15" hidden="1">
      <c r="A31" s="386"/>
      <c r="B31" s="414" t="s">
        <v>2475</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8"/>
      <c r="M31" s="2942"/>
      <c r="N31" s="2942"/>
      <c r="O31" s="3000"/>
      <c r="P31" s="3301"/>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301"/>
      <c r="Z31" s="1539" t="str">
        <f t="shared" ref="Z31:Z45" si="13">Q31</f>
        <v>临街状况</v>
      </c>
      <c r="AA31" s="1536">
        <f t="shared" si="3"/>
        <v>1</v>
      </c>
      <c r="AB31" s="1536">
        <f t="shared" si="4"/>
        <v>1</v>
      </c>
      <c r="AC31" s="1536">
        <f t="shared" si="5"/>
        <v>1</v>
      </c>
    </row>
    <row r="32" spans="1:29" ht="27" hidden="1">
      <c r="A32" s="386"/>
      <c r="B32" s="1292" t="s">
        <v>2510</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8"/>
      <c r="M32" s="2942"/>
      <c r="N32" s="2942"/>
      <c r="O32" s="3000"/>
      <c r="P32" s="3301"/>
      <c r="Q32" s="1535" t="str">
        <f t="shared" si="8"/>
        <v>毗邻道路的类型与等级</v>
      </c>
      <c r="R32" s="713" t="s">
        <v>17</v>
      </c>
      <c r="S32" s="714">
        <f t="shared" si="10"/>
        <v>100</v>
      </c>
      <c r="T32" s="713" t="s">
        <v>17</v>
      </c>
      <c r="U32" s="714">
        <f t="shared" si="11"/>
        <v>100</v>
      </c>
      <c r="V32" s="713" t="s">
        <v>17</v>
      </c>
      <c r="W32" s="714">
        <f t="shared" si="12"/>
        <v>100</v>
      </c>
      <c r="X32" s="1538"/>
      <c r="Y32" s="3301"/>
      <c r="Z32" s="1539" t="str">
        <f t="shared" si="13"/>
        <v>毗邻道路的类型与等级</v>
      </c>
      <c r="AA32" s="1536">
        <f t="shared" si="3"/>
        <v>1</v>
      </c>
      <c r="AB32" s="1536">
        <f t="shared" si="4"/>
        <v>1</v>
      </c>
      <c r="AC32" s="1536">
        <f t="shared" si="5"/>
        <v>1</v>
      </c>
    </row>
    <row r="33" spans="1:29" ht="15" hidden="1">
      <c r="A33" s="386"/>
      <c r="B33" s="414"/>
      <c r="C33" s="405"/>
      <c r="D33" s="406"/>
      <c r="E33" s="2089"/>
      <c r="F33" s="406"/>
      <c r="G33" s="2089"/>
      <c r="H33" s="406"/>
      <c r="I33" s="405"/>
      <c r="J33" s="406"/>
      <c r="K33" s="569"/>
      <c r="L33" s="2948"/>
      <c r="M33" s="2942"/>
      <c r="N33" s="2942"/>
      <c r="O33" s="3000"/>
      <c r="P33" s="3301"/>
      <c r="Q33" s="1535"/>
      <c r="R33" s="713"/>
      <c r="S33" s="714"/>
      <c r="T33" s="713"/>
      <c r="U33" s="714"/>
      <c r="V33" s="713"/>
      <c r="W33" s="714"/>
      <c r="X33" s="1538"/>
      <c r="Y33" s="3301"/>
      <c r="Z33" s="1539"/>
      <c r="AA33" s="1536">
        <v>1</v>
      </c>
      <c r="AB33" s="1536">
        <v>1</v>
      </c>
      <c r="AC33" s="1536">
        <v>1</v>
      </c>
    </row>
    <row r="34" spans="1:29" ht="15" hidden="1">
      <c r="A34" s="386"/>
      <c r="B34" s="380" t="s">
        <v>2569</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8"/>
      <c r="M34" s="2942"/>
      <c r="N34" s="2942"/>
      <c r="O34" s="3000"/>
      <c r="P34" s="3301"/>
      <c r="Q34" s="1535" t="str">
        <f t="shared" si="8"/>
        <v>土地级别</v>
      </c>
      <c r="R34" s="713" t="s">
        <v>17</v>
      </c>
      <c r="S34" s="714">
        <f t="shared" si="10"/>
        <v>100</v>
      </c>
      <c r="T34" s="713" t="s">
        <v>17</v>
      </c>
      <c r="U34" s="714">
        <f t="shared" si="11"/>
        <v>100</v>
      </c>
      <c r="V34" s="713" t="s">
        <v>17</v>
      </c>
      <c r="W34" s="714">
        <f t="shared" si="12"/>
        <v>100</v>
      </c>
      <c r="X34" s="1538"/>
      <c r="Y34" s="3301"/>
      <c r="Z34" s="1539" t="str">
        <f t="shared" si="13"/>
        <v>土地级别</v>
      </c>
      <c r="AA34" s="1536">
        <f t="shared" si="3"/>
        <v>1</v>
      </c>
      <c r="AB34" s="1536">
        <f t="shared" si="4"/>
        <v>1</v>
      </c>
      <c r="AC34" s="1536">
        <f t="shared" si="5"/>
        <v>1</v>
      </c>
    </row>
    <row r="35" spans="1:29" ht="15" hidden="1">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8"/>
      <c r="M35" s="2942"/>
      <c r="N35" s="2942"/>
      <c r="O35" s="3000"/>
      <c r="P35" s="3301"/>
      <c r="Q35" s="1535">
        <f t="shared" si="8"/>
        <v>111</v>
      </c>
      <c r="R35" s="713" t="s">
        <v>17</v>
      </c>
      <c r="S35" s="714">
        <f t="shared" si="10"/>
        <v>100</v>
      </c>
      <c r="T35" s="713" t="s">
        <v>17</v>
      </c>
      <c r="U35" s="714">
        <f t="shared" si="11"/>
        <v>100</v>
      </c>
      <c r="V35" s="713" t="s">
        <v>17</v>
      </c>
      <c r="W35" s="714">
        <f t="shared" si="12"/>
        <v>100</v>
      </c>
      <c r="X35" s="1538"/>
      <c r="Y35" s="3301"/>
      <c r="Z35" s="1539">
        <f t="shared" si="13"/>
        <v>111</v>
      </c>
      <c r="AA35" s="1536">
        <f t="shared" si="3"/>
        <v>1</v>
      </c>
      <c r="AB35" s="1536">
        <f t="shared" si="4"/>
        <v>1</v>
      </c>
      <c r="AC35" s="1536">
        <f t="shared" si="5"/>
        <v>1</v>
      </c>
    </row>
    <row r="36" spans="1:29" ht="15" hidden="1">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8"/>
      <c r="M36" s="2942"/>
      <c r="N36" s="2942"/>
      <c r="O36" s="3000"/>
      <c r="P36" s="3302" t="s">
        <v>2384</v>
      </c>
      <c r="Q36" s="1535">
        <f t="shared" si="8"/>
        <v>111</v>
      </c>
      <c r="R36" s="713" t="s">
        <v>17</v>
      </c>
      <c r="S36" s="714">
        <f t="shared" si="10"/>
        <v>100</v>
      </c>
      <c r="T36" s="713" t="s">
        <v>17</v>
      </c>
      <c r="U36" s="714">
        <f t="shared" si="11"/>
        <v>100</v>
      </c>
      <c r="V36" s="713" t="s">
        <v>17</v>
      </c>
      <c r="W36" s="714">
        <f t="shared" si="12"/>
        <v>100</v>
      </c>
      <c r="X36" s="1538"/>
      <c r="Y36" s="3303" t="s">
        <v>2384</v>
      </c>
      <c r="Z36" s="1539">
        <f t="shared" si="13"/>
        <v>111</v>
      </c>
      <c r="AA36" s="1536">
        <f t="shared" si="3"/>
        <v>1</v>
      </c>
      <c r="AB36" s="1536">
        <f t="shared" si="4"/>
        <v>1</v>
      </c>
      <c r="AC36" s="1536">
        <f t="shared" si="5"/>
        <v>1</v>
      </c>
    </row>
    <row r="37" spans="1:29" s="429" customFormat="1" ht="15.75" hidden="1"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7"/>
      <c r="M37" s="2949"/>
      <c r="N37" s="2949"/>
      <c r="O37" s="3001"/>
      <c r="P37" s="3303"/>
      <c r="Q37" s="1535">
        <f t="shared" si="8"/>
        <v>111</v>
      </c>
      <c r="R37" s="716" t="s">
        <v>17</v>
      </c>
      <c r="S37" s="717">
        <f t="shared" si="10"/>
        <v>100</v>
      </c>
      <c r="T37" s="716" t="s">
        <v>17</v>
      </c>
      <c r="U37" s="717">
        <f t="shared" si="11"/>
        <v>100</v>
      </c>
      <c r="V37" s="716" t="s">
        <v>17</v>
      </c>
      <c r="W37" s="717">
        <f t="shared" si="12"/>
        <v>100</v>
      </c>
      <c r="X37" s="718"/>
      <c r="Y37" s="3303"/>
      <c r="Z37" s="719">
        <f t="shared" si="13"/>
        <v>111</v>
      </c>
      <c r="AA37" s="1536">
        <f t="shared" si="3"/>
        <v>1</v>
      </c>
      <c r="AB37" s="1536">
        <f t="shared" si="4"/>
        <v>1</v>
      </c>
      <c r="AC37" s="1536">
        <f t="shared" si="5"/>
        <v>1</v>
      </c>
    </row>
    <row r="38" spans="1:29" ht="15">
      <c r="A38" s="430" t="s">
        <v>2382</v>
      </c>
      <c r="B38" s="414" t="s">
        <v>2570</v>
      </c>
      <c r="C38" s="634">
        <f>'数据-基础表'!A3</f>
        <v>67064</v>
      </c>
      <c r="D38" s="425">
        <v>100</v>
      </c>
      <c r="E38" s="634">
        <f>Sheet0!$D$7</f>
        <v>179649</v>
      </c>
      <c r="F38" s="425">
        <f>LOOKUP(E38,117:117,118:118)-LOOKUP(C38,117:117,118:118)+100</f>
        <v>102</v>
      </c>
      <c r="G38" s="634">
        <f>Sheet0!$D$10</f>
        <v>84195</v>
      </c>
      <c r="H38" s="425">
        <f>LOOKUP(G38,117:117,118:118)-LOOKUP(C38,117:117,118:118)+100</f>
        <v>100</v>
      </c>
      <c r="I38" s="486">
        <f>Sheet0!$D$18</f>
        <v>47113</v>
      </c>
      <c r="J38" s="425">
        <f>LOOKUP(I38,117:117,118:118)-LOOKUP(C38,117:117,118:118)+100</f>
        <v>99</v>
      </c>
      <c r="K38" s="569"/>
      <c r="L38" s="2948"/>
      <c r="M38" s="2942"/>
      <c r="N38" s="2942"/>
      <c r="O38" s="3000"/>
      <c r="P38" s="3303"/>
      <c r="Q38" s="1535" t="str">
        <f>B38</f>
        <v>宗地面积</v>
      </c>
      <c r="R38" s="713" t="s">
        <v>17</v>
      </c>
      <c r="S38" s="714">
        <f t="shared" si="10"/>
        <v>102</v>
      </c>
      <c r="T38" s="713" t="s">
        <v>17</v>
      </c>
      <c r="U38" s="714">
        <f t="shared" si="11"/>
        <v>100</v>
      </c>
      <c r="V38" s="713" t="s">
        <v>17</v>
      </c>
      <c r="W38" s="714">
        <f t="shared" si="12"/>
        <v>99</v>
      </c>
      <c r="X38" s="1538"/>
      <c r="Y38" s="3303"/>
      <c r="Z38" s="1539" t="str">
        <f t="shared" si="13"/>
        <v>宗地面积</v>
      </c>
      <c r="AA38" s="1536">
        <f t="shared" si="3"/>
        <v>0.98039215686274506</v>
      </c>
      <c r="AB38" s="1536">
        <f t="shared" si="4"/>
        <v>1</v>
      </c>
      <c r="AC38" s="1536">
        <f t="shared" si="5"/>
        <v>1.0101010101010102</v>
      </c>
    </row>
    <row r="39" spans="1:29" ht="15">
      <c r="A39" s="430"/>
      <c r="B39" s="380" t="s">
        <v>2571</v>
      </c>
      <c r="C39" s="2091" t="s">
        <v>4740</v>
      </c>
      <c r="D39" s="393">
        <v>100</v>
      </c>
      <c r="E39" s="2091" t="s">
        <v>4740</v>
      </c>
      <c r="F39" s="393">
        <f>SUMIF(119:119,E39,120:120)-SUMIF(119:119,C39,120:120)+100</f>
        <v>100</v>
      </c>
      <c r="G39" s="2091" t="s">
        <v>4740</v>
      </c>
      <c r="H39" s="393">
        <f>SUMIF(119:119,G39,120:120)-SUMIF(119:119,C39,120:120)+100</f>
        <v>100</v>
      </c>
      <c r="I39" s="2091" t="s">
        <v>4740</v>
      </c>
      <c r="J39" s="393">
        <f>SUMIF(119:119,I39,120:120)-SUMIF(119:119,C39,120:120)+100</f>
        <v>100</v>
      </c>
      <c r="K39" s="568">
        <v>1</v>
      </c>
      <c r="L39" s="2948"/>
      <c r="M39" s="2942"/>
      <c r="N39" s="2942"/>
      <c r="O39" s="3000"/>
      <c r="P39" s="3303"/>
      <c r="Q39" s="1535" t="str">
        <f t="shared" ref="Q39:Q45" si="14">B39</f>
        <v>宗地形状</v>
      </c>
      <c r="R39" s="713" t="s">
        <v>17</v>
      </c>
      <c r="S39" s="714">
        <f t="shared" si="10"/>
        <v>100</v>
      </c>
      <c r="T39" s="713" t="s">
        <v>17</v>
      </c>
      <c r="U39" s="714">
        <f t="shared" si="11"/>
        <v>100</v>
      </c>
      <c r="V39" s="713" t="s">
        <v>17</v>
      </c>
      <c r="W39" s="714">
        <f t="shared" si="12"/>
        <v>100</v>
      </c>
      <c r="X39" s="1538"/>
      <c r="Y39" s="3303"/>
      <c r="Z39" s="1539" t="str">
        <f t="shared" si="13"/>
        <v>宗地形状</v>
      </c>
      <c r="AA39" s="1536">
        <f t="shared" si="3"/>
        <v>1</v>
      </c>
      <c r="AB39" s="1536">
        <f t="shared" si="4"/>
        <v>1</v>
      </c>
      <c r="AC39" s="1536">
        <f t="shared" si="5"/>
        <v>1</v>
      </c>
    </row>
    <row r="40" spans="1:29" ht="15">
      <c r="A40" s="430"/>
      <c r="B40" s="380" t="s">
        <v>2572</v>
      </c>
      <c r="C40" s="2091" t="s">
        <v>4741</v>
      </c>
      <c r="D40" s="393">
        <v>100</v>
      </c>
      <c r="E40" s="2091" t="s">
        <v>4741</v>
      </c>
      <c r="F40" s="393">
        <f>SUMIF(121:121,E40,122:122)-SUMIF(121:121,C40,122:122)+100</f>
        <v>100</v>
      </c>
      <c r="G40" s="2091" t="s">
        <v>4741</v>
      </c>
      <c r="H40" s="393">
        <f>SUMIF(121:121,G40,122:122)-SUMIF(121:121,C40,122:122)+100</f>
        <v>100</v>
      </c>
      <c r="I40" s="2091" t="s">
        <v>4741</v>
      </c>
      <c r="J40" s="393">
        <f>SUMIF(121:121,I40,122:122)-SUMIF(121:121,C40,122:122)+100</f>
        <v>100</v>
      </c>
      <c r="K40" s="568">
        <v>1</v>
      </c>
      <c r="L40" s="2948"/>
      <c r="M40" s="2942"/>
      <c r="N40" s="2942"/>
      <c r="O40" s="3000"/>
      <c r="P40" s="3303"/>
      <c r="Q40" s="1535" t="str">
        <f t="shared" si="14"/>
        <v>临街宽度及深度</v>
      </c>
      <c r="R40" s="713" t="s">
        <v>17</v>
      </c>
      <c r="S40" s="714">
        <f t="shared" si="10"/>
        <v>100</v>
      </c>
      <c r="T40" s="713" t="s">
        <v>17</v>
      </c>
      <c r="U40" s="714">
        <f t="shared" si="11"/>
        <v>100</v>
      </c>
      <c r="V40" s="713" t="s">
        <v>17</v>
      </c>
      <c r="W40" s="714">
        <f t="shared" si="12"/>
        <v>100</v>
      </c>
      <c r="X40" s="1538"/>
      <c r="Y40" s="3303"/>
      <c r="Z40" s="1539" t="str">
        <f t="shared" si="13"/>
        <v>临街宽度及深度</v>
      </c>
      <c r="AA40" s="1536">
        <f t="shared" si="3"/>
        <v>1</v>
      </c>
      <c r="AB40" s="1536">
        <f t="shared" si="4"/>
        <v>1</v>
      </c>
      <c r="AC40" s="1536">
        <f t="shared" si="5"/>
        <v>1</v>
      </c>
    </row>
    <row r="41" spans="1:29" s="112" customFormat="1" ht="15">
      <c r="A41" s="431"/>
      <c r="B41" s="380" t="s">
        <v>2573</v>
      </c>
      <c r="C41" s="2163" t="s">
        <v>4693</v>
      </c>
      <c r="D41" s="131">
        <v>100</v>
      </c>
      <c r="E41" s="2163" t="s">
        <v>4693</v>
      </c>
      <c r="F41" s="393">
        <f>SUMIF(123:123,E41,124:124)-SUMIF(123:123,C41,124:124)+100</f>
        <v>100</v>
      </c>
      <c r="G41" s="2163" t="s">
        <v>4693</v>
      </c>
      <c r="H41" s="393">
        <f>SUMIF(123:123,G41,124:124)-SUMIF(123:123,C41,124:124)+100</f>
        <v>100</v>
      </c>
      <c r="I41" s="2163" t="s">
        <v>4693</v>
      </c>
      <c r="J41" s="393">
        <f>SUMIF(123:123,I41,124:124)-SUMIF(123:123,C41,124:124)+100</f>
        <v>100</v>
      </c>
      <c r="K41" s="568">
        <v>1</v>
      </c>
      <c r="L41" s="2943"/>
      <c r="M41" s="2944"/>
      <c r="N41" s="2944"/>
      <c r="O41" s="2998"/>
      <c r="P41" s="3303"/>
      <c r="Q41" s="1535" t="str">
        <f t="shared" si="14"/>
        <v>宗地开发程度</v>
      </c>
      <c r="R41" s="709" t="s">
        <v>17</v>
      </c>
      <c r="S41" s="710">
        <f t="shared" si="10"/>
        <v>100</v>
      </c>
      <c r="T41" s="709" t="s">
        <v>17</v>
      </c>
      <c r="U41" s="710">
        <f t="shared" si="11"/>
        <v>100</v>
      </c>
      <c r="V41" s="709" t="s">
        <v>17</v>
      </c>
      <c r="W41" s="710">
        <f t="shared" si="12"/>
        <v>100</v>
      </c>
      <c r="X41" s="711"/>
      <c r="Y41" s="3303"/>
      <c r="Z41" s="55" t="str">
        <f t="shared" si="13"/>
        <v>宗地开发程度</v>
      </c>
      <c r="AA41" s="712">
        <f t="shared" si="3"/>
        <v>1</v>
      </c>
      <c r="AB41" s="712">
        <f t="shared" si="4"/>
        <v>1</v>
      </c>
      <c r="AC41" s="712">
        <f t="shared" si="5"/>
        <v>1</v>
      </c>
    </row>
    <row r="42" spans="1:29" ht="15.75" thickBot="1">
      <c r="A42" s="430"/>
      <c r="B42" s="380" t="s">
        <v>2574</v>
      </c>
      <c r="C42" s="2091" t="s">
        <v>4692</v>
      </c>
      <c r="D42" s="393">
        <v>100</v>
      </c>
      <c r="E42" s="2091" t="s">
        <v>4692</v>
      </c>
      <c r="F42" s="393">
        <f>SUMIF(125:125,E42,126:126)-SUMIF(125:125,C42,126:126)+100</f>
        <v>100</v>
      </c>
      <c r="G42" s="2091" t="s">
        <v>4692</v>
      </c>
      <c r="H42" s="393">
        <f>SUMIF(125:125,G42,126:126)-SUMIF(125:125,C42,126:126)+100</f>
        <v>100</v>
      </c>
      <c r="I42" s="2091" t="s">
        <v>4692</v>
      </c>
      <c r="J42" s="393">
        <f>SUMIF(125:125,I42,126:126)-SUMIF(125:125,C42,126:126)+100</f>
        <v>100</v>
      </c>
      <c r="K42" s="568">
        <v>1</v>
      </c>
      <c r="L42" s="2948"/>
      <c r="M42" s="2942"/>
      <c r="N42" s="2942"/>
      <c r="O42" s="3000"/>
      <c r="P42" s="3303" t="s">
        <v>2384</v>
      </c>
      <c r="Q42" s="1535" t="str">
        <f t="shared" si="14"/>
        <v>工程地质条件</v>
      </c>
      <c r="R42" s="713" t="s">
        <v>17</v>
      </c>
      <c r="S42" s="714">
        <f t="shared" si="10"/>
        <v>100</v>
      </c>
      <c r="T42" s="713" t="s">
        <v>17</v>
      </c>
      <c r="U42" s="714">
        <f t="shared" si="11"/>
        <v>100</v>
      </c>
      <c r="V42" s="713" t="s">
        <v>17</v>
      </c>
      <c r="W42" s="714">
        <f t="shared" si="12"/>
        <v>100</v>
      </c>
      <c r="X42" s="1538"/>
      <c r="Y42" s="3303" t="s">
        <v>2384</v>
      </c>
      <c r="Z42" s="1539" t="str">
        <f t="shared" si="13"/>
        <v>工程地质条件</v>
      </c>
      <c r="AA42" s="1536">
        <f t="shared" si="3"/>
        <v>1</v>
      </c>
      <c r="AB42" s="1536">
        <f t="shared" si="4"/>
        <v>1</v>
      </c>
      <c r="AC42" s="1536">
        <f t="shared" si="5"/>
        <v>1</v>
      </c>
    </row>
    <row r="43" spans="1:29" ht="15" hidden="1">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8"/>
      <c r="M43" s="2942"/>
      <c r="N43" s="2942"/>
      <c r="O43" s="3000"/>
      <c r="P43" s="3303"/>
      <c r="Q43" s="1535">
        <f t="shared" si="14"/>
        <v>111</v>
      </c>
      <c r="R43" s="713" t="s">
        <v>17</v>
      </c>
      <c r="S43" s="714">
        <f t="shared" si="10"/>
        <v>100</v>
      </c>
      <c r="T43" s="713" t="s">
        <v>17</v>
      </c>
      <c r="U43" s="714">
        <f t="shared" si="11"/>
        <v>100</v>
      </c>
      <c r="V43" s="713" t="s">
        <v>17</v>
      </c>
      <c r="W43" s="714">
        <f t="shared" si="12"/>
        <v>100</v>
      </c>
      <c r="X43" s="1538"/>
      <c r="Y43" s="3303"/>
      <c r="Z43" s="1539">
        <f t="shared" si="13"/>
        <v>111</v>
      </c>
      <c r="AA43" s="1536">
        <f t="shared" si="3"/>
        <v>1</v>
      </c>
      <c r="AB43" s="1536">
        <f t="shared" si="4"/>
        <v>1</v>
      </c>
      <c r="AC43" s="1536">
        <f t="shared" si="5"/>
        <v>1</v>
      </c>
    </row>
    <row r="44" spans="1:29" ht="15" hidden="1">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8"/>
      <c r="M44" s="2942"/>
      <c r="N44" s="2942"/>
      <c r="O44" s="3000"/>
      <c r="P44" s="3303"/>
      <c r="Q44" s="1535">
        <f t="shared" si="14"/>
        <v>111</v>
      </c>
      <c r="R44" s="713" t="s">
        <v>17</v>
      </c>
      <c r="S44" s="714">
        <f t="shared" si="10"/>
        <v>100</v>
      </c>
      <c r="T44" s="713" t="s">
        <v>17</v>
      </c>
      <c r="U44" s="714">
        <f t="shared" si="11"/>
        <v>100</v>
      </c>
      <c r="V44" s="713" t="s">
        <v>17</v>
      </c>
      <c r="W44" s="714">
        <f t="shared" si="12"/>
        <v>100</v>
      </c>
      <c r="X44" s="1538"/>
      <c r="Y44" s="3303"/>
      <c r="Z44" s="1539">
        <f t="shared" si="13"/>
        <v>111</v>
      </c>
      <c r="AA44" s="1536">
        <f t="shared" si="3"/>
        <v>1</v>
      </c>
      <c r="AB44" s="1536">
        <f t="shared" si="4"/>
        <v>1</v>
      </c>
      <c r="AC44" s="1536">
        <f t="shared" si="5"/>
        <v>1</v>
      </c>
    </row>
    <row r="45" spans="1:29" s="429" customFormat="1" ht="15.75" hidden="1" thickBot="1">
      <c r="A45" s="426"/>
      <c r="B45" s="1295">
        <v>111</v>
      </c>
      <c r="C45" s="2164"/>
      <c r="D45" s="635">
        <v>100</v>
      </c>
      <c r="E45" s="629"/>
      <c r="F45" s="396">
        <f>SUMIF(131:131,E45,132:132)-SUMIF(131:131,C45,132:132)+100</f>
        <v>100</v>
      </c>
      <c r="G45" s="629"/>
      <c r="H45" s="396">
        <f>SUMIF(131:131,G45,132:132)-SUMIF(131:131,C45,132:132)+100</f>
        <v>100</v>
      </c>
      <c r="I45" s="629"/>
      <c r="J45" s="396">
        <f>SUMIF(131:131,I45,132:132)-SUMIF(131:131,C45,132:132)+100</f>
        <v>100</v>
      </c>
      <c r="K45" s="636"/>
      <c r="L45" s="2947"/>
      <c r="M45" s="2949"/>
      <c r="N45" s="2949"/>
      <c r="O45" s="3001"/>
      <c r="P45" s="3303"/>
      <c r="Q45" s="1535">
        <f t="shared" si="14"/>
        <v>111</v>
      </c>
      <c r="R45" s="716" t="s">
        <v>17</v>
      </c>
      <c r="S45" s="717">
        <f t="shared" si="10"/>
        <v>100</v>
      </c>
      <c r="T45" s="716" t="s">
        <v>17</v>
      </c>
      <c r="U45" s="717">
        <f t="shared" si="11"/>
        <v>100</v>
      </c>
      <c r="V45" s="716" t="s">
        <v>17</v>
      </c>
      <c r="W45" s="717">
        <f t="shared" si="12"/>
        <v>100</v>
      </c>
      <c r="X45" s="718"/>
      <c r="Y45" s="3303"/>
      <c r="Z45" s="719">
        <f t="shared" si="13"/>
        <v>111</v>
      </c>
      <c r="AA45" s="1536">
        <f t="shared" si="3"/>
        <v>1</v>
      </c>
      <c r="AB45" s="1536">
        <f t="shared" si="4"/>
        <v>1</v>
      </c>
      <c r="AC45" s="1536">
        <f t="shared" si="5"/>
        <v>1</v>
      </c>
    </row>
    <row r="46" spans="1:29" ht="15">
      <c r="A46" s="437" t="s">
        <v>2539</v>
      </c>
      <c r="B46" s="2165" t="s">
        <v>2575</v>
      </c>
      <c r="C46" s="637" t="s">
        <v>1</v>
      </c>
      <c r="D46" s="439"/>
      <c r="E46" s="440">
        <f>Sheet0!O7</f>
        <v>9337.2000000000007</v>
      </c>
      <c r="F46" s="441"/>
      <c r="G46" s="442">
        <f>Sheet0!O10</f>
        <v>9956.85</v>
      </c>
      <c r="H46" s="443"/>
      <c r="I46" s="440">
        <f>Sheet0!O18</f>
        <v>9666.2000000000007</v>
      </c>
      <c r="J46" s="443"/>
      <c r="K46" s="722"/>
      <c r="L46" s="2950"/>
      <c r="M46" s="2951"/>
      <c r="N46" s="2942"/>
      <c r="O46" s="2951"/>
      <c r="P46" s="3298" t="str">
        <f>A46</f>
        <v>成交单价</v>
      </c>
      <c r="Q46" s="3298"/>
      <c r="R46" s="3304">
        <f>E46</f>
        <v>9337.2000000000007</v>
      </c>
      <c r="S46" s="3304"/>
      <c r="T46" s="3304">
        <f>G46</f>
        <v>9956.85</v>
      </c>
      <c r="U46" s="3304"/>
      <c r="V46" s="3304">
        <f>I46</f>
        <v>9666.2000000000007</v>
      </c>
      <c r="W46" s="3304"/>
      <c r="X46" s="698"/>
      <c r="Y46" s="720"/>
      <c r="Z46" s="698"/>
      <c r="AA46" s="698"/>
      <c r="AB46" s="698"/>
      <c r="AC46" s="698"/>
    </row>
    <row r="47" spans="1:29" ht="15.75" thickBot="1">
      <c r="A47" s="444" t="s">
        <v>2488</v>
      </c>
      <c r="B47" s="638"/>
      <c r="C47" s="447">
        <f>R48</f>
        <v>9898</v>
      </c>
      <c r="D47" s="2535" t="s">
        <v>2879</v>
      </c>
      <c r="E47" s="447">
        <f>R47</f>
        <v>9205</v>
      </c>
      <c r="F47" s="2536"/>
      <c r="G47" s="446">
        <f>T47</f>
        <v>10265</v>
      </c>
      <c r="H47" s="2536"/>
      <c r="I47" s="447">
        <f>V47</f>
        <v>10224</v>
      </c>
      <c r="J47" s="2536"/>
      <c r="K47" s="2538">
        <f>F47+H47+J47</f>
        <v>0</v>
      </c>
      <c r="L47" s="2950"/>
      <c r="M47" s="2951"/>
      <c r="N47" s="2951"/>
      <c r="O47" s="2951"/>
      <c r="P47" s="3298" t="str">
        <f>A47</f>
        <v>比较价值（元/平方米）</v>
      </c>
      <c r="Q47" s="3298"/>
      <c r="R47" s="3291">
        <f>ROUND(PRODUCT(R46,AA7:AA45),0)</f>
        <v>9205</v>
      </c>
      <c r="S47" s="3291"/>
      <c r="T47" s="3291">
        <f>ROUND(PRODUCT(T46,AB7:AB45),0)</f>
        <v>10265</v>
      </c>
      <c r="U47" s="3291"/>
      <c r="V47" s="3291">
        <f>ROUND(PRODUCT(V46,AC7:AC45),0)</f>
        <v>10224</v>
      </c>
      <c r="W47" s="3291"/>
      <c r="X47" s="698"/>
      <c r="Y47" s="698"/>
      <c r="Z47" s="698"/>
      <c r="AA47" s="698"/>
      <c r="AB47" s="698"/>
      <c r="AC47" s="698"/>
    </row>
    <row r="48" spans="1:29" ht="15.75" thickBot="1">
      <c r="A48" s="448" t="s">
        <v>2576</v>
      </c>
      <c r="B48" s="449"/>
      <c r="C48" s="450">
        <f>R48</f>
        <v>9898</v>
      </c>
      <c r="D48" s="450"/>
      <c r="E48" s="450"/>
      <c r="F48" s="450"/>
      <c r="G48" s="450"/>
      <c r="H48" s="450"/>
      <c r="I48" s="450"/>
      <c r="J48" s="450"/>
      <c r="K48" s="723"/>
      <c r="L48" s="2950"/>
      <c r="M48" s="2951"/>
      <c r="N48" s="2951"/>
      <c r="O48" s="2951"/>
      <c r="P48" s="3292" t="str">
        <f>A48</f>
        <v>估价对象XX用房的比较价值（楼面单价，元/平方米）</v>
      </c>
      <c r="Q48" s="3293"/>
      <c r="R48" s="3294">
        <f>ROUND(IF(D47="简单平均",AVERAGE(R47:W47),R47*F47+T47*H47+V47*J47),0)</f>
        <v>9898</v>
      </c>
      <c r="S48" s="3294"/>
      <c r="T48" s="3294"/>
      <c r="U48" s="3294"/>
      <c r="V48" s="3294"/>
      <c r="W48" s="3294"/>
      <c r="X48" s="698"/>
      <c r="Y48" s="698"/>
      <c r="Z48" s="698"/>
      <c r="AA48" s="698"/>
      <c r="AB48" s="698"/>
      <c r="AC48" s="698"/>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3" t="s">
        <v>2490</v>
      </c>
      <c r="D51" s="454"/>
      <c r="E51" s="455">
        <f>IF(E46&lt;E47,E47/E46-1,E46/E47-1)</f>
        <v>1.4361759913090744E-2</v>
      </c>
      <c r="F51" s="456" t="str">
        <f>IF(OR(E51&gt;=0.3,E51&lt;=-0.3),"超过30%","")</f>
        <v/>
      </c>
      <c r="G51" s="455">
        <f>IF(G46&lt;G47,G47/G46-1,G46/G47-1)</f>
        <v>3.0948542962884851E-2</v>
      </c>
      <c r="H51" s="456" t="str">
        <f>IF(OR(G51&gt;=0.3,G51&lt;=-0.3),"超过30%","")</f>
        <v/>
      </c>
      <c r="I51" s="455">
        <f>IF(I46&lt;I47,I47/I46-1,I46/I47-1)</f>
        <v>5.7706234094059727E-2</v>
      </c>
      <c r="J51" s="456" t="str">
        <f>IF(OR(I51&gt;=0.3,I51&lt;=-0.3),"超过30%","")</f>
        <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3" t="s">
        <v>2491</v>
      </c>
      <c r="D52" s="457"/>
      <c r="E52" s="455">
        <f>IF(E47&lt;G47,G47/E47-1,E47/G47-1)</f>
        <v>0.11515480717001636</v>
      </c>
      <c r="F52" s="456" t="str">
        <f>IF(OR(E52&gt;=0.2,E52&lt;=-0.2),"超过20%","")</f>
        <v/>
      </c>
      <c r="G52" s="455">
        <f>IF(G47&lt;I47,I47/G47-1,G47/I47-1)</f>
        <v>4.0101721439749216E-3</v>
      </c>
      <c r="H52" s="456" t="str">
        <f>IF(OR(G52&gt;=0.2,G52&lt;=-0.2),"超过20%","")</f>
        <v/>
      </c>
      <c r="I52" s="455">
        <f>IF(I47&lt;E47,E47/I47-1,I47/E47-1)</f>
        <v>0.11070070613796856</v>
      </c>
      <c r="J52" s="456" t="str">
        <f>IF(OR(I52&gt;=0.2,I52&lt;=-0.2),"超过20%","")</f>
        <v/>
      </c>
      <c r="K52" s="2956"/>
      <c r="L52" s="2952"/>
      <c r="M52" s="2951"/>
      <c r="N52" s="2951"/>
      <c r="O52" s="2951"/>
      <c r="P52" s="2951"/>
      <c r="Q52" s="2951"/>
      <c r="R52" s="2951"/>
      <c r="S52" s="2951"/>
      <c r="T52" s="2951"/>
      <c r="U52" s="2951"/>
      <c r="V52" s="2951"/>
      <c r="W52" s="2951"/>
      <c r="X52" s="2951"/>
      <c r="Y52" s="2951"/>
      <c r="Z52" s="2951"/>
      <c r="AA52" s="2951"/>
      <c r="AB52" s="2951"/>
      <c r="AC52" s="2951"/>
    </row>
    <row r="53" spans="1:29" s="458" customFormat="1" ht="13.5" customHeight="1">
      <c r="A53" s="2954"/>
      <c r="B53" s="2954"/>
      <c r="C53" s="453" t="s">
        <v>2492</v>
      </c>
      <c r="D53" s="457"/>
      <c r="E53" s="455">
        <f>IF(E46&lt;G46,G46/E46-1,E46/G46-1)</f>
        <v>6.6363577946279451E-2</v>
      </c>
      <c r="F53" s="456" t="str">
        <f>IF(OR(E53&gt;=0.3,E53&lt;=-0.3),"超过30%","")</f>
        <v/>
      </c>
      <c r="G53" s="455">
        <f>IF(G46&lt;I46,I46/G46-1,G46/I46-1)</f>
        <v>3.0068692971384703E-2</v>
      </c>
      <c r="H53" s="456" t="str">
        <f>IF(OR(G53&gt;=0.3,G53&lt;=-0.3),"超过30%","")</f>
        <v/>
      </c>
      <c r="I53" s="455">
        <f>IF(I46&lt;E46,E46/I46-1,I46/E46-1)</f>
        <v>3.5235402476117006E-2</v>
      </c>
      <c r="J53" s="456" t="str">
        <f>IF(OR(I53&gt;=0.3,I53&lt;=-0.3),"超过30%","")</f>
        <v/>
      </c>
      <c r="K53" s="2959"/>
      <c r="L53" s="2953"/>
      <c r="M53" s="2954"/>
      <c r="N53" s="2954"/>
      <c r="O53" s="2954"/>
      <c r="P53" s="2954"/>
      <c r="Q53" s="2954"/>
      <c r="R53" s="2954"/>
      <c r="S53" s="2954"/>
      <c r="T53" s="2954"/>
      <c r="U53" s="2954"/>
      <c r="V53" s="2954"/>
      <c r="W53" s="2954"/>
      <c r="X53" s="2954"/>
      <c r="Y53" s="2954"/>
      <c r="Z53" s="2954"/>
      <c r="AA53" s="2954"/>
      <c r="AB53" s="2954"/>
      <c r="AC53" s="2954"/>
    </row>
    <row r="54" spans="1:29" s="458" customFormat="1" ht="15" thickBot="1">
      <c r="A54" s="2954"/>
      <c r="B54" s="2957"/>
      <c r="C54" s="701"/>
      <c r="D54" s="699"/>
      <c r="E54" s="699"/>
      <c r="F54" s="699"/>
      <c r="G54" s="699"/>
      <c r="H54" s="699"/>
      <c r="I54" s="699"/>
      <c r="J54" s="699"/>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39" t="s">
        <v>2577</v>
      </c>
      <c r="B55" s="640" t="s">
        <v>2578</v>
      </c>
      <c r="C55" s="2166" t="s">
        <v>2579</v>
      </c>
      <c r="D55" s="2167" t="s">
        <v>2580</v>
      </c>
      <c r="E55" s="641" t="s">
        <v>2581</v>
      </c>
      <c r="F55" s="1020" t="s">
        <v>2582</v>
      </c>
      <c r="G55" s="3295" t="s">
        <v>2583</v>
      </c>
      <c r="H55" s="3296"/>
      <c r="I55" s="139" t="s">
        <v>2584</v>
      </c>
      <c r="J55" s="2168">
        <f>项目基本情况!F35</f>
        <v>0</v>
      </c>
      <c r="K55" s="2169" t="s">
        <v>2585</v>
      </c>
      <c r="L55" s="2952"/>
      <c r="M55" s="2951"/>
      <c r="N55" s="2951"/>
      <c r="O55" s="2951"/>
      <c r="P55" s="2951"/>
      <c r="Q55" s="2951"/>
      <c r="R55" s="2951"/>
      <c r="S55" s="2951"/>
      <c r="T55" s="2951"/>
      <c r="U55" s="2951"/>
      <c r="V55" s="2951"/>
      <c r="W55" s="2951"/>
      <c r="X55" s="2951"/>
      <c r="Y55" s="2951"/>
      <c r="Z55" s="2951"/>
      <c r="AA55" s="2951"/>
      <c r="AB55" s="2951"/>
      <c r="AC55" s="2951"/>
    </row>
    <row r="56" spans="1:29" s="647" customFormat="1">
      <c r="A56" s="643" t="s">
        <v>2586</v>
      </c>
      <c r="B56" s="644">
        <f>C48</f>
        <v>9898</v>
      </c>
      <c r="C56" s="645">
        <v>1</v>
      </c>
      <c r="D56" s="1074">
        <v>1</v>
      </c>
      <c r="E56" s="645">
        <f>'数据-汇总表'!E8+'数据-汇总表'!E9</f>
        <v>99817.340000000026</v>
      </c>
      <c r="F56" s="1016">
        <f t="shared" ref="F56:F65" si="15">ROUND(B56*E56/10000,0)</f>
        <v>98799</v>
      </c>
      <c r="G56" s="3297"/>
      <c r="H56" s="3298"/>
      <c r="I56" s="1021">
        <v>1</v>
      </c>
      <c r="J56" s="1024">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7" customFormat="1">
      <c r="A57" s="648" t="s">
        <v>2587</v>
      </c>
      <c r="B57" s="223">
        <f>ROUND($C$48*C57*D57,0)</f>
        <v>0</v>
      </c>
      <c r="C57" s="175">
        <f t="shared" ref="C57:C65" si="16">IF($C$55="北京市系数",I57,J57)</f>
        <v>0</v>
      </c>
      <c r="D57" s="1075">
        <v>0.25</v>
      </c>
      <c r="E57" s="649"/>
      <c r="F57" s="1016">
        <f t="shared" si="15"/>
        <v>0</v>
      </c>
      <c r="G57" s="3299" t="s">
        <v>2588</v>
      </c>
      <c r="H57" s="1017">
        <f>项目基本情况!B37</f>
        <v>0</v>
      </c>
      <c r="I57" s="1021">
        <f>SUMIF(修正!A45:A56,H57,修正!B45:B56)</f>
        <v>0</v>
      </c>
      <c r="J57" s="1025"/>
      <c r="K57" s="2951"/>
      <c r="L57" s="3008"/>
      <c r="M57" s="3008"/>
      <c r="N57" s="3008"/>
      <c r="O57" s="3008"/>
      <c r="P57" s="3008"/>
      <c r="Q57" s="3008"/>
      <c r="R57" s="3008"/>
      <c r="S57" s="3008"/>
      <c r="T57" s="3008"/>
      <c r="U57" s="3008"/>
      <c r="V57" s="3008"/>
      <c r="W57" s="3008"/>
      <c r="X57" s="3008"/>
      <c r="Y57" s="3008"/>
      <c r="Z57" s="3008"/>
      <c r="AA57" s="3008"/>
      <c r="AB57" s="3008"/>
      <c r="AC57" s="3008"/>
    </row>
    <row r="58" spans="1:29" s="647" customFormat="1">
      <c r="A58" s="648" t="s">
        <v>2589</v>
      </c>
      <c r="B58" s="223">
        <f t="shared" ref="B58:B65" si="17">ROUND($C$48*C58*D58,0)</f>
        <v>0</v>
      </c>
      <c r="C58" s="175">
        <f t="shared" si="16"/>
        <v>0</v>
      </c>
      <c r="D58" s="1075">
        <v>0.25</v>
      </c>
      <c r="E58" s="649"/>
      <c r="F58" s="1016">
        <f t="shared" si="15"/>
        <v>0</v>
      </c>
      <c r="G58" s="3299"/>
      <c r="H58" s="1017">
        <f>项目基本情况!B37</f>
        <v>0</v>
      </c>
      <c r="I58" s="1021">
        <f>SUMIF(修正!A45:A56,H58,修正!C45:C56)</f>
        <v>0</v>
      </c>
      <c r="J58" s="1025"/>
      <c r="K58" s="2954"/>
      <c r="L58" s="3008"/>
      <c r="M58" s="3008"/>
      <c r="N58" s="3008"/>
      <c r="O58" s="3008"/>
      <c r="P58" s="3008"/>
      <c r="Q58" s="3008"/>
      <c r="R58" s="3008"/>
      <c r="S58" s="3008"/>
      <c r="T58" s="3008"/>
      <c r="U58" s="3008"/>
      <c r="V58" s="3008"/>
      <c r="W58" s="3008"/>
      <c r="X58" s="3008"/>
      <c r="Y58" s="3008"/>
      <c r="Z58" s="3008"/>
      <c r="AA58" s="3008"/>
      <c r="AB58" s="3008"/>
      <c r="AC58" s="3008"/>
    </row>
    <row r="59" spans="1:29" s="647" customFormat="1">
      <c r="A59" s="648" t="s">
        <v>2590</v>
      </c>
      <c r="B59" s="223">
        <f t="shared" si="17"/>
        <v>0</v>
      </c>
      <c r="C59" s="175">
        <f t="shared" si="16"/>
        <v>0</v>
      </c>
      <c r="D59" s="1075">
        <v>0.25</v>
      </c>
      <c r="E59" s="649"/>
      <c r="F59" s="1016">
        <f t="shared" si="15"/>
        <v>0</v>
      </c>
      <c r="G59" s="3299"/>
      <c r="H59" s="1017">
        <f>项目基本情况!B37</f>
        <v>0</v>
      </c>
      <c r="I59" s="1021">
        <f>SUMIF(修正!A45:A56,H59,修正!D45:D56)</f>
        <v>0</v>
      </c>
      <c r="J59" s="1025"/>
      <c r="K59" s="2951"/>
      <c r="L59" s="3008"/>
      <c r="M59" s="3008"/>
      <c r="N59" s="3008"/>
      <c r="O59" s="3008"/>
      <c r="P59" s="3008"/>
      <c r="Q59" s="3008"/>
      <c r="R59" s="3008"/>
      <c r="S59" s="3008"/>
      <c r="T59" s="3008"/>
      <c r="U59" s="3008"/>
      <c r="V59" s="3008"/>
      <c r="W59" s="3008"/>
      <c r="X59" s="3008"/>
      <c r="Y59" s="3008"/>
      <c r="Z59" s="3008"/>
      <c r="AA59" s="3008"/>
      <c r="AB59" s="3008"/>
      <c r="AC59" s="3008"/>
    </row>
    <row r="60" spans="1:29" s="647" customFormat="1">
      <c r="A60" s="648" t="s">
        <v>2591</v>
      </c>
      <c r="B60" s="223">
        <f t="shared" si="17"/>
        <v>0</v>
      </c>
      <c r="C60" s="175">
        <f t="shared" si="16"/>
        <v>0</v>
      </c>
      <c r="D60" s="1075">
        <v>0.25</v>
      </c>
      <c r="E60" s="649"/>
      <c r="F60" s="1016">
        <f t="shared" si="15"/>
        <v>0</v>
      </c>
      <c r="G60" s="3299"/>
      <c r="H60" s="1017">
        <f>项目基本情况!B37</f>
        <v>0</v>
      </c>
      <c r="I60" s="1021">
        <f>SUMIF(修正!A45:A56,H60,修正!E45:E56)</f>
        <v>0</v>
      </c>
      <c r="J60" s="1025"/>
      <c r="K60" s="2954"/>
      <c r="L60" s="3008"/>
      <c r="M60" s="3008"/>
      <c r="N60" s="3008"/>
      <c r="O60" s="3008"/>
      <c r="P60" s="3008"/>
      <c r="Q60" s="3008"/>
      <c r="R60" s="3008"/>
      <c r="S60" s="3008"/>
      <c r="T60" s="3008"/>
      <c r="U60" s="3008"/>
      <c r="V60" s="3008"/>
      <c r="W60" s="3008"/>
      <c r="X60" s="3008"/>
      <c r="Y60" s="3008"/>
      <c r="Z60" s="3008"/>
      <c r="AA60" s="3008"/>
      <c r="AB60" s="3008"/>
      <c r="AC60" s="3008"/>
    </row>
    <row r="61" spans="1:29" s="647" customFormat="1">
      <c r="A61" s="648" t="s">
        <v>2592</v>
      </c>
      <c r="B61" s="223">
        <f t="shared" si="17"/>
        <v>0</v>
      </c>
      <c r="C61" s="175">
        <f t="shared" si="16"/>
        <v>0</v>
      </c>
      <c r="D61" s="1075">
        <v>0.25</v>
      </c>
      <c r="E61" s="222">
        <f>'数据-汇总表'!E11</f>
        <v>0</v>
      </c>
      <c r="F61" s="1016">
        <f t="shared" si="15"/>
        <v>0</v>
      </c>
      <c r="G61" s="2170" t="s">
        <v>2593</v>
      </c>
      <c r="H61" s="1017">
        <f>项目基本情况!C37</f>
        <v>0</v>
      </c>
      <c r="I61" s="1021">
        <f>SUMIF(修正!A45:A56,H61,修正!F45:F56)</f>
        <v>0</v>
      </c>
      <c r="J61" s="1025"/>
      <c r="K61" s="2951"/>
      <c r="L61" s="3008"/>
      <c r="M61" s="3008"/>
      <c r="N61" s="3008"/>
      <c r="O61" s="3008"/>
      <c r="P61" s="3008"/>
      <c r="Q61" s="3008"/>
      <c r="R61" s="3008"/>
      <c r="S61" s="3008"/>
      <c r="T61" s="3008"/>
      <c r="U61" s="3008"/>
      <c r="V61" s="3008"/>
      <c r="W61" s="3008"/>
      <c r="X61" s="3008"/>
      <c r="Y61" s="3008"/>
      <c r="Z61" s="3008"/>
      <c r="AA61" s="3008"/>
      <c r="AB61" s="3008"/>
      <c r="AC61" s="3008"/>
    </row>
    <row r="62" spans="1:29" s="647" customFormat="1">
      <c r="A62" s="648" t="s">
        <v>2594</v>
      </c>
      <c r="B62" s="223">
        <f t="shared" si="17"/>
        <v>0</v>
      </c>
      <c r="C62" s="175">
        <f t="shared" si="16"/>
        <v>0</v>
      </c>
      <c r="D62" s="1075">
        <v>0.25</v>
      </c>
      <c r="E62" s="222">
        <f>'数据-汇总表'!E12</f>
        <v>0</v>
      </c>
      <c r="F62" s="1016">
        <f t="shared" si="15"/>
        <v>0</v>
      </c>
      <c r="G62" s="1022" t="s">
        <v>2595</v>
      </c>
      <c r="H62" s="1017">
        <f>IF(G62="商业",项目基本情况!B37,IF(G62="办公",项目基本情况!C37,IF(G62="住宅",项目基本情况!D37,项目基本情况!E37)))</f>
        <v>0</v>
      </c>
      <c r="I62" s="1021">
        <f>SUMIF(修正!A45:A56,H62,修正!G45:G56)</f>
        <v>0</v>
      </c>
      <c r="J62" s="1025"/>
      <c r="K62" s="2954"/>
      <c r="L62" s="3008"/>
      <c r="M62" s="3008"/>
      <c r="N62" s="3008"/>
      <c r="O62" s="3008"/>
      <c r="P62" s="3008"/>
      <c r="Q62" s="3008"/>
      <c r="R62" s="3008"/>
      <c r="S62" s="3008"/>
      <c r="T62" s="3008"/>
      <c r="U62" s="3008"/>
      <c r="V62" s="3008"/>
      <c r="W62" s="3008"/>
      <c r="X62" s="3008"/>
      <c r="Y62" s="3008"/>
      <c r="Z62" s="3008"/>
      <c r="AA62" s="3008"/>
      <c r="AB62" s="3008"/>
      <c r="AC62" s="3008"/>
    </row>
    <row r="63" spans="1:29" s="647" customFormat="1">
      <c r="A63" s="648" t="s">
        <v>2596</v>
      </c>
      <c r="B63" s="223">
        <f t="shared" si="17"/>
        <v>0</v>
      </c>
      <c r="C63" s="175">
        <f t="shared" si="16"/>
        <v>0</v>
      </c>
      <c r="D63" s="1075">
        <v>0.25</v>
      </c>
      <c r="E63" s="222">
        <f>'数据-汇总表'!E13</f>
        <v>0</v>
      </c>
      <c r="F63" s="1016">
        <f t="shared" si="15"/>
        <v>0</v>
      </c>
      <c r="G63" s="1022" t="s">
        <v>2597</v>
      </c>
      <c r="H63" s="1017">
        <f>IF(G63="商业",项目基本情况!B37,IF(G63="办公",项目基本情况!C37,IF(G63="住宅",项目基本情况!D37,项目基本情况!E37)))</f>
        <v>0</v>
      </c>
      <c r="I63" s="1021">
        <f>SUMIF(修正!A45:A56,H63,修正!H45:H56)</f>
        <v>0</v>
      </c>
      <c r="J63" s="1025"/>
      <c r="K63" s="2951"/>
      <c r="L63" s="3008"/>
      <c r="M63" s="3008"/>
      <c r="N63" s="3008"/>
      <c r="O63" s="3008"/>
      <c r="P63" s="3008"/>
      <c r="Q63" s="3008"/>
      <c r="R63" s="3008"/>
      <c r="S63" s="3008"/>
      <c r="T63" s="3008"/>
      <c r="U63" s="3008"/>
      <c r="V63" s="3008"/>
      <c r="W63" s="3008"/>
      <c r="X63" s="3008"/>
      <c r="Y63" s="3008"/>
      <c r="Z63" s="3008"/>
      <c r="AA63" s="3008"/>
      <c r="AB63" s="3008"/>
      <c r="AC63" s="3008"/>
    </row>
    <row r="64" spans="1:29" s="647" customFormat="1">
      <c r="A64" s="648" t="s">
        <v>2598</v>
      </c>
      <c r="B64" s="223">
        <f t="shared" si="17"/>
        <v>0</v>
      </c>
      <c r="C64" s="175">
        <f t="shared" si="16"/>
        <v>0</v>
      </c>
      <c r="D64" s="1075">
        <v>0.25</v>
      </c>
      <c r="E64" s="222">
        <f>'数据-汇总表'!E14</f>
        <v>0</v>
      </c>
      <c r="F64" s="1016">
        <f t="shared" si="15"/>
        <v>0</v>
      </c>
      <c r="G64" s="2170" t="s">
        <v>2588</v>
      </c>
      <c r="H64" s="1017">
        <f>项目基本情况!B37</f>
        <v>0</v>
      </c>
      <c r="I64" s="1021">
        <f>SUMIF(修正!A45:A56,H64,修正!H45:H56)</f>
        <v>0</v>
      </c>
      <c r="J64" s="1025"/>
      <c r="K64" s="2954"/>
      <c r="L64" s="3008"/>
      <c r="M64" s="3008"/>
      <c r="N64" s="3008"/>
      <c r="O64" s="3008"/>
      <c r="P64" s="3008"/>
      <c r="Q64" s="3008"/>
      <c r="R64" s="3008"/>
      <c r="S64" s="3008"/>
      <c r="T64" s="3008"/>
      <c r="U64" s="3008"/>
      <c r="V64" s="3008"/>
      <c r="W64" s="3008"/>
      <c r="X64" s="3008"/>
      <c r="Y64" s="3008"/>
      <c r="Z64" s="3008"/>
      <c r="AA64" s="3008"/>
      <c r="AB64" s="3008"/>
      <c r="AC64" s="3008"/>
    </row>
    <row r="65" spans="1:29" s="647" customFormat="1" ht="15" thickBot="1">
      <c r="A65" s="648" t="s">
        <v>2599</v>
      </c>
      <c r="B65" s="223">
        <f t="shared" si="17"/>
        <v>0</v>
      </c>
      <c r="C65" s="175">
        <f t="shared" si="16"/>
        <v>0</v>
      </c>
      <c r="D65" s="1075">
        <v>0.25</v>
      </c>
      <c r="E65" s="222">
        <f>'数据-汇总表'!E15</f>
        <v>0</v>
      </c>
      <c r="F65" s="1016">
        <f t="shared" si="15"/>
        <v>0</v>
      </c>
      <c r="G65" s="2171" t="s">
        <v>2593</v>
      </c>
      <c r="H65" s="1027">
        <f>项目基本情况!C37</f>
        <v>0</v>
      </c>
      <c r="I65" s="1023">
        <f>SUMIF(修正!A45:A56,H65,修正!H45:H56)</f>
        <v>0</v>
      </c>
      <c r="J65" s="1026"/>
      <c r="K65" s="2951"/>
      <c r="L65" s="3008"/>
      <c r="M65" s="3008"/>
      <c r="N65" s="3008"/>
      <c r="O65" s="3008"/>
      <c r="P65" s="3008"/>
      <c r="Q65" s="3008"/>
      <c r="R65" s="3008"/>
      <c r="S65" s="3008"/>
      <c r="T65" s="3008"/>
      <c r="U65" s="3008"/>
      <c r="V65" s="3008"/>
      <c r="W65" s="3008"/>
      <c r="X65" s="3008"/>
      <c r="Y65" s="3008"/>
      <c r="Z65" s="3008"/>
      <c r="AA65" s="3008"/>
      <c r="AB65" s="3008"/>
      <c r="AC65" s="3008"/>
    </row>
    <row r="66" spans="1:29" s="647" customFormat="1" ht="13.5" thickBot="1">
      <c r="A66" s="650" t="s">
        <v>2600</v>
      </c>
      <c r="B66" s="651" t="s">
        <v>28</v>
      </c>
      <c r="C66" s="651" t="s">
        <v>29</v>
      </c>
      <c r="D66" s="651" t="s">
        <v>997</v>
      </c>
      <c r="E66" s="651">
        <f>IF(B46="楼面地价",SUM(E56:E65),'数据-汇总表'!D3)</f>
        <v>99817.340000000026</v>
      </c>
      <c r="F66" s="652">
        <f>IF(B46="楼面地价",SUM(F56:F65),ROUND(C48*E66/10000,0))</f>
        <v>98799</v>
      </c>
      <c r="G66" s="725"/>
      <c r="H66" s="725"/>
      <c r="I66" s="725"/>
      <c r="J66" s="725"/>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8"/>
      <c r="B67" s="700"/>
      <c r="C67" s="701"/>
      <c r="D67" s="698"/>
      <c r="E67" s="698"/>
      <c r="F67" s="698"/>
      <c r="G67" s="698"/>
      <c r="H67" s="698"/>
      <c r="I67" s="698"/>
      <c r="J67" s="1057"/>
      <c r="K67" s="1018"/>
      <c r="L67" s="1019"/>
      <c r="M67" s="1057"/>
      <c r="N67" s="1057"/>
      <c r="O67" s="1057"/>
      <c r="P67" s="2951"/>
      <c r="Q67" s="2951"/>
      <c r="R67" s="2951"/>
      <c r="S67" s="2951"/>
      <c r="T67" s="2951"/>
      <c r="U67" s="2951"/>
      <c r="V67" s="2951"/>
      <c r="W67" s="2951"/>
      <c r="X67" s="2951"/>
      <c r="Y67" s="2951"/>
      <c r="Z67" s="2951"/>
      <c r="AA67" s="2951"/>
      <c r="AB67" s="2951"/>
      <c r="AC67" s="2951"/>
    </row>
    <row r="68" spans="1:29">
      <c r="A68" s="698"/>
      <c r="B68" s="700"/>
      <c r="C68" s="700" t="str">
        <f>YEAR(C7)&amp;"-"&amp;MONTH(C7)&amp;"-1"</f>
        <v>2021-10-1</v>
      </c>
      <c r="D68" s="700">
        <f>EDATE(C68,-3)</f>
        <v>44378</v>
      </c>
      <c r="E68" s="700">
        <f>EDATE(D68,-3)</f>
        <v>44287</v>
      </c>
      <c r="F68" s="700">
        <f t="shared" ref="F68:O68" si="18">EDATE(E68,-3)</f>
        <v>44197</v>
      </c>
      <c r="G68" s="700">
        <f t="shared" si="18"/>
        <v>44105</v>
      </c>
      <c r="H68" s="700">
        <f t="shared" si="18"/>
        <v>44013</v>
      </c>
      <c r="I68" s="700">
        <f t="shared" si="18"/>
        <v>43922</v>
      </c>
      <c r="J68" s="700">
        <f t="shared" si="18"/>
        <v>43831</v>
      </c>
      <c r="K68" s="700">
        <f t="shared" si="18"/>
        <v>43739</v>
      </c>
      <c r="L68" s="700">
        <f t="shared" si="18"/>
        <v>43647</v>
      </c>
      <c r="M68" s="700">
        <f t="shared" si="18"/>
        <v>43556</v>
      </c>
      <c r="N68" s="700">
        <f t="shared" si="18"/>
        <v>43466</v>
      </c>
      <c r="O68" s="700">
        <f t="shared" si="18"/>
        <v>43374</v>
      </c>
      <c r="P68" s="2951"/>
      <c r="Q68" s="2951"/>
      <c r="R68" s="2951"/>
      <c r="S68" s="2951"/>
      <c r="T68" s="2951"/>
      <c r="U68" s="2951"/>
      <c r="V68" s="2951"/>
      <c r="W68" s="2951"/>
      <c r="X68" s="2951"/>
      <c r="Y68" s="2951"/>
      <c r="Z68" s="2951"/>
      <c r="AA68" s="2951"/>
      <c r="AB68" s="2951"/>
      <c r="AC68" s="2951"/>
    </row>
    <row r="69" spans="1:29" ht="21.75" thickBot="1">
      <c r="A69" s="702" t="s">
        <v>2493</v>
      </c>
      <c r="B69" s="698"/>
      <c r="C69" s="703"/>
      <c r="D69" s="703"/>
      <c r="E69" s="703"/>
      <c r="F69" s="704"/>
      <c r="G69" s="704"/>
      <c r="H69" s="703"/>
      <c r="I69" s="703"/>
      <c r="J69" s="1070"/>
      <c r="K69" s="1071"/>
      <c r="L69" s="1072"/>
      <c r="M69" s="1070"/>
      <c r="N69" s="2995"/>
      <c r="O69" s="2995"/>
      <c r="P69" s="2995"/>
      <c r="Q69" s="2965"/>
      <c r="R69" s="2951"/>
      <c r="S69" s="2951"/>
      <c r="T69" s="2951"/>
      <c r="U69" s="2951"/>
      <c r="V69" s="2951"/>
      <c r="W69" s="2951"/>
      <c r="X69" s="2951"/>
      <c r="Y69" s="2951"/>
      <c r="Z69" s="2951"/>
      <c r="AA69" s="2951"/>
      <c r="AB69" s="2951"/>
      <c r="AC69" s="2951"/>
    </row>
    <row r="70" spans="1:29" s="464" customFormat="1" ht="15">
      <c r="A70" s="2172" t="s">
        <v>2601</v>
      </c>
      <c r="B70" s="1268"/>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2"/>
      <c r="Q70" s="2967"/>
      <c r="R70" s="2967"/>
      <c r="S70" s="2967"/>
      <c r="T70" s="2967"/>
      <c r="U70" s="2967"/>
      <c r="V70" s="2967"/>
      <c r="W70" s="2967"/>
      <c r="X70" s="2967"/>
      <c r="Y70" s="2967"/>
      <c r="Z70" s="2967"/>
      <c r="AA70" s="2967"/>
      <c r="AB70" s="2967"/>
      <c r="AC70" s="2967"/>
    </row>
    <row r="71" spans="1:29" s="112" customFormat="1" ht="30" customHeight="1">
      <c r="A71" s="2173" t="s">
        <v>2602</v>
      </c>
      <c r="B71" s="293" t="str">
        <f>"北京市平均增长率"&amp;TEXT(SUMIF(基准地价修正!N21:N25,A71,基准地价修正!P21:P25),"0.00%")</f>
        <v>北京市平均增长率0.00%</v>
      </c>
      <c r="C71" s="559">
        <v>100</v>
      </c>
      <c r="D71" s="551">
        <f>C71-$C$72</f>
        <v>99.5</v>
      </c>
      <c r="E71" s="551">
        <f t="shared" ref="E71:M71" si="20">D71-$C$72</f>
        <v>99</v>
      </c>
      <c r="F71" s="551">
        <f t="shared" si="20"/>
        <v>98.5</v>
      </c>
      <c r="G71" s="551">
        <f t="shared" si="20"/>
        <v>98</v>
      </c>
      <c r="H71" s="551">
        <f t="shared" si="20"/>
        <v>97.5</v>
      </c>
      <c r="I71" s="551">
        <f t="shared" si="20"/>
        <v>97</v>
      </c>
      <c r="J71" s="551">
        <f t="shared" si="20"/>
        <v>96.5</v>
      </c>
      <c r="K71" s="551">
        <f t="shared" si="20"/>
        <v>96</v>
      </c>
      <c r="L71" s="551">
        <f t="shared" si="20"/>
        <v>95.5</v>
      </c>
      <c r="M71" s="551">
        <f t="shared" si="20"/>
        <v>95</v>
      </c>
      <c r="N71" s="551"/>
      <c r="O71" s="1340"/>
      <c r="P71" s="2965"/>
      <c r="Q71" s="2885"/>
      <c r="R71" s="2885"/>
      <c r="S71" s="2885"/>
      <c r="T71" s="2885"/>
      <c r="U71" s="2885"/>
      <c r="V71" s="2885"/>
      <c r="W71" s="2885"/>
      <c r="X71" s="2885"/>
      <c r="Y71" s="2885"/>
      <c r="Z71" s="2885"/>
      <c r="AA71" s="2885"/>
      <c r="AB71" s="2885"/>
      <c r="AC71" s="2885"/>
    </row>
    <row r="72" spans="1:29" s="112" customFormat="1" ht="15.75" thickBot="1">
      <c r="A72" s="471" t="s">
        <v>2404</v>
      </c>
      <c r="B72" s="472"/>
      <c r="C72" s="473">
        <v>0.5</v>
      </c>
      <c r="D72" s="474"/>
      <c r="E72" s="474"/>
      <c r="F72" s="474"/>
      <c r="G72" s="474"/>
      <c r="H72" s="474"/>
      <c r="I72" s="474"/>
      <c r="J72" s="474"/>
      <c r="K72" s="474"/>
      <c r="L72" s="474"/>
      <c r="M72" s="475"/>
      <c r="N72" s="474"/>
      <c r="O72" s="1073"/>
      <c r="P72" s="2965"/>
      <c r="Q72" s="2965"/>
      <c r="R72" s="2885"/>
      <c r="S72" s="2885"/>
      <c r="T72" s="2885"/>
      <c r="U72" s="2885"/>
      <c r="V72" s="2885"/>
      <c r="W72" s="2885"/>
      <c r="X72" s="2885"/>
      <c r="Y72" s="2885"/>
      <c r="Z72" s="2885"/>
      <c r="AA72" s="2885"/>
      <c r="AB72" s="2885"/>
      <c r="AC72" s="2885"/>
    </row>
    <row r="73" spans="1:29" s="112" customFormat="1" ht="15">
      <c r="A73" s="477" t="s">
        <v>2369</v>
      </c>
      <c r="B73" s="466"/>
      <c r="C73" s="478" t="s">
        <v>2471</v>
      </c>
      <c r="D73" s="479"/>
      <c r="E73" s="479"/>
      <c r="F73" s="479"/>
      <c r="G73" s="479"/>
      <c r="H73" s="479"/>
      <c r="I73" s="479"/>
      <c r="J73" s="479"/>
      <c r="K73" s="479"/>
      <c r="L73" s="480"/>
      <c r="M73" s="481"/>
      <c r="N73" s="2978"/>
      <c r="O73" s="2978"/>
      <c r="P73" s="3003"/>
      <c r="Q73" s="2965"/>
      <c r="R73" s="2885"/>
      <c r="S73" s="2885"/>
      <c r="T73" s="2885"/>
      <c r="U73" s="2885"/>
      <c r="V73" s="2885"/>
      <c r="W73" s="2885"/>
      <c r="X73" s="2885"/>
      <c r="Y73" s="2885"/>
      <c r="Z73" s="2885"/>
      <c r="AA73" s="2885"/>
      <c r="AB73" s="2885"/>
      <c r="AC73" s="2885"/>
    </row>
    <row r="74" spans="1:29" s="112" customFormat="1" ht="15.75" thickBot="1">
      <c r="A74" s="477"/>
      <c r="B74" s="466"/>
      <c r="C74" s="594">
        <v>100</v>
      </c>
      <c r="D74" s="468"/>
      <c r="E74" s="468"/>
      <c r="F74" s="468"/>
      <c r="G74" s="468"/>
      <c r="H74" s="468"/>
      <c r="I74" s="468"/>
      <c r="J74" s="468"/>
      <c r="K74" s="468"/>
      <c r="L74" s="468"/>
      <c r="M74" s="470"/>
      <c r="N74" s="2978"/>
      <c r="O74" s="2978"/>
      <c r="P74" s="2965"/>
      <c r="Q74" s="2965"/>
      <c r="R74" s="2885"/>
      <c r="S74" s="2885"/>
      <c r="T74" s="2885"/>
      <c r="U74" s="2885"/>
      <c r="V74" s="2885"/>
      <c r="W74" s="2885"/>
      <c r="X74" s="2885"/>
      <c r="Y74" s="2885"/>
      <c r="Z74" s="2885"/>
      <c r="AA74" s="2885"/>
      <c r="AB74" s="2885"/>
      <c r="AC74" s="2885"/>
    </row>
    <row r="75" spans="1:29">
      <c r="A75" s="483" t="s">
        <v>2407</v>
      </c>
      <c r="B75" s="484" t="s">
        <v>2373</v>
      </c>
      <c r="C75" s="3071" t="s">
        <v>4680</v>
      </c>
      <c r="D75" s="486"/>
      <c r="E75" s="486"/>
      <c r="F75" s="486"/>
      <c r="G75" s="486"/>
      <c r="H75" s="486"/>
      <c r="I75" s="486"/>
      <c r="J75" s="486"/>
      <c r="K75" s="487"/>
      <c r="L75" s="488"/>
      <c r="M75" s="489"/>
      <c r="N75" s="2979"/>
      <c r="O75" s="2979"/>
      <c r="P75" s="3004"/>
      <c r="Q75" s="2965"/>
      <c r="R75" s="2951"/>
      <c r="S75" s="2951"/>
      <c r="T75" s="2951"/>
      <c r="U75" s="2951"/>
      <c r="V75" s="2951"/>
      <c r="W75" s="2951"/>
      <c r="X75" s="2951"/>
      <c r="Y75" s="2951"/>
      <c r="Z75" s="2951"/>
      <c r="AA75" s="2951"/>
      <c r="AB75" s="2951"/>
      <c r="AC75" s="2951"/>
    </row>
    <row r="76" spans="1:29" ht="15.75" thickBot="1">
      <c r="A76" s="490"/>
      <c r="B76" s="491"/>
      <c r="C76" s="492">
        <v>100</v>
      </c>
      <c r="D76" s="492"/>
      <c r="E76" s="492"/>
      <c r="F76" s="492"/>
      <c r="G76" s="492"/>
      <c r="H76" s="492"/>
      <c r="I76" s="492"/>
      <c r="J76" s="492"/>
      <c r="K76" s="492"/>
      <c r="L76" s="492"/>
      <c r="M76" s="493"/>
      <c r="N76" s="2980"/>
      <c r="O76" s="2980"/>
      <c r="P76" s="3004"/>
      <c r="Q76" s="2965"/>
      <c r="R76" s="2951"/>
      <c r="S76" s="2951"/>
      <c r="T76" s="2951"/>
      <c r="U76" s="2951"/>
      <c r="V76" s="2951"/>
      <c r="W76" s="2951"/>
      <c r="X76" s="2951"/>
      <c r="Y76" s="2951"/>
      <c r="Z76" s="2951"/>
      <c r="AA76" s="2951"/>
      <c r="AB76" s="2951"/>
      <c r="AC76" s="2951"/>
    </row>
    <row r="77" spans="1:29" ht="27.75" thickTop="1">
      <c r="A77" s="490"/>
      <c r="B77" s="494" t="s">
        <v>2376</v>
      </c>
      <c r="C77" s="495"/>
      <c r="D77" s="495"/>
      <c r="E77" s="495"/>
      <c r="F77" s="495"/>
      <c r="G77" s="495"/>
      <c r="H77" s="495"/>
      <c r="I77" s="495"/>
      <c r="J77" s="495"/>
      <c r="K77" s="496"/>
      <c r="L77" s="497"/>
      <c r="M77" s="498"/>
      <c r="N77" s="2979"/>
      <c r="O77" s="2979"/>
      <c r="P77" s="3004"/>
      <c r="Q77" s="2965"/>
      <c r="R77" s="2951"/>
      <c r="S77" s="2951"/>
      <c r="T77" s="2951"/>
      <c r="U77" s="2951"/>
      <c r="V77" s="2951"/>
      <c r="W77" s="2951"/>
      <c r="X77" s="2951"/>
      <c r="Y77" s="2951"/>
      <c r="Z77" s="2951"/>
      <c r="AA77" s="2951"/>
      <c r="AB77" s="2951"/>
      <c r="AC77" s="2951"/>
    </row>
    <row r="78" spans="1:29" ht="15.75" thickBot="1">
      <c r="A78" s="490"/>
      <c r="B78" s="499"/>
      <c r="C78" s="500"/>
      <c r="D78" s="500"/>
      <c r="E78" s="500"/>
      <c r="F78" s="500"/>
      <c r="G78" s="500"/>
      <c r="H78" s="500"/>
      <c r="I78" s="500"/>
      <c r="J78" s="500"/>
      <c r="K78" s="500"/>
      <c r="L78" s="500"/>
      <c r="M78" s="501"/>
      <c r="N78" s="2980"/>
      <c r="O78" s="2980"/>
      <c r="P78" s="3004"/>
      <c r="Q78" s="2965"/>
      <c r="R78" s="2951"/>
      <c r="S78" s="2951"/>
      <c r="T78" s="2951"/>
      <c r="U78" s="2951"/>
      <c r="V78" s="2951"/>
      <c r="W78" s="2951"/>
      <c r="X78" s="2951"/>
      <c r="Y78" s="2951"/>
      <c r="Z78" s="2951"/>
      <c r="AA78" s="2951"/>
      <c r="AB78" s="2951"/>
      <c r="AC78" s="2951"/>
    </row>
    <row r="79" spans="1:29" ht="15.75" thickTop="1">
      <c r="A79" s="490"/>
      <c r="B79" s="502" t="s">
        <v>2377</v>
      </c>
      <c r="C79" s="503" t="str">
        <f>C80&amp;"（含）"&amp;"-"&amp;D80</f>
        <v>0（含）-1</v>
      </c>
      <c r="D79" s="503" t="str">
        <f t="shared" ref="D79:L79" si="21">D80&amp;"（含）"&amp;"-"&amp;E80</f>
        <v>1（含）-2</v>
      </c>
      <c r="E79" s="503" t="str">
        <f t="shared" si="21"/>
        <v>2（含）-3</v>
      </c>
      <c r="F79" s="503" t="str">
        <f t="shared" si="21"/>
        <v>3（含）-4</v>
      </c>
      <c r="G79" s="503" t="str">
        <f t="shared" si="21"/>
        <v>4（含）-5</v>
      </c>
      <c r="H79" s="503" t="str">
        <f t="shared" si="21"/>
        <v>5（含）-6</v>
      </c>
      <c r="I79" s="503" t="str">
        <f t="shared" si="21"/>
        <v>6（含）-7</v>
      </c>
      <c r="J79" s="503" t="str">
        <f t="shared" si="21"/>
        <v>7（含）-8</v>
      </c>
      <c r="K79" s="503" t="str">
        <f t="shared" si="21"/>
        <v>8（含）-9</v>
      </c>
      <c r="L79" s="503" t="str">
        <f t="shared" si="21"/>
        <v>9（含）-10</v>
      </c>
      <c r="M79" s="406" t="str">
        <f>M80&amp;"（含）"&amp;"-"&amp;P80</f>
        <v>10（含）-</v>
      </c>
      <c r="N79" s="2980"/>
      <c r="O79" s="2980"/>
      <c r="P79" s="3004"/>
      <c r="Q79" s="2965"/>
      <c r="R79" s="2951"/>
      <c r="S79" s="2951"/>
      <c r="T79" s="2951"/>
      <c r="U79" s="2951"/>
      <c r="V79" s="2951"/>
      <c r="W79" s="2951"/>
      <c r="X79" s="2951"/>
      <c r="Y79" s="2951"/>
      <c r="Z79" s="2951"/>
      <c r="AA79" s="2951"/>
      <c r="AB79" s="2951"/>
      <c r="AC79" s="2951"/>
    </row>
    <row r="80" spans="1:29" ht="15">
      <c r="A80" s="490"/>
      <c r="B80" s="504"/>
      <c r="C80" s="505">
        <v>0</v>
      </c>
      <c r="D80" s="505">
        <v>1</v>
      </c>
      <c r="E80" s="505">
        <v>2</v>
      </c>
      <c r="F80" s="505">
        <v>3</v>
      </c>
      <c r="G80" s="505">
        <v>4</v>
      </c>
      <c r="H80" s="505">
        <v>5</v>
      </c>
      <c r="I80" s="505">
        <v>6</v>
      </c>
      <c r="J80" s="505">
        <v>7</v>
      </c>
      <c r="K80" s="506">
        <v>8</v>
      </c>
      <c r="L80" s="507">
        <v>9</v>
      </c>
      <c r="M80" s="508">
        <v>10</v>
      </c>
      <c r="N80" s="2979"/>
      <c r="O80" s="2979"/>
      <c r="P80" s="3004"/>
      <c r="Q80" s="2965"/>
      <c r="R80" s="2951"/>
      <c r="S80" s="2951"/>
      <c r="T80" s="2951"/>
      <c r="U80" s="2951"/>
      <c r="V80" s="2951"/>
      <c r="W80" s="2951"/>
      <c r="X80" s="2951"/>
      <c r="Y80" s="2951"/>
      <c r="Z80" s="2951"/>
      <c r="AA80" s="2951"/>
      <c r="AB80" s="2951"/>
      <c r="AC80" s="2951"/>
    </row>
    <row r="81" spans="1:29" ht="15.75" thickBot="1">
      <c r="A81" s="490"/>
      <c r="B81" s="491"/>
      <c r="C81" s="500">
        <v>100</v>
      </c>
      <c r="D81" s="500">
        <f t="shared" ref="D81:M81" si="22">IF($B$46="单位面积地价",C81+$K11,C81-$K11)</f>
        <v>98</v>
      </c>
      <c r="E81" s="500">
        <f t="shared" si="22"/>
        <v>96</v>
      </c>
      <c r="F81" s="500">
        <f t="shared" si="22"/>
        <v>94</v>
      </c>
      <c r="G81" s="500">
        <f t="shared" si="22"/>
        <v>92</v>
      </c>
      <c r="H81" s="500">
        <f t="shared" si="22"/>
        <v>90</v>
      </c>
      <c r="I81" s="500">
        <f t="shared" si="22"/>
        <v>88</v>
      </c>
      <c r="J81" s="500">
        <f t="shared" si="22"/>
        <v>86</v>
      </c>
      <c r="K81" s="500">
        <f t="shared" si="22"/>
        <v>84</v>
      </c>
      <c r="L81" s="500">
        <f t="shared" si="22"/>
        <v>82</v>
      </c>
      <c r="M81" s="500">
        <f t="shared" si="22"/>
        <v>80</v>
      </c>
      <c r="N81" s="2980"/>
      <c r="O81" s="2980"/>
      <c r="P81" s="3004"/>
      <c r="Q81" s="2965"/>
      <c r="R81" s="2951"/>
      <c r="S81" s="2951"/>
      <c r="T81" s="2951"/>
      <c r="U81" s="2951"/>
      <c r="V81" s="2951"/>
      <c r="W81" s="2951"/>
      <c r="X81" s="2951"/>
      <c r="Y81" s="2951"/>
      <c r="Z81" s="2951"/>
      <c r="AA81" s="2951"/>
      <c r="AB81" s="2951"/>
      <c r="AC81" s="2951"/>
    </row>
    <row r="82" spans="1:29" s="429" customFormat="1" ht="15.75" thickTop="1">
      <c r="A82" s="509"/>
      <c r="B82" s="494" t="str">
        <f>B12</f>
        <v>配建</v>
      </c>
      <c r="C82" s="510"/>
      <c r="D82" s="510"/>
      <c r="E82" s="510"/>
      <c r="F82" s="510"/>
      <c r="G82" s="510"/>
      <c r="H82" s="511"/>
      <c r="I82" s="511"/>
      <c r="J82" s="511"/>
      <c r="K82" s="511"/>
      <c r="L82" s="512"/>
      <c r="M82" s="513"/>
      <c r="N82" s="2981"/>
      <c r="O82" s="2981"/>
      <c r="P82" s="3005"/>
      <c r="Q82" s="2972"/>
      <c r="R82" s="2973"/>
      <c r="S82" s="2973"/>
      <c r="T82" s="2973"/>
      <c r="U82" s="2973"/>
      <c r="V82" s="2973"/>
      <c r="W82" s="2973"/>
      <c r="X82" s="2973"/>
      <c r="Y82" s="2973"/>
      <c r="Z82" s="2973"/>
      <c r="AA82" s="2973"/>
      <c r="AB82" s="2973"/>
      <c r="AC82" s="2973"/>
    </row>
    <row r="83" spans="1:29" s="429" customFormat="1" ht="15.75" thickBot="1">
      <c r="A83" s="509"/>
      <c r="B83" s="499"/>
      <c r="C83" s="516"/>
      <c r="D83" s="492"/>
      <c r="E83" s="492"/>
      <c r="F83" s="492"/>
      <c r="G83" s="492"/>
      <c r="H83" s="492"/>
      <c r="I83" s="492"/>
      <c r="J83" s="492"/>
      <c r="K83" s="492"/>
      <c r="L83" s="492"/>
      <c r="M83" s="493"/>
      <c r="N83" s="2980"/>
      <c r="O83" s="2980"/>
      <c r="P83" s="3005"/>
      <c r="Q83" s="2972"/>
      <c r="R83" s="2973"/>
      <c r="S83" s="2973"/>
      <c r="T83" s="2973"/>
      <c r="U83" s="2973"/>
      <c r="V83" s="2973"/>
      <c r="W83" s="2973"/>
      <c r="X83" s="2973"/>
      <c r="Y83" s="2973"/>
      <c r="Z83" s="2973"/>
      <c r="AA83" s="2973"/>
      <c r="AB83" s="2973"/>
      <c r="AC83" s="2973"/>
    </row>
    <row r="84" spans="1:29" s="429" customFormat="1" ht="15.75" thickTop="1">
      <c r="A84" s="509"/>
      <c r="B84" s="494">
        <f>B13</f>
        <v>111</v>
      </c>
      <c r="C84" s="510"/>
      <c r="D84" s="510"/>
      <c r="E84" s="510"/>
      <c r="F84" s="510"/>
      <c r="G84" s="510"/>
      <c r="H84" s="511"/>
      <c r="I84" s="511"/>
      <c r="J84" s="511"/>
      <c r="K84" s="511"/>
      <c r="L84" s="512"/>
      <c r="M84" s="513"/>
      <c r="N84" s="2981"/>
      <c r="O84" s="2981"/>
      <c r="P84" s="2949"/>
      <c r="Q84" s="2975"/>
      <c r="R84" s="2973"/>
      <c r="S84" s="2973"/>
      <c r="T84" s="2973"/>
      <c r="U84" s="2973"/>
      <c r="V84" s="2973"/>
      <c r="W84" s="2973"/>
      <c r="X84" s="2973"/>
      <c r="Y84" s="2973"/>
      <c r="Z84" s="2973"/>
      <c r="AA84" s="2973"/>
      <c r="AB84" s="2973"/>
      <c r="AC84" s="2973"/>
    </row>
    <row r="85" spans="1:29" s="429" customFormat="1" ht="15.75" thickBot="1">
      <c r="A85" s="509"/>
      <c r="B85" s="499"/>
      <c r="C85" s="516"/>
      <c r="D85" s="516"/>
      <c r="E85" s="516"/>
      <c r="F85" s="516"/>
      <c r="G85" s="516"/>
      <c r="H85" s="518"/>
      <c r="I85" s="518"/>
      <c r="J85" s="518"/>
      <c r="K85" s="518"/>
      <c r="L85" s="518"/>
      <c r="M85" s="519"/>
      <c r="N85" s="2981"/>
      <c r="O85" s="2981"/>
      <c r="P85" s="3005"/>
      <c r="Q85" s="2972"/>
      <c r="R85" s="2973"/>
      <c r="S85" s="2973"/>
      <c r="T85" s="2973"/>
      <c r="U85" s="2973"/>
      <c r="V85" s="2973"/>
      <c r="W85" s="2973"/>
      <c r="X85" s="2973"/>
      <c r="Y85" s="2973"/>
      <c r="Z85" s="2973"/>
      <c r="AA85" s="2973"/>
      <c r="AB85" s="2973"/>
      <c r="AC85" s="2973"/>
    </row>
    <row r="86" spans="1:29" s="429" customFormat="1" ht="15.75" thickTop="1">
      <c r="A86" s="509"/>
      <c r="B86" s="502">
        <f>B14</f>
        <v>111</v>
      </c>
      <c r="C86" s="479"/>
      <c r="D86" s="479"/>
      <c r="E86" s="479"/>
      <c r="F86" s="479"/>
      <c r="G86" s="479"/>
      <c r="H86" s="520"/>
      <c r="I86" s="520"/>
      <c r="J86" s="520"/>
      <c r="K86" s="520"/>
      <c r="L86" s="521"/>
      <c r="M86" s="522"/>
      <c r="N86" s="2981"/>
      <c r="O86" s="2981"/>
      <c r="P86" s="3010"/>
      <c r="Q86" s="2972"/>
      <c r="R86" s="2973"/>
      <c r="S86" s="2973"/>
      <c r="T86" s="2973"/>
      <c r="U86" s="2973"/>
      <c r="V86" s="2973"/>
      <c r="W86" s="2973"/>
      <c r="X86" s="2973"/>
      <c r="Y86" s="2973"/>
      <c r="Z86" s="2973"/>
      <c r="AA86" s="2973"/>
      <c r="AB86" s="2973"/>
      <c r="AC86" s="2973"/>
    </row>
    <row r="87" spans="1:29" s="429" customFormat="1" ht="15.75" thickBot="1">
      <c r="A87" s="524"/>
      <c r="B87" s="525"/>
      <c r="C87" s="526"/>
      <c r="D87" s="526"/>
      <c r="E87" s="526"/>
      <c r="F87" s="526"/>
      <c r="G87" s="526"/>
      <c r="H87" s="527"/>
      <c r="I87" s="527"/>
      <c r="J87" s="527"/>
      <c r="K87" s="527"/>
      <c r="L87" s="527"/>
      <c r="M87" s="528"/>
      <c r="N87" s="2981"/>
      <c r="O87" s="2981"/>
      <c r="P87" s="3005"/>
      <c r="Q87" s="2972"/>
      <c r="R87" s="2973"/>
      <c r="S87" s="2973"/>
      <c r="T87" s="2973"/>
      <c r="U87" s="2973"/>
      <c r="V87" s="2973"/>
      <c r="W87" s="2973"/>
      <c r="X87" s="2973"/>
      <c r="Y87" s="2973"/>
      <c r="Z87" s="2973"/>
      <c r="AA87" s="2973"/>
      <c r="AB87" s="2973"/>
      <c r="AC87" s="2973"/>
    </row>
    <row r="88" spans="1:29">
      <c r="A88" s="483" t="s">
        <v>2378</v>
      </c>
      <c r="B88" s="484" t="s">
        <v>2415</v>
      </c>
      <c r="C88" s="529" t="s">
        <v>2416</v>
      </c>
      <c r="D88" s="529" t="s">
        <v>2417</v>
      </c>
      <c r="E88" s="529" t="s">
        <v>2418</v>
      </c>
      <c r="F88" s="529" t="s">
        <v>2419</v>
      </c>
      <c r="G88" s="529" t="s">
        <v>2420</v>
      </c>
      <c r="H88" s="485"/>
      <c r="I88" s="485"/>
      <c r="J88" s="485"/>
      <c r="K88" s="530"/>
      <c r="L88" s="531"/>
      <c r="M88" s="532"/>
      <c r="N88" s="2979"/>
      <c r="O88" s="2979"/>
      <c r="P88" s="3006"/>
      <c r="Q88" s="2965"/>
      <c r="R88" s="2951"/>
      <c r="S88" s="2951"/>
      <c r="T88" s="2951"/>
      <c r="U88" s="2951"/>
      <c r="V88" s="2951"/>
      <c r="W88" s="2951"/>
      <c r="X88" s="2951"/>
      <c r="Y88" s="2951"/>
      <c r="Z88" s="2951"/>
      <c r="AA88" s="2951"/>
      <c r="AB88" s="2951"/>
      <c r="AC88" s="2951"/>
    </row>
    <row r="89" spans="1:29" ht="15.75" thickBot="1">
      <c r="A89" s="490"/>
      <c r="B89" s="499"/>
      <c r="C89" s="500">
        <v>100</v>
      </c>
      <c r="D89" s="500">
        <f>C89-$K15</f>
        <v>97</v>
      </c>
      <c r="E89" s="500">
        <f>D89-$K15</f>
        <v>94</v>
      </c>
      <c r="F89" s="500">
        <f>E89-$K15</f>
        <v>91</v>
      </c>
      <c r="G89" s="500">
        <f>F89-$K15</f>
        <v>88</v>
      </c>
      <c r="H89" s="500"/>
      <c r="I89" s="500"/>
      <c r="J89" s="500"/>
      <c r="K89" s="500"/>
      <c r="L89" s="500"/>
      <c r="M89" s="501"/>
      <c r="N89" s="2980"/>
      <c r="O89" s="2980"/>
      <c r="P89" s="3004"/>
      <c r="Q89" s="2965"/>
      <c r="R89" s="2951"/>
      <c r="S89" s="2951"/>
      <c r="T89" s="2951"/>
      <c r="U89" s="2951"/>
      <c r="V89" s="2951"/>
      <c r="W89" s="2951"/>
      <c r="X89" s="2951"/>
      <c r="Y89" s="2951"/>
      <c r="Z89" s="2951"/>
      <c r="AA89" s="2951"/>
      <c r="AB89" s="2951"/>
      <c r="AC89" s="2951"/>
    </row>
    <row r="90" spans="1:29" ht="15.75" thickTop="1">
      <c r="A90" s="490"/>
      <c r="B90" s="494" t="s">
        <v>2603</v>
      </c>
      <c r="C90" s="534" t="s">
        <v>2416</v>
      </c>
      <c r="D90" s="534" t="s">
        <v>2417</v>
      </c>
      <c r="E90" s="534" t="s">
        <v>2418</v>
      </c>
      <c r="F90" s="534" t="s">
        <v>2419</v>
      </c>
      <c r="G90" s="534" t="s">
        <v>2420</v>
      </c>
      <c r="H90" s="495"/>
      <c r="I90" s="495"/>
      <c r="J90" s="495"/>
      <c r="K90" s="496"/>
      <c r="L90" s="497"/>
      <c r="M90" s="498"/>
      <c r="N90" s="2979"/>
      <c r="O90" s="2979"/>
      <c r="P90" s="3004"/>
      <c r="Q90" s="2965"/>
      <c r="R90" s="2951"/>
      <c r="S90" s="2951"/>
      <c r="T90" s="2951"/>
      <c r="U90" s="2951"/>
      <c r="V90" s="2951"/>
      <c r="W90" s="2951"/>
      <c r="X90" s="2951"/>
      <c r="Y90" s="2951"/>
      <c r="Z90" s="2951"/>
      <c r="AA90" s="2951"/>
      <c r="AB90" s="2951"/>
      <c r="AC90" s="2951"/>
    </row>
    <row r="91" spans="1:29" ht="15.75" thickBot="1">
      <c r="A91" s="490"/>
      <c r="B91" s="499"/>
      <c r="C91" s="500">
        <v>100</v>
      </c>
      <c r="D91" s="500">
        <f>C91-$K17</f>
        <v>97</v>
      </c>
      <c r="E91" s="500">
        <f>D91-$K17</f>
        <v>94</v>
      </c>
      <c r="F91" s="500">
        <f>E91-$K17</f>
        <v>91</v>
      </c>
      <c r="G91" s="500">
        <f>F91-$K17</f>
        <v>88</v>
      </c>
      <c r="H91" s="500"/>
      <c r="I91" s="500"/>
      <c r="J91" s="500"/>
      <c r="K91" s="500"/>
      <c r="L91" s="500"/>
      <c r="M91" s="501"/>
      <c r="N91" s="2980"/>
      <c r="O91" s="2980"/>
      <c r="P91" s="3004"/>
      <c r="Q91" s="2965"/>
      <c r="R91" s="2951"/>
      <c r="S91" s="2951"/>
      <c r="T91" s="2951"/>
      <c r="U91" s="2951"/>
      <c r="V91" s="2951"/>
      <c r="W91" s="2951"/>
      <c r="X91" s="2951"/>
      <c r="Y91" s="2951"/>
      <c r="Z91" s="2951"/>
      <c r="AA91" s="2951"/>
      <c r="AB91" s="2951"/>
      <c r="AC91" s="2951"/>
    </row>
    <row r="92" spans="1:29" ht="15.75" thickTop="1">
      <c r="A92" s="490"/>
      <c r="B92" s="494" t="s">
        <v>2516</v>
      </c>
      <c r="C92" s="534" t="s">
        <v>2416</v>
      </c>
      <c r="D92" s="534" t="s">
        <v>2417</v>
      </c>
      <c r="E92" s="534" t="s">
        <v>2418</v>
      </c>
      <c r="F92" s="534" t="s">
        <v>2419</v>
      </c>
      <c r="G92" s="534" t="s">
        <v>2420</v>
      </c>
      <c r="H92" s="495"/>
      <c r="I92" s="495"/>
      <c r="J92" s="495"/>
      <c r="K92" s="496"/>
      <c r="L92" s="497"/>
      <c r="M92" s="498"/>
      <c r="N92" s="2979"/>
      <c r="O92" s="2979"/>
      <c r="P92" s="3004"/>
      <c r="Q92" s="2965"/>
      <c r="R92" s="2951"/>
      <c r="S92" s="2951"/>
      <c r="T92" s="2951"/>
      <c r="U92" s="2951"/>
      <c r="V92" s="2951"/>
      <c r="W92" s="2951"/>
      <c r="X92" s="2951"/>
      <c r="Y92" s="2951"/>
      <c r="Z92" s="2951"/>
      <c r="AA92" s="2951"/>
      <c r="AB92" s="2951"/>
      <c r="AC92" s="2951"/>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0"/>
      <c r="O93" s="2980"/>
      <c r="P93" s="3004"/>
      <c r="Q93" s="2965"/>
      <c r="R93" s="2951"/>
      <c r="S93" s="2951"/>
      <c r="T93" s="2951"/>
      <c r="U93" s="2951"/>
      <c r="V93" s="2951"/>
      <c r="W93" s="2951"/>
      <c r="X93" s="2951"/>
      <c r="Y93" s="2951"/>
      <c r="Z93" s="2951"/>
      <c r="AA93" s="2951"/>
      <c r="AB93" s="2951"/>
      <c r="AC93" s="2951"/>
    </row>
    <row r="94" spans="1:29" ht="15.75" thickTop="1">
      <c r="A94" s="490"/>
      <c r="B94" s="494" t="s">
        <v>2421</v>
      </c>
      <c r="C94" s="534" t="s">
        <v>2416</v>
      </c>
      <c r="D94" s="534" t="s">
        <v>2417</v>
      </c>
      <c r="E94" s="534" t="s">
        <v>2418</v>
      </c>
      <c r="F94" s="534" t="s">
        <v>2419</v>
      </c>
      <c r="G94" s="534" t="s">
        <v>2420</v>
      </c>
      <c r="H94" s="495"/>
      <c r="I94" s="495"/>
      <c r="J94" s="495"/>
      <c r="K94" s="496"/>
      <c r="L94" s="497"/>
      <c r="M94" s="498"/>
      <c r="N94" s="2979"/>
      <c r="O94" s="2979"/>
      <c r="P94" s="3004"/>
      <c r="Q94" s="2965"/>
      <c r="R94" s="2951"/>
      <c r="S94" s="2951"/>
      <c r="T94" s="2951"/>
      <c r="U94" s="2951"/>
      <c r="V94" s="2951"/>
      <c r="W94" s="2951"/>
      <c r="X94" s="2951"/>
      <c r="Y94" s="2951"/>
      <c r="Z94" s="2951"/>
      <c r="AA94" s="2951"/>
      <c r="AB94" s="2951"/>
      <c r="AC94" s="2951"/>
    </row>
    <row r="95" spans="1:29" ht="15.75" thickBot="1">
      <c r="A95" s="490"/>
      <c r="B95" s="499"/>
      <c r="C95" s="500">
        <v>100</v>
      </c>
      <c r="D95" s="500">
        <f>C95-$K21</f>
        <v>97</v>
      </c>
      <c r="E95" s="500">
        <f>D95-$K21</f>
        <v>94</v>
      </c>
      <c r="F95" s="500">
        <f>E95-$K21</f>
        <v>91</v>
      </c>
      <c r="G95" s="500">
        <f>F95-$K21</f>
        <v>88</v>
      </c>
      <c r="H95" s="500"/>
      <c r="I95" s="500"/>
      <c r="J95" s="500"/>
      <c r="K95" s="500"/>
      <c r="L95" s="500"/>
      <c r="M95" s="501"/>
      <c r="N95" s="2980"/>
      <c r="O95" s="2980"/>
      <c r="P95" s="3004"/>
      <c r="Q95" s="2965"/>
      <c r="R95" s="2951"/>
      <c r="S95" s="2951"/>
      <c r="T95" s="2951"/>
      <c r="U95" s="2951"/>
      <c r="V95" s="2951"/>
      <c r="W95" s="2951"/>
      <c r="X95" s="2951"/>
      <c r="Y95" s="2951"/>
      <c r="Z95" s="2951"/>
      <c r="AA95" s="2951"/>
      <c r="AB95" s="2951"/>
      <c r="AC95" s="2951"/>
    </row>
    <row r="96" spans="1:29" s="112" customFormat="1" ht="15.75" thickTop="1">
      <c r="A96" s="535"/>
      <c r="B96" s="494" t="s">
        <v>2604</v>
      </c>
      <c r="C96" s="534" t="s">
        <v>2416</v>
      </c>
      <c r="D96" s="534" t="s">
        <v>2417</v>
      </c>
      <c r="E96" s="534" t="s">
        <v>2418</v>
      </c>
      <c r="F96" s="534" t="s">
        <v>2419</v>
      </c>
      <c r="G96" s="534" t="s">
        <v>2420</v>
      </c>
      <c r="H96" s="534"/>
      <c r="I96" s="534"/>
      <c r="J96" s="534"/>
      <c r="K96" s="534"/>
      <c r="L96" s="653"/>
      <c r="M96" s="577"/>
      <c r="N96" s="2978"/>
      <c r="O96" s="2978"/>
      <c r="P96" s="3004"/>
      <c r="Q96" s="2965"/>
      <c r="R96" s="2885"/>
      <c r="S96" s="2885"/>
      <c r="T96" s="2885"/>
      <c r="U96" s="2885"/>
      <c r="V96" s="2885"/>
      <c r="W96" s="2885"/>
      <c r="X96" s="2885"/>
      <c r="Y96" s="2885"/>
      <c r="Z96" s="2885"/>
      <c r="AA96" s="2885"/>
      <c r="AB96" s="2885"/>
      <c r="AC96" s="2885"/>
    </row>
    <row r="97" spans="1:29" s="112" customFormat="1" ht="15.75" thickBot="1">
      <c r="A97" s="535"/>
      <c r="B97" s="499"/>
      <c r="C97" s="538">
        <v>100</v>
      </c>
      <c r="D97" s="500">
        <f>C97-$K23</f>
        <v>97</v>
      </c>
      <c r="E97" s="500">
        <f>D97-$K23</f>
        <v>94</v>
      </c>
      <c r="F97" s="500">
        <f>E97-$K23</f>
        <v>91</v>
      </c>
      <c r="G97" s="500">
        <f>F97-$K23</f>
        <v>88</v>
      </c>
      <c r="H97" s="500"/>
      <c r="I97" s="500"/>
      <c r="J97" s="500"/>
      <c r="K97" s="500"/>
      <c r="L97" s="500"/>
      <c r="M97" s="501"/>
      <c r="N97" s="2980"/>
      <c r="O97" s="2980"/>
      <c r="P97" s="3004"/>
      <c r="Q97" s="2965"/>
      <c r="R97" s="2885"/>
      <c r="S97" s="2885"/>
      <c r="T97" s="2885"/>
      <c r="U97" s="2885"/>
      <c r="V97" s="2885"/>
      <c r="W97" s="2885"/>
      <c r="X97" s="2885"/>
      <c r="Y97" s="2885"/>
      <c r="Z97" s="2885"/>
      <c r="AA97" s="2885"/>
      <c r="AB97" s="2885"/>
      <c r="AC97" s="2885"/>
    </row>
    <row r="98" spans="1:29" s="112" customFormat="1" ht="27.75" thickTop="1">
      <c r="A98" s="535"/>
      <c r="B98" s="494" t="s">
        <v>2605</v>
      </c>
      <c r="C98" s="529" t="s">
        <v>2416</v>
      </c>
      <c r="D98" s="529" t="s">
        <v>2417</v>
      </c>
      <c r="E98" s="529" t="s">
        <v>2418</v>
      </c>
      <c r="F98" s="529" t="s">
        <v>2419</v>
      </c>
      <c r="G98" s="529" t="s">
        <v>2420</v>
      </c>
      <c r="H98" s="534"/>
      <c r="I98" s="534"/>
      <c r="J98" s="534"/>
      <c r="K98" s="534"/>
      <c r="L98" s="534"/>
      <c r="M98" s="577"/>
      <c r="N98" s="2978"/>
      <c r="O98" s="2978"/>
      <c r="P98" s="3004"/>
      <c r="Q98" s="2965"/>
      <c r="R98" s="2885"/>
      <c r="S98" s="2885"/>
      <c r="T98" s="2885"/>
      <c r="U98" s="2885"/>
      <c r="V98" s="2885"/>
      <c r="W98" s="2885"/>
      <c r="X98" s="2885"/>
      <c r="Y98" s="2885"/>
      <c r="Z98" s="2885"/>
      <c r="AA98" s="2885"/>
      <c r="AB98" s="2885"/>
      <c r="AC98" s="2885"/>
    </row>
    <row r="99" spans="1:29" s="112" customFormat="1" ht="15.75" thickBot="1">
      <c r="A99" s="535"/>
      <c r="B99" s="499"/>
      <c r="C99" s="500">
        <v>100</v>
      </c>
      <c r="D99" s="500">
        <f>C99-$K25</f>
        <v>97</v>
      </c>
      <c r="E99" s="500">
        <f>D99-$K25</f>
        <v>94</v>
      </c>
      <c r="F99" s="500">
        <f>E99-$K25</f>
        <v>91</v>
      </c>
      <c r="G99" s="500">
        <f>F99-$K25</f>
        <v>88</v>
      </c>
      <c r="H99" s="500"/>
      <c r="I99" s="500"/>
      <c r="J99" s="500"/>
      <c r="K99" s="500"/>
      <c r="L99" s="500"/>
      <c r="M99" s="501"/>
      <c r="N99" s="2980"/>
      <c r="O99" s="2980"/>
      <c r="P99" s="3004"/>
      <c r="Q99" s="2965"/>
      <c r="R99" s="2885"/>
      <c r="S99" s="2885"/>
      <c r="T99" s="2885"/>
      <c r="U99" s="2885"/>
      <c r="V99" s="2885"/>
      <c r="W99" s="2885"/>
      <c r="X99" s="2885"/>
      <c r="Y99" s="2885"/>
      <c r="Z99" s="2885"/>
      <c r="AA99" s="2885"/>
      <c r="AB99" s="2885"/>
      <c r="AC99" s="2885"/>
    </row>
    <row r="100" spans="1:29" s="429" customFormat="1" ht="15.75" thickTop="1">
      <c r="A100" s="509"/>
      <c r="B100" s="494" t="s">
        <v>2473</v>
      </c>
      <c r="C100" s="529" t="s">
        <v>2416</v>
      </c>
      <c r="D100" s="529" t="s">
        <v>2417</v>
      </c>
      <c r="E100" s="529" t="s">
        <v>2418</v>
      </c>
      <c r="F100" s="529" t="s">
        <v>2419</v>
      </c>
      <c r="G100" s="529" t="s">
        <v>2420</v>
      </c>
      <c r="H100" s="556"/>
      <c r="I100" s="556"/>
      <c r="J100" s="556"/>
      <c r="K100" s="556"/>
      <c r="L100" s="557"/>
      <c r="M100" s="558"/>
      <c r="N100" s="2981"/>
      <c r="O100" s="2981"/>
      <c r="P100" s="3005"/>
      <c r="Q100" s="2972"/>
      <c r="R100" s="2973"/>
      <c r="S100" s="2973"/>
      <c r="T100" s="2973"/>
      <c r="U100" s="2973"/>
      <c r="V100" s="2973"/>
      <c r="W100" s="2973"/>
      <c r="X100" s="2973"/>
      <c r="Y100" s="2973"/>
      <c r="Z100" s="2973"/>
      <c r="AA100" s="2973"/>
      <c r="AB100" s="2973"/>
      <c r="AC100" s="2973"/>
    </row>
    <row r="101" spans="1:29" s="429" customFormat="1" ht="15.75" thickBot="1">
      <c r="A101" s="509"/>
      <c r="B101" s="499"/>
      <c r="C101" s="500">
        <v>100</v>
      </c>
      <c r="D101" s="500">
        <f>C101-$K27</f>
        <v>97</v>
      </c>
      <c r="E101" s="500">
        <f>D101-$K27</f>
        <v>94</v>
      </c>
      <c r="F101" s="500">
        <f>E101-$K27</f>
        <v>91</v>
      </c>
      <c r="G101" s="500">
        <f>F101-$K27</f>
        <v>88</v>
      </c>
      <c r="H101" s="563"/>
      <c r="I101" s="563"/>
      <c r="J101" s="563"/>
      <c r="K101" s="563"/>
      <c r="L101" s="563"/>
      <c r="M101" s="564"/>
      <c r="N101" s="2981"/>
      <c r="O101" s="2981"/>
      <c r="P101" s="3005"/>
      <c r="Q101" s="2972"/>
      <c r="R101" s="2973"/>
      <c r="S101" s="2973"/>
      <c r="T101" s="2973"/>
      <c r="U101" s="2973"/>
      <c r="V101" s="2973"/>
      <c r="W101" s="2973"/>
      <c r="X101" s="2973"/>
      <c r="Y101" s="2973"/>
      <c r="Z101" s="2973"/>
      <c r="AA101" s="2973"/>
      <c r="AB101" s="2973"/>
      <c r="AC101" s="2973"/>
    </row>
    <row r="102" spans="1:29" s="429" customFormat="1" ht="15.75" thickTop="1">
      <c r="A102" s="509"/>
      <c r="B102" s="502" t="s">
        <v>2474</v>
      </c>
      <c r="C102" s="615" t="s">
        <v>2494</v>
      </c>
      <c r="D102" s="615" t="s">
        <v>2495</v>
      </c>
      <c r="E102" s="615" t="s">
        <v>2496</v>
      </c>
      <c r="F102" s="615" t="s">
        <v>2497</v>
      </c>
      <c r="G102" s="615" t="s">
        <v>2498</v>
      </c>
      <c r="H102" s="556"/>
      <c r="I102" s="556"/>
      <c r="J102" s="556"/>
      <c r="K102" s="556"/>
      <c r="L102" s="556"/>
      <c r="M102" s="1293"/>
      <c r="N102" s="2981"/>
      <c r="O102" s="2981"/>
      <c r="P102" s="3005"/>
      <c r="Q102" s="2972"/>
      <c r="R102" s="2973"/>
      <c r="S102" s="2973"/>
      <c r="T102" s="2973"/>
      <c r="U102" s="2973"/>
      <c r="V102" s="2973"/>
      <c r="W102" s="2973"/>
      <c r="X102" s="2973"/>
      <c r="Y102" s="2973"/>
      <c r="Z102" s="2973"/>
      <c r="AA102" s="2973"/>
      <c r="AB102" s="2973"/>
      <c r="AC102" s="2973"/>
    </row>
    <row r="103" spans="1:29" s="429" customFormat="1" ht="15.75" thickBot="1">
      <c r="A103" s="509"/>
      <c r="B103" s="502"/>
      <c r="C103" s="500">
        <v>100</v>
      </c>
      <c r="D103" s="500">
        <f>C103-$K29</f>
        <v>97</v>
      </c>
      <c r="E103" s="500">
        <f>D103-$K29</f>
        <v>94</v>
      </c>
      <c r="F103" s="500">
        <f>E103-$K29</f>
        <v>91</v>
      </c>
      <c r="G103" s="500">
        <f>F103-$K29</f>
        <v>88</v>
      </c>
      <c r="H103" s="504"/>
      <c r="I103" s="504"/>
      <c r="J103" s="504"/>
      <c r="K103" s="504"/>
      <c r="L103" s="504"/>
      <c r="M103" s="1293"/>
      <c r="N103" s="2981"/>
      <c r="O103" s="2981"/>
      <c r="P103" s="3005"/>
      <c r="Q103" s="2972"/>
      <c r="R103" s="2973"/>
      <c r="S103" s="2973"/>
      <c r="T103" s="2973"/>
      <c r="U103" s="2973"/>
      <c r="V103" s="2973"/>
      <c r="W103" s="2973"/>
      <c r="X103" s="2973"/>
      <c r="Y103" s="2973"/>
      <c r="Z103" s="2973"/>
      <c r="AA103" s="2973"/>
      <c r="AB103" s="2973"/>
      <c r="AC103" s="2973"/>
    </row>
    <row r="104" spans="1:29" ht="15.75" thickTop="1">
      <c r="A104" s="490"/>
      <c r="B104" s="494" t="str">
        <f>B31</f>
        <v>临街状况</v>
      </c>
      <c r="C104" s="495" t="s">
        <v>2606</v>
      </c>
      <c r="D104" s="495" t="s">
        <v>2607</v>
      </c>
      <c r="E104" s="495" t="s">
        <v>2608</v>
      </c>
      <c r="F104" s="495" t="s">
        <v>2609</v>
      </c>
      <c r="G104" s="495"/>
      <c r="H104" s="495"/>
      <c r="I104" s="495"/>
      <c r="J104" s="495"/>
      <c r="K104" s="496"/>
      <c r="L104" s="497"/>
      <c r="M104" s="498"/>
      <c r="N104" s="2979"/>
      <c r="O104" s="2979"/>
      <c r="P104" s="3004"/>
      <c r="Q104" s="2965"/>
      <c r="R104" s="2951"/>
      <c r="S104" s="2951"/>
      <c r="T104" s="2951"/>
      <c r="U104" s="2951"/>
      <c r="V104" s="2951"/>
      <c r="W104" s="2951"/>
      <c r="X104" s="2951"/>
      <c r="Y104" s="2951"/>
      <c r="Z104" s="2951"/>
      <c r="AA104" s="2951"/>
      <c r="AB104" s="2951"/>
      <c r="AC104" s="2951"/>
    </row>
    <row r="105" spans="1:29" ht="15.75" thickBot="1">
      <c r="A105" s="490"/>
      <c r="B105" s="499"/>
      <c r="C105" s="500">
        <v>100</v>
      </c>
      <c r="D105" s="500">
        <f>C105-$K31</f>
        <v>100</v>
      </c>
      <c r="E105" s="500">
        <f t="shared" ref="E105:M105" si="23">D105-$K31</f>
        <v>100</v>
      </c>
      <c r="F105" s="500">
        <f t="shared" si="23"/>
        <v>100</v>
      </c>
      <c r="G105" s="500">
        <f t="shared" si="23"/>
        <v>100</v>
      </c>
      <c r="H105" s="500">
        <f t="shared" si="23"/>
        <v>100</v>
      </c>
      <c r="I105" s="500">
        <f t="shared" si="23"/>
        <v>100</v>
      </c>
      <c r="J105" s="500">
        <f t="shared" si="23"/>
        <v>100</v>
      </c>
      <c r="K105" s="500">
        <f t="shared" si="23"/>
        <v>100</v>
      </c>
      <c r="L105" s="500">
        <f t="shared" si="23"/>
        <v>100</v>
      </c>
      <c r="M105" s="500">
        <f t="shared" si="23"/>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0"/>
      <c r="B106" s="494" t="s">
        <v>2510</v>
      </c>
      <c r="C106" s="510"/>
      <c r="D106" s="510"/>
      <c r="E106" s="510"/>
      <c r="F106" s="510"/>
      <c r="G106" s="510"/>
      <c r="H106" s="539"/>
      <c r="I106" s="539"/>
      <c r="J106" s="539"/>
      <c r="K106" s="540"/>
      <c r="L106" s="541"/>
      <c r="M106" s="542"/>
      <c r="N106" s="2979"/>
      <c r="O106" s="2979"/>
      <c r="P106" s="3004"/>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C107-$K32</f>
        <v>100</v>
      </c>
      <c r="E107" s="500">
        <f t="shared" ref="E107:M107" si="24">D107-$K32</f>
        <v>100</v>
      </c>
      <c r="F107" s="500">
        <f t="shared" si="24"/>
        <v>100</v>
      </c>
      <c r="G107" s="500">
        <f t="shared" si="24"/>
        <v>100</v>
      </c>
      <c r="H107" s="500">
        <f t="shared" si="24"/>
        <v>100</v>
      </c>
      <c r="I107" s="500">
        <f t="shared" si="24"/>
        <v>100</v>
      </c>
      <c r="J107" s="500">
        <f t="shared" si="24"/>
        <v>100</v>
      </c>
      <c r="K107" s="500">
        <f t="shared" si="24"/>
        <v>100</v>
      </c>
      <c r="L107" s="500">
        <f t="shared" si="24"/>
        <v>100</v>
      </c>
      <c r="M107" s="500">
        <f t="shared" si="24"/>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0"/>
      <c r="B108" s="494" t="s">
        <v>2569</v>
      </c>
      <c r="C108" s="539"/>
      <c r="D108" s="539"/>
      <c r="E108" s="539"/>
      <c r="F108" s="539"/>
      <c r="G108" s="539"/>
      <c r="H108" s="539"/>
      <c r="I108" s="539"/>
      <c r="J108" s="539"/>
      <c r="K108" s="540"/>
      <c r="L108" s="541"/>
      <c r="M108" s="542"/>
      <c r="N108" s="2979"/>
      <c r="O108" s="2979"/>
      <c r="P108" s="3004"/>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C109-$K34</f>
        <v>100</v>
      </c>
      <c r="E109" s="500">
        <f t="shared" ref="E109:M109" si="25">D109-$K34</f>
        <v>100</v>
      </c>
      <c r="F109" s="500">
        <f t="shared" si="25"/>
        <v>100</v>
      </c>
      <c r="G109" s="500">
        <f t="shared" si="25"/>
        <v>100</v>
      </c>
      <c r="H109" s="500">
        <f t="shared" si="25"/>
        <v>100</v>
      </c>
      <c r="I109" s="500">
        <f t="shared" si="25"/>
        <v>100</v>
      </c>
      <c r="J109" s="500">
        <f t="shared" si="25"/>
        <v>100</v>
      </c>
      <c r="K109" s="500">
        <f t="shared" si="25"/>
        <v>100</v>
      </c>
      <c r="L109" s="500">
        <f t="shared" si="25"/>
        <v>100</v>
      </c>
      <c r="M109" s="500">
        <f t="shared" si="25"/>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0"/>
      <c r="B110" s="502">
        <f>B35</f>
        <v>111</v>
      </c>
      <c r="C110" s="510"/>
      <c r="D110" s="510"/>
      <c r="E110" s="510"/>
      <c r="F110" s="510"/>
      <c r="G110" s="543"/>
      <c r="H110" s="543"/>
      <c r="I110" s="543"/>
      <c r="J110" s="543"/>
      <c r="K110" s="544"/>
      <c r="L110" s="545"/>
      <c r="M110" s="546"/>
      <c r="N110" s="2979"/>
      <c r="O110" s="2979"/>
      <c r="P110" s="3004"/>
      <c r="Q110" s="2965"/>
      <c r="R110" s="2951"/>
      <c r="S110" s="2951"/>
      <c r="T110" s="2951"/>
      <c r="U110" s="2951"/>
      <c r="V110" s="2951"/>
      <c r="W110" s="2951"/>
      <c r="X110" s="2951"/>
      <c r="Y110" s="2951"/>
      <c r="Z110" s="2951"/>
      <c r="AA110" s="2951"/>
      <c r="AB110" s="2951"/>
      <c r="AC110" s="2951"/>
    </row>
    <row r="111" spans="1:29" ht="15.75" thickBot="1">
      <c r="A111" s="490"/>
      <c r="B111" s="525"/>
      <c r="C111" s="516"/>
      <c r="D111" s="516"/>
      <c r="E111" s="516"/>
      <c r="F111" s="516"/>
      <c r="G111" s="547"/>
      <c r="H111" s="547"/>
      <c r="I111" s="547"/>
      <c r="J111" s="547"/>
      <c r="K111" s="547"/>
      <c r="L111" s="547"/>
      <c r="M111" s="548"/>
      <c r="N111" s="2980"/>
      <c r="O111" s="2980"/>
      <c r="P111" s="3004"/>
      <c r="Q111" s="2965"/>
      <c r="R111" s="2951"/>
      <c r="S111" s="2951"/>
      <c r="T111" s="2951"/>
      <c r="U111" s="2951"/>
      <c r="V111" s="2951"/>
      <c r="W111" s="2951"/>
      <c r="X111" s="2951"/>
      <c r="Y111" s="2951"/>
      <c r="Z111" s="2951"/>
      <c r="AA111" s="2951"/>
      <c r="AB111" s="2951"/>
      <c r="AC111" s="2951"/>
    </row>
    <row r="112" spans="1:29" ht="15" thickTop="1">
      <c r="A112" s="630"/>
      <c r="B112" s="494">
        <f>B36</f>
        <v>111</v>
      </c>
      <c r="C112" s="479"/>
      <c r="D112" s="479"/>
      <c r="E112" s="479"/>
      <c r="F112" s="479"/>
      <c r="G112" s="539"/>
      <c r="H112" s="539"/>
      <c r="I112" s="539"/>
      <c r="J112" s="539"/>
      <c r="K112" s="540"/>
      <c r="L112" s="541"/>
      <c r="M112" s="542"/>
      <c r="N112" s="2979"/>
      <c r="O112" s="2979"/>
      <c r="P112" s="3004"/>
      <c r="Q112" s="2965"/>
      <c r="R112" s="2951"/>
      <c r="S112" s="2951"/>
      <c r="T112" s="2951"/>
      <c r="U112" s="2951"/>
      <c r="V112" s="2951"/>
      <c r="W112" s="2951"/>
      <c r="X112" s="2951"/>
      <c r="Y112" s="2951"/>
      <c r="Z112" s="2951"/>
      <c r="AA112" s="2951"/>
      <c r="AB112" s="2951"/>
      <c r="AC112" s="2951"/>
    </row>
    <row r="113" spans="1:29" ht="15.75" thickBot="1">
      <c r="A113" s="490"/>
      <c r="B113" s="499"/>
      <c r="C113" s="526"/>
      <c r="D113" s="526"/>
      <c r="E113" s="526"/>
      <c r="F113" s="526"/>
      <c r="G113" s="492"/>
      <c r="H113" s="492"/>
      <c r="I113" s="492"/>
      <c r="J113" s="492"/>
      <c r="K113" s="492"/>
      <c r="L113" s="492"/>
      <c r="M113" s="493"/>
      <c r="N113" s="2980"/>
      <c r="O113" s="2980"/>
      <c r="P113" s="3004"/>
      <c r="Q113" s="2965"/>
      <c r="R113" s="2951"/>
      <c r="S113" s="2951"/>
      <c r="T113" s="2951"/>
      <c r="U113" s="2951"/>
      <c r="V113" s="2951"/>
      <c r="W113" s="2951"/>
      <c r="X113" s="2951"/>
      <c r="Y113" s="2951"/>
      <c r="Z113" s="2951"/>
      <c r="AA113" s="2951"/>
      <c r="AB113" s="2951"/>
      <c r="AC113" s="2951"/>
    </row>
    <row r="114" spans="1:29" s="429" customFormat="1" ht="15" thickTop="1">
      <c r="A114" s="549"/>
      <c r="B114" s="550">
        <f>B37</f>
        <v>111</v>
      </c>
      <c r="C114" s="551"/>
      <c r="D114" s="551"/>
      <c r="E114" s="551"/>
      <c r="F114" s="551"/>
      <c r="G114" s="551"/>
      <c r="H114" s="551"/>
      <c r="I114" s="551"/>
      <c r="J114" s="552"/>
      <c r="K114" s="552"/>
      <c r="L114" s="553"/>
      <c r="M114" s="554"/>
      <c r="N114" s="2981"/>
      <c r="O114" s="2981"/>
      <c r="P114" s="3005"/>
      <c r="Q114" s="2972"/>
      <c r="R114" s="2973"/>
      <c r="S114" s="2973"/>
      <c r="T114" s="2973"/>
      <c r="U114" s="2973"/>
      <c r="V114" s="2973"/>
      <c r="W114" s="2973"/>
      <c r="X114" s="2973"/>
      <c r="Y114" s="2973"/>
      <c r="Z114" s="2973"/>
      <c r="AA114" s="2973"/>
      <c r="AB114" s="2973"/>
      <c r="AC114" s="2973"/>
    </row>
    <row r="115" spans="1:29" s="429" customFormat="1" ht="15.75" thickBot="1">
      <c r="A115" s="509"/>
      <c r="B115" s="502"/>
      <c r="C115" s="468"/>
      <c r="D115" s="632"/>
      <c r="E115" s="632"/>
      <c r="F115" s="632"/>
      <c r="G115" s="632"/>
      <c r="H115" s="632"/>
      <c r="I115" s="632"/>
      <c r="J115" s="632"/>
      <c r="K115" s="632"/>
      <c r="L115" s="632"/>
      <c r="M115" s="654"/>
      <c r="N115" s="2980"/>
      <c r="O115" s="2980"/>
      <c r="P115" s="3005"/>
      <c r="Q115" s="2972"/>
      <c r="R115" s="2973"/>
      <c r="S115" s="2973"/>
      <c r="T115" s="2973"/>
      <c r="U115" s="2973"/>
      <c r="V115" s="2973"/>
      <c r="W115" s="2973"/>
      <c r="X115" s="2973"/>
      <c r="Y115" s="2973"/>
      <c r="Z115" s="2973"/>
      <c r="AA115" s="2973"/>
      <c r="AB115" s="2973"/>
      <c r="AC115" s="2973"/>
    </row>
    <row r="116" spans="1:29" ht="28.5">
      <c r="A116" s="483" t="s">
        <v>2382</v>
      </c>
      <c r="B116" s="484" t="s">
        <v>2610</v>
      </c>
      <c r="C116" s="485" t="str">
        <f>C117&amp;"(含)"&amp;"-"&amp;D117</f>
        <v>0(含)-50000</v>
      </c>
      <c r="D116" s="485" t="str">
        <f t="shared" ref="D116:M116" si="26">D117&amp;"(含)"&amp;"-"&amp;E117</f>
        <v>50000(含)-100000</v>
      </c>
      <c r="E116" s="485" t="str">
        <f t="shared" si="26"/>
        <v>100000(含)-150000</v>
      </c>
      <c r="F116" s="485" t="str">
        <f t="shared" si="26"/>
        <v>150000(含)-200000</v>
      </c>
      <c r="G116" s="485" t="str">
        <f t="shared" si="26"/>
        <v>200000(含)-250000</v>
      </c>
      <c r="H116" s="485" t="str">
        <f t="shared" si="26"/>
        <v>250000(含)-300000</v>
      </c>
      <c r="I116" s="485" t="str">
        <f t="shared" si="26"/>
        <v>300000(含)-350000</v>
      </c>
      <c r="J116" s="485" t="str">
        <f t="shared" si="26"/>
        <v>350000(含)-400000</v>
      </c>
      <c r="K116" s="485" t="str">
        <f t="shared" si="26"/>
        <v>400000(含)-450000</v>
      </c>
      <c r="L116" s="485" t="str">
        <f t="shared" si="26"/>
        <v>450000(含)-500000</v>
      </c>
      <c r="M116" s="485" t="str">
        <f t="shared" si="26"/>
        <v>500000(含)-</v>
      </c>
      <c r="N116" s="2979"/>
      <c r="O116" s="2979"/>
      <c r="P116" s="3004"/>
      <c r="Q116" s="2965"/>
      <c r="R116" s="2951"/>
      <c r="S116" s="2951"/>
      <c r="T116" s="2951"/>
      <c r="U116" s="2951"/>
      <c r="V116" s="2951"/>
      <c r="W116" s="2951"/>
      <c r="X116" s="2951"/>
      <c r="Y116" s="2951"/>
      <c r="Z116" s="2951"/>
      <c r="AA116" s="2951"/>
      <c r="AB116" s="2951"/>
      <c r="AC116" s="2951"/>
    </row>
    <row r="117" spans="1:29" ht="15">
      <c r="A117" s="490"/>
      <c r="B117" s="502"/>
      <c r="C117" s="551">
        <v>0</v>
      </c>
      <c r="D117" s="551">
        <v>50000</v>
      </c>
      <c r="E117" s="551">
        <v>100000</v>
      </c>
      <c r="F117" s="551">
        <v>150000</v>
      </c>
      <c r="G117" s="551">
        <v>200000</v>
      </c>
      <c r="H117" s="551">
        <v>250000</v>
      </c>
      <c r="I117" s="551">
        <v>300000</v>
      </c>
      <c r="J117" s="551">
        <v>350000</v>
      </c>
      <c r="K117" s="551">
        <v>400000</v>
      </c>
      <c r="L117" s="551">
        <v>450000</v>
      </c>
      <c r="M117" s="551">
        <v>500000</v>
      </c>
      <c r="N117" s="2979"/>
      <c r="O117" s="2979"/>
      <c r="P117" s="3004"/>
      <c r="Q117" s="2965"/>
      <c r="R117" s="2951"/>
      <c r="S117" s="2951"/>
      <c r="T117" s="2951"/>
      <c r="U117" s="2951"/>
      <c r="V117" s="2951"/>
      <c r="W117" s="2951"/>
      <c r="X117" s="2951"/>
      <c r="Y117" s="2951"/>
      <c r="Z117" s="2951"/>
      <c r="AA117" s="2951"/>
      <c r="AB117" s="2951"/>
      <c r="AC117" s="2951"/>
    </row>
    <row r="118" spans="1:29" ht="15.75" thickBot="1">
      <c r="A118" s="490"/>
      <c r="B118" s="499"/>
      <c r="C118" s="526">
        <v>100</v>
      </c>
      <c r="D118" s="547">
        <v>101</v>
      </c>
      <c r="E118" s="547">
        <v>102</v>
      </c>
      <c r="F118" s="526">
        <v>103</v>
      </c>
      <c r="G118" s="547">
        <v>104</v>
      </c>
      <c r="H118" s="547">
        <v>105</v>
      </c>
      <c r="I118" s="526">
        <v>106</v>
      </c>
      <c r="J118" s="547">
        <v>107</v>
      </c>
      <c r="K118" s="547">
        <v>108</v>
      </c>
      <c r="L118" s="526">
        <v>109</v>
      </c>
      <c r="M118" s="547">
        <v>110</v>
      </c>
      <c r="N118" s="2980"/>
      <c r="O118" s="2980"/>
      <c r="P118" s="3004"/>
      <c r="Q118" s="2965"/>
      <c r="R118" s="2951"/>
      <c r="S118" s="2951"/>
      <c r="T118" s="2951"/>
      <c r="U118" s="2951"/>
      <c r="V118" s="2951"/>
      <c r="W118" s="2951"/>
      <c r="X118" s="2951"/>
      <c r="Y118" s="2951"/>
      <c r="Z118" s="2951"/>
      <c r="AA118" s="2951"/>
      <c r="AB118" s="2951"/>
      <c r="AC118" s="2951"/>
    </row>
    <row r="119" spans="1:29" ht="15" thickTop="1">
      <c r="A119" s="555"/>
      <c r="B119" s="494" t="s">
        <v>2611</v>
      </c>
      <c r="C119" s="3070" t="s">
        <v>4681</v>
      </c>
      <c r="D119" s="539"/>
      <c r="E119" s="539"/>
      <c r="F119" s="539"/>
      <c r="G119" s="539"/>
      <c r="H119" s="539"/>
      <c r="I119" s="539"/>
      <c r="J119" s="539"/>
      <c r="K119" s="540"/>
      <c r="L119" s="541"/>
      <c r="M119" s="542"/>
      <c r="N119" s="2979"/>
      <c r="O119" s="2979"/>
      <c r="P119" s="3004"/>
      <c r="Q119" s="2965"/>
      <c r="R119" s="2951"/>
      <c r="S119" s="2951"/>
      <c r="T119" s="2951"/>
      <c r="U119" s="2951"/>
      <c r="V119" s="2951"/>
      <c r="W119" s="2951"/>
      <c r="X119" s="2951"/>
      <c r="Y119" s="2951"/>
      <c r="Z119" s="2951"/>
      <c r="AA119" s="2951"/>
      <c r="AB119" s="2951"/>
      <c r="AC119" s="2951"/>
    </row>
    <row r="120" spans="1:29" ht="15.75" thickBot="1">
      <c r="A120" s="490"/>
      <c r="B120" s="499"/>
      <c r="C120" s="500">
        <v>100</v>
      </c>
      <c r="D120" s="500">
        <f t="shared" ref="D120:M120" si="27">C120-$K39</f>
        <v>99</v>
      </c>
      <c r="E120" s="500">
        <f t="shared" si="27"/>
        <v>98</v>
      </c>
      <c r="F120" s="500">
        <f t="shared" si="27"/>
        <v>97</v>
      </c>
      <c r="G120" s="500">
        <f t="shared" si="27"/>
        <v>96</v>
      </c>
      <c r="H120" s="500">
        <f t="shared" si="27"/>
        <v>95</v>
      </c>
      <c r="I120" s="500">
        <f t="shared" si="27"/>
        <v>94</v>
      </c>
      <c r="J120" s="500">
        <f t="shared" si="27"/>
        <v>93</v>
      </c>
      <c r="K120" s="500">
        <f t="shared" si="27"/>
        <v>92</v>
      </c>
      <c r="L120" s="500">
        <f t="shared" si="27"/>
        <v>91</v>
      </c>
      <c r="M120" s="501">
        <f t="shared" si="27"/>
        <v>90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5"/>
      <c r="B121" s="494" t="s">
        <v>2612</v>
      </c>
      <c r="C121" s="3069" t="s">
        <v>4682</v>
      </c>
      <c r="D121" s="510"/>
      <c r="E121" s="510"/>
      <c r="F121" s="539"/>
      <c r="G121" s="539"/>
      <c r="H121" s="539"/>
      <c r="I121" s="539"/>
      <c r="J121" s="539"/>
      <c r="K121" s="540"/>
      <c r="L121" s="541"/>
      <c r="M121" s="542"/>
      <c r="N121" s="2979"/>
      <c r="O121" s="2979"/>
      <c r="P121" s="3004"/>
      <c r="Q121" s="2965"/>
      <c r="R121" s="2951"/>
      <c r="S121" s="2951"/>
      <c r="T121" s="2951"/>
      <c r="U121" s="2951"/>
      <c r="V121" s="2951"/>
      <c r="W121" s="2951"/>
      <c r="X121" s="2951"/>
      <c r="Y121" s="2951"/>
      <c r="Z121" s="2951"/>
      <c r="AA121" s="2951"/>
      <c r="AB121" s="2951"/>
      <c r="AC121" s="2951"/>
    </row>
    <row r="122" spans="1:29" ht="15.75" thickBot="1">
      <c r="A122" s="490"/>
      <c r="B122" s="499"/>
      <c r="C122" s="500">
        <v>100</v>
      </c>
      <c r="D122" s="500">
        <f t="shared" ref="D122:M122" si="28">C122-$K40</f>
        <v>99</v>
      </c>
      <c r="E122" s="500">
        <f t="shared" si="28"/>
        <v>98</v>
      </c>
      <c r="F122" s="500">
        <f t="shared" si="28"/>
        <v>97</v>
      </c>
      <c r="G122" s="500">
        <f t="shared" si="28"/>
        <v>96</v>
      </c>
      <c r="H122" s="500">
        <f t="shared" si="28"/>
        <v>95</v>
      </c>
      <c r="I122" s="500">
        <f t="shared" si="28"/>
        <v>94</v>
      </c>
      <c r="J122" s="500">
        <f t="shared" si="28"/>
        <v>93</v>
      </c>
      <c r="K122" s="500">
        <f t="shared" si="28"/>
        <v>92</v>
      </c>
      <c r="L122" s="500">
        <f t="shared" si="28"/>
        <v>91</v>
      </c>
      <c r="M122" s="501">
        <f t="shared" si="28"/>
        <v>90</v>
      </c>
      <c r="N122" s="2980"/>
      <c r="O122" s="2980"/>
      <c r="P122" s="3004"/>
      <c r="Q122" s="2965"/>
      <c r="R122" s="2951"/>
      <c r="S122" s="2951"/>
      <c r="T122" s="2951"/>
      <c r="U122" s="2951"/>
      <c r="V122" s="2951"/>
      <c r="W122" s="2951"/>
      <c r="X122" s="2951"/>
      <c r="Y122" s="2951"/>
      <c r="Z122" s="2951"/>
      <c r="AA122" s="2951"/>
      <c r="AB122" s="2951"/>
      <c r="AC122" s="2951"/>
    </row>
    <row r="123" spans="1:29" s="429" customFormat="1" ht="15" thickTop="1">
      <c r="A123" s="549"/>
      <c r="B123" s="494" t="s">
        <v>2613</v>
      </c>
      <c r="C123" s="3069" t="s">
        <v>4742</v>
      </c>
      <c r="D123" s="510"/>
      <c r="E123" s="510"/>
      <c r="F123" s="510"/>
      <c r="G123" s="510"/>
      <c r="H123" s="539"/>
      <c r="I123" s="539"/>
      <c r="J123" s="539"/>
      <c r="K123" s="540"/>
      <c r="L123" s="541"/>
      <c r="M123" s="542"/>
      <c r="N123" s="2981"/>
      <c r="O123" s="2981"/>
      <c r="P123" s="3005"/>
      <c r="Q123" s="2972"/>
      <c r="R123" s="2973"/>
      <c r="S123" s="2973"/>
      <c r="T123" s="2973"/>
      <c r="U123" s="2973"/>
      <c r="V123" s="2973"/>
      <c r="W123" s="2973"/>
      <c r="X123" s="2973"/>
      <c r="Y123" s="2973"/>
      <c r="Z123" s="2973"/>
      <c r="AA123" s="2973"/>
      <c r="AB123" s="2973"/>
      <c r="AC123" s="2973"/>
    </row>
    <row r="124" spans="1:29" s="429" customFormat="1" ht="15.75" thickBot="1">
      <c r="A124" s="509"/>
      <c r="B124" s="499"/>
      <c r="C124" s="500">
        <v>100</v>
      </c>
      <c r="D124" s="500">
        <f>C124-$K41</f>
        <v>99</v>
      </c>
      <c r="E124" s="500">
        <f t="shared" ref="E124:M124" si="29">D124-$K41</f>
        <v>98</v>
      </c>
      <c r="F124" s="500">
        <f t="shared" si="29"/>
        <v>97</v>
      </c>
      <c r="G124" s="500">
        <f t="shared" si="29"/>
        <v>96</v>
      </c>
      <c r="H124" s="500">
        <f t="shared" si="29"/>
        <v>95</v>
      </c>
      <c r="I124" s="500">
        <f t="shared" si="29"/>
        <v>94</v>
      </c>
      <c r="J124" s="500">
        <f t="shared" si="29"/>
        <v>93</v>
      </c>
      <c r="K124" s="500">
        <f t="shared" si="29"/>
        <v>92</v>
      </c>
      <c r="L124" s="500">
        <f t="shared" si="29"/>
        <v>91</v>
      </c>
      <c r="M124" s="501">
        <f t="shared" si="29"/>
        <v>90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5"/>
      <c r="B125" s="494" t="s">
        <v>2614</v>
      </c>
      <c r="C125" s="3069" t="s">
        <v>4683</v>
      </c>
      <c r="D125" s="510"/>
      <c r="E125" s="539"/>
      <c r="F125" s="539"/>
      <c r="G125" s="539"/>
      <c r="H125" s="539"/>
      <c r="I125" s="539"/>
      <c r="J125" s="539"/>
      <c r="K125" s="540"/>
      <c r="L125" s="541"/>
      <c r="M125" s="542"/>
      <c r="N125" s="2979"/>
      <c r="O125" s="2979"/>
      <c r="P125" s="3004"/>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 t="shared" ref="D126:M126" si="30">C126-$K42</f>
        <v>99</v>
      </c>
      <c r="E126" s="500">
        <f t="shared" si="30"/>
        <v>98</v>
      </c>
      <c r="F126" s="500">
        <f t="shared" si="30"/>
        <v>97</v>
      </c>
      <c r="G126" s="500">
        <f t="shared" si="30"/>
        <v>96</v>
      </c>
      <c r="H126" s="500">
        <f t="shared" si="30"/>
        <v>95</v>
      </c>
      <c r="I126" s="500">
        <f t="shared" si="30"/>
        <v>94</v>
      </c>
      <c r="J126" s="500">
        <f t="shared" si="30"/>
        <v>93</v>
      </c>
      <c r="K126" s="500">
        <f t="shared" si="30"/>
        <v>92</v>
      </c>
      <c r="L126" s="500">
        <f t="shared" si="30"/>
        <v>91</v>
      </c>
      <c r="M126" s="501">
        <f t="shared" si="30"/>
        <v>90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5"/>
      <c r="B127" s="494">
        <f>B43</f>
        <v>111</v>
      </c>
      <c r="C127" s="510"/>
      <c r="D127" s="510"/>
      <c r="E127" s="510"/>
      <c r="F127" s="510"/>
      <c r="G127" s="510"/>
      <c r="H127" s="539"/>
      <c r="I127" s="539"/>
      <c r="J127" s="539"/>
      <c r="K127" s="540"/>
      <c r="L127" s="541"/>
      <c r="M127" s="542"/>
      <c r="N127" s="2979"/>
      <c r="O127" s="2979"/>
      <c r="P127" s="3004"/>
      <c r="Q127" s="2965"/>
      <c r="R127" s="2951"/>
      <c r="S127" s="2951"/>
      <c r="T127" s="2951"/>
      <c r="U127" s="2951"/>
      <c r="V127" s="2951"/>
      <c r="W127" s="2951"/>
      <c r="X127" s="2951"/>
      <c r="Y127" s="2951"/>
      <c r="Z127" s="2951"/>
      <c r="AA127" s="2951"/>
      <c r="AB127" s="2951"/>
      <c r="AC127" s="2951"/>
    </row>
    <row r="128" spans="1:29" ht="15.75" thickBot="1">
      <c r="A128" s="490"/>
      <c r="B128" s="499"/>
      <c r="C128" s="516"/>
      <c r="D128" s="516"/>
      <c r="E128" s="516"/>
      <c r="F128" s="516"/>
      <c r="G128" s="492"/>
      <c r="H128" s="492"/>
      <c r="I128" s="492"/>
      <c r="J128" s="492"/>
      <c r="K128" s="492"/>
      <c r="L128" s="492"/>
      <c r="M128" s="493"/>
      <c r="N128" s="2980"/>
      <c r="O128" s="2980"/>
      <c r="P128" s="3004"/>
      <c r="Q128" s="2965"/>
      <c r="R128" s="2951"/>
      <c r="S128" s="2951"/>
      <c r="T128" s="2951"/>
      <c r="U128" s="2951"/>
      <c r="V128" s="2951"/>
      <c r="W128" s="2951"/>
      <c r="X128" s="2951"/>
      <c r="Y128" s="2951"/>
      <c r="Z128" s="2951"/>
      <c r="AA128" s="2951"/>
      <c r="AB128" s="2951"/>
      <c r="AC128" s="2951"/>
    </row>
    <row r="129" spans="1:29" ht="15" thickTop="1">
      <c r="A129" s="555"/>
      <c r="B129" s="494">
        <f>B44</f>
        <v>111</v>
      </c>
      <c r="C129" s="479"/>
      <c r="D129" s="479"/>
      <c r="E129" s="479"/>
      <c r="F129" s="479"/>
      <c r="G129" s="539"/>
      <c r="H129" s="539"/>
      <c r="I129" s="539"/>
      <c r="J129" s="539"/>
      <c r="K129" s="540"/>
      <c r="L129" s="541"/>
      <c r="M129" s="542"/>
      <c r="N129" s="2979"/>
      <c r="O129" s="2979"/>
      <c r="P129" s="3004"/>
      <c r="Q129" s="2965"/>
      <c r="R129" s="2951"/>
      <c r="S129" s="2951"/>
      <c r="T129" s="2951"/>
      <c r="U129" s="2951"/>
      <c r="V129" s="2951"/>
      <c r="W129" s="2951"/>
      <c r="X129" s="2951"/>
      <c r="Y129" s="2951"/>
      <c r="Z129" s="2951"/>
      <c r="AA129" s="2951"/>
      <c r="AB129" s="2951"/>
      <c r="AC129" s="2951"/>
    </row>
    <row r="130" spans="1:29" ht="15.75" thickBot="1">
      <c r="A130" s="490"/>
      <c r="B130" s="499"/>
      <c r="C130" s="526"/>
      <c r="D130" s="526"/>
      <c r="E130" s="526"/>
      <c r="F130" s="526"/>
      <c r="G130" s="492"/>
      <c r="H130" s="492"/>
      <c r="I130" s="492"/>
      <c r="J130" s="492"/>
      <c r="K130" s="492"/>
      <c r="L130" s="492"/>
      <c r="M130" s="493"/>
      <c r="N130" s="2980"/>
      <c r="O130" s="2980"/>
      <c r="P130" s="3004"/>
      <c r="Q130" s="2965"/>
      <c r="R130" s="2951"/>
      <c r="S130" s="2951"/>
      <c r="T130" s="2951"/>
      <c r="U130" s="2951"/>
      <c r="V130" s="2951"/>
      <c r="W130" s="2951"/>
      <c r="X130" s="2951"/>
      <c r="Y130" s="2951"/>
      <c r="Z130" s="2951"/>
      <c r="AA130" s="2951"/>
      <c r="AB130" s="2951"/>
      <c r="AC130" s="2951"/>
    </row>
    <row r="131" spans="1:29" s="429" customFormat="1" ht="15" thickTop="1">
      <c r="A131" s="549"/>
      <c r="B131" s="494">
        <f>B45</f>
        <v>111</v>
      </c>
      <c r="C131" s="479"/>
      <c r="D131" s="479"/>
      <c r="E131" s="479"/>
      <c r="F131" s="479"/>
      <c r="G131" s="511"/>
      <c r="H131" s="511"/>
      <c r="I131" s="511"/>
      <c r="J131" s="511"/>
      <c r="K131" s="511"/>
      <c r="L131" s="512"/>
      <c r="M131" s="513"/>
      <c r="N131" s="2981"/>
      <c r="O131" s="2981"/>
      <c r="P131" s="3005"/>
      <c r="Q131" s="2972"/>
      <c r="R131" s="2973"/>
      <c r="S131" s="2973"/>
      <c r="T131" s="2973"/>
      <c r="U131" s="2973"/>
      <c r="V131" s="2973"/>
      <c r="W131" s="2973"/>
      <c r="X131" s="2973"/>
      <c r="Y131" s="2973"/>
      <c r="Z131" s="2973"/>
      <c r="AA131" s="2973"/>
      <c r="AB131" s="2973"/>
      <c r="AC131" s="2973"/>
    </row>
    <row r="132" spans="1:29" s="429" customFormat="1" ht="15.75" thickBot="1">
      <c r="A132" s="524"/>
      <c r="B132" s="655"/>
      <c r="C132" s="526"/>
      <c r="D132" s="526"/>
      <c r="E132" s="526"/>
      <c r="F132" s="526"/>
      <c r="G132" s="547"/>
      <c r="H132" s="547"/>
      <c r="I132" s="547"/>
      <c r="J132" s="547"/>
      <c r="K132" s="547"/>
      <c r="L132" s="547"/>
      <c r="M132" s="548"/>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M14" sqref="M14"/>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2281</v>
      </c>
      <c r="B1" s="1352"/>
      <c r="C1" s="1353"/>
      <c r="D1" s="1351"/>
      <c r="E1" s="3034"/>
      <c r="F1" s="3034"/>
      <c r="G1" s="2897"/>
      <c r="H1" s="3034"/>
      <c r="I1" s="3034"/>
      <c r="J1" s="3034"/>
      <c r="K1" s="3035" t="e">
        <f>MATCH(C1,'数据-取费表'!A6:A16,0)+5</f>
        <v>#N/A</v>
      </c>
    </row>
    <row r="2" spans="1:33" ht="18" customHeight="1">
      <c r="A2" s="206" t="s">
        <v>2149</v>
      </c>
      <c r="B2" s="209">
        <f ca="1">C32</f>
        <v>142410</v>
      </c>
      <c r="C2" s="281" t="s">
        <v>2282</v>
      </c>
      <c r="D2" s="281"/>
      <c r="E2" s="3034"/>
      <c r="F2" s="3034"/>
      <c r="G2" s="3034"/>
      <c r="H2" s="3034"/>
      <c r="I2" s="3034"/>
      <c r="J2" s="3034"/>
      <c r="K2" s="3034"/>
    </row>
    <row r="3" spans="1:33" ht="18" customHeight="1" thickBot="1">
      <c r="A3" s="208" t="s">
        <v>2151</v>
      </c>
      <c r="B3" s="209">
        <f ca="1">ROUND(B2*10000/IF(C1="",'数据-汇总表'!E3,INDIRECT("'数据-取费表'!K"&amp;$K$1)),0)</f>
        <v>12072</v>
      </c>
      <c r="C3" s="281" t="s">
        <v>2283</v>
      </c>
      <c r="D3" s="281"/>
      <c r="E3" s="3034"/>
      <c r="F3" s="3034"/>
      <c r="G3" s="3034"/>
      <c r="H3" s="3034"/>
      <c r="I3" s="3034"/>
      <c r="J3" s="3034"/>
      <c r="K3" s="3034"/>
    </row>
    <row r="4" spans="1:33" s="892" customFormat="1" ht="16.5" customHeight="1">
      <c r="A4" s="889" t="s">
        <v>2284</v>
      </c>
      <c r="B4" s="890"/>
      <c r="C4" s="932">
        <f ca="1">SUM(C8:K8)</f>
        <v>221838.89193300001</v>
      </c>
      <c r="D4" s="890"/>
      <c r="E4" s="890"/>
      <c r="F4" s="890"/>
      <c r="G4" s="890"/>
      <c r="H4" s="890"/>
      <c r="I4" s="890"/>
      <c r="J4" s="890"/>
      <c r="K4" s="891"/>
    </row>
    <row r="5" spans="1:33" s="896" customFormat="1" ht="25.5">
      <c r="A5" s="893" t="s">
        <v>2285</v>
      </c>
      <c r="B5" s="894" t="s">
        <v>2286</v>
      </c>
      <c r="C5" s="2045" t="s">
        <v>4545</v>
      </c>
      <c r="D5" s="2045" t="s">
        <v>4541</v>
      </c>
      <c r="E5" s="2045" t="s">
        <v>4684</v>
      </c>
      <c r="F5" s="2045" t="s">
        <v>4685</v>
      </c>
      <c r="G5" s="2045" t="s">
        <v>4745</v>
      </c>
      <c r="H5" s="2045" t="s">
        <v>4735</v>
      </c>
      <c r="I5" s="2045" t="s">
        <v>4686</v>
      </c>
      <c r="J5" s="2045" t="s">
        <v>48</v>
      </c>
      <c r="K5" s="204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2287</v>
      </c>
      <c r="C6" s="898">
        <f>'比较法-住宅'!B3</f>
        <v>21809</v>
      </c>
      <c r="D6" s="898">
        <f>C6</f>
        <v>21809</v>
      </c>
      <c r="E6" s="898">
        <f>C6</f>
        <v>21809</v>
      </c>
      <c r="F6" s="898">
        <f>C6</f>
        <v>21809</v>
      </c>
      <c r="G6" s="898">
        <f ca="1">商业15收益法!B3</f>
        <v>9135</v>
      </c>
      <c r="H6" s="898">
        <f ca="1">G6</f>
        <v>9135</v>
      </c>
      <c r="I6" s="898">
        <f ca="1">商业17收益法!B3</f>
        <v>12159</v>
      </c>
      <c r="J6" s="898">
        <f ca="1">地下车库收益法!B3</f>
        <v>3911</v>
      </c>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2288</v>
      </c>
      <c r="B7" s="135" t="s">
        <v>2289</v>
      </c>
      <c r="C7" s="282">
        <f>SUMIF('数据-汇总表'!$C19:$C33,假设开发法!C5,'数据-汇总表'!$E19:$E33)</f>
        <v>68872.860000000015</v>
      </c>
      <c r="D7" s="282">
        <f>SUMIF('数据-汇总表'!$C19:$C33,假设开发法!D5,'数据-汇总表'!$E19:$E33)</f>
        <v>6792.0199999999995</v>
      </c>
      <c r="E7" s="282">
        <f>SUMIF('数据-汇总表'!$C19:$C33,假设开发法!E5,'数据-汇总表'!$E19:$E33)</f>
        <v>14336.920000000007</v>
      </c>
      <c r="F7" s="282">
        <f>SUMIF('数据-汇总表'!$C19:$C33,假设开发法!F5,'数据-汇总表'!$E19:$E33)</f>
        <v>7324.73</v>
      </c>
      <c r="G7" s="282">
        <f>SUMIF('数据-汇总表'!$C19:$C33,假设开发法!G5,'数据-汇总表'!$E19:$E33)</f>
        <v>1222.7700000000002</v>
      </c>
      <c r="H7" s="282">
        <f>SUMIF('数据-汇总表'!$C19:$C33,假设开发法!H5,'数据-汇总表'!$E19:$E33)</f>
        <v>583.78</v>
      </c>
      <c r="I7" s="282">
        <f>SUMIF('数据-汇总表'!$C19:$C33,假设开发法!I5,'数据-汇总表'!$E19:$E33)</f>
        <v>684.26</v>
      </c>
      <c r="J7" s="282">
        <f>SUMIF('数据-汇总表'!$C19:$C33,假设开发法!J5,'数据-汇总表'!$E19:$E33)</f>
        <v>18146.759999999813</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6" t="s">
        <v>2290</v>
      </c>
      <c r="B8" s="168" t="s">
        <v>2291</v>
      </c>
      <c r="C8" s="933">
        <f>'比较法-住宅'!B2</f>
        <v>150205</v>
      </c>
      <c r="D8" s="933">
        <f t="shared" ref="D8:H8" si="0">D6*D7/10000</f>
        <v>14812.716417999998</v>
      </c>
      <c r="E8" s="933">
        <f t="shared" si="0"/>
        <v>31267.388828000014</v>
      </c>
      <c r="F8" s="933">
        <f t="shared" si="0"/>
        <v>15974.503656999999</v>
      </c>
      <c r="G8" s="933">
        <f ca="1">商业15收益法!B2</f>
        <v>1117</v>
      </c>
      <c r="H8" s="933">
        <f t="shared" ca="1" si="0"/>
        <v>533.28302999999994</v>
      </c>
      <c r="I8" s="933">
        <f ca="1">商业17收益法!B2</f>
        <v>832</v>
      </c>
      <c r="J8" s="934">
        <f ca="1">地下车库收益法!B2</f>
        <v>7097</v>
      </c>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2292</v>
      </c>
      <c r="B9" s="890"/>
      <c r="C9" s="890"/>
      <c r="D9" s="890"/>
      <c r="E9" s="890"/>
      <c r="F9" s="890"/>
      <c r="G9" s="890"/>
      <c r="H9" s="890"/>
      <c r="I9" s="890"/>
      <c r="J9" s="890"/>
      <c r="K9" s="891"/>
    </row>
    <row r="10" spans="1:33" s="906" customFormat="1" ht="13.5" customHeight="1">
      <c r="A10" s="893" t="s">
        <v>2293</v>
      </c>
      <c r="B10" s="8" t="s">
        <v>2294</v>
      </c>
      <c r="C10" s="902" t="s">
        <v>2295</v>
      </c>
      <c r="D10" s="903" t="s">
        <v>2296</v>
      </c>
      <c r="E10" s="903" t="s">
        <v>2297</v>
      </c>
      <c r="F10" s="903" t="s">
        <v>2298</v>
      </c>
      <c r="G10" s="8"/>
      <c r="H10" s="904"/>
      <c r="I10" s="904"/>
      <c r="J10" s="904"/>
      <c r="K10" s="905"/>
    </row>
    <row r="11" spans="1:33" s="911" customFormat="1" ht="13.5" customHeight="1">
      <c r="A11" s="907" t="s">
        <v>1300</v>
      </c>
      <c r="B11" s="908" t="s">
        <v>2299</v>
      </c>
      <c r="C11" s="284">
        <f ca="1">IF(C1="",'数据-取费表'!P16,INDIRECT("'数据-取费表'!p"&amp;$K$1)+INDIRECT("'数据-取费表'!ar"&amp;$K$1))</f>
        <v>32389</v>
      </c>
      <c r="D11" s="909"/>
      <c r="E11" s="334"/>
      <c r="F11" s="910">
        <f ca="1">1-IF('数据-取费表'!B24=0,1,IF(C1="",'数据-取费表'!N16,INDIRECT("'数据-取费表'!n"&amp;$K$1)))</f>
        <v>0.79699999999999993</v>
      </c>
      <c r="G11" s="8"/>
      <c r="H11" s="904"/>
      <c r="I11" s="904"/>
      <c r="J11" s="904"/>
      <c r="K11" s="905"/>
    </row>
    <row r="12" spans="1:33" s="911" customFormat="1" ht="13.5" customHeight="1">
      <c r="A12" s="907" t="s">
        <v>1301</v>
      </c>
      <c r="B12" s="908" t="s">
        <v>2300</v>
      </c>
      <c r="C12" s="24">
        <f ca="1">ROUND(C11*F12,0)</f>
        <v>972</v>
      </c>
      <c r="D12" s="909"/>
      <c r="E12" s="334"/>
      <c r="F12" s="912">
        <f>'数据-取费表'!B33</f>
        <v>0.03</v>
      </c>
      <c r="G12" s="8" t="s">
        <v>2301</v>
      </c>
      <c r="H12" s="904"/>
      <c r="I12" s="904"/>
      <c r="J12" s="904"/>
      <c r="K12" s="905"/>
    </row>
    <row r="13" spans="1:33" s="911" customFormat="1" ht="13.5" customHeight="1">
      <c r="A13" s="907" t="s">
        <v>1302</v>
      </c>
      <c r="B13" s="908" t="s">
        <v>2302</v>
      </c>
      <c r="C13" s="24">
        <f ca="1">ROUND(IF(C1="",SUMIF('数据-取费表'!C:C,"住宅",'数据-取费表'!P:P)*F13,IF(INDIRECT("'数据-取费表'!c"&amp;$K$1)="住宅",INDIRECT("'数据-取费表'!P"&amp;$K$1)*F13,0)),0)</f>
        <v>1498</v>
      </c>
      <c r="D13" s="954"/>
      <c r="E13" s="334"/>
      <c r="F13" s="912">
        <f>'数据-取费表'!B34</f>
        <v>0.05</v>
      </c>
      <c r="G13" s="8" t="s">
        <v>2303</v>
      </c>
      <c r="H13" s="904"/>
      <c r="I13" s="904"/>
      <c r="J13" s="904"/>
      <c r="K13" s="905"/>
    </row>
    <row r="14" spans="1:33" s="913" customFormat="1" ht="13.5" customHeight="1">
      <c r="A14" s="907" t="s">
        <v>1303</v>
      </c>
      <c r="B14" s="908" t="s">
        <v>2304</v>
      </c>
      <c r="C14" s="24">
        <f ca="1">ROUND(D14*E14*F11/10000,0)</f>
        <v>1880</v>
      </c>
      <c r="D14" s="954">
        <f ca="1">IF(C1="",'数据-汇总表'!E3,INDIRECT("'数据-取费表'!K"&amp;$K$1)+INDIRECT("'数据-取费表'!S"&amp;$K$1))</f>
        <v>117964.09999999983</v>
      </c>
      <c r="E14" s="24">
        <f>'数据-取费表'!B35</f>
        <v>200</v>
      </c>
      <c r="F14" s="912"/>
      <c r="G14" s="8" t="s">
        <v>2305</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2306</v>
      </c>
      <c r="C15" s="919">
        <f ca="1">ROUND(C11*F15,0)</f>
        <v>486</v>
      </c>
      <c r="D15" s="914"/>
      <c r="E15" s="919"/>
      <c r="F15" s="920">
        <f>'数据-取费表'!B36</f>
        <v>1.4999999999999999E-2</v>
      </c>
      <c r="G15" s="135" t="s">
        <v>2307</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2308</v>
      </c>
      <c r="C16" s="919">
        <f ca="1">SUM(C11:C15)</f>
        <v>37225</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2309</v>
      </c>
      <c r="C17" s="24">
        <f ca="1">ROUND(D17*E17/10000,0)</f>
        <v>0</v>
      </c>
      <c r="D17" s="954">
        <f ca="1">D14</f>
        <v>117964.09999999983</v>
      </c>
      <c r="E17" s="24">
        <f>'数据-取费表'!B32</f>
        <v>0</v>
      </c>
      <c r="F17" s="914"/>
      <c r="G17" s="135" t="s">
        <v>2310</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2311</v>
      </c>
      <c r="C18" s="24">
        <f ca="1">C19+C20-IF(C1="",'数据-取费表'!B29,IF(G18="已全部缴纳",C19+C20,H18))</f>
        <v>885</v>
      </c>
      <c r="D18" s="954"/>
      <c r="E18" s="24"/>
      <c r="F18" s="912"/>
      <c r="G18" s="2047"/>
      <c r="H18" s="1348"/>
      <c r="I18" s="2048" t="s">
        <v>2312</v>
      </c>
      <c r="J18" s="915"/>
      <c r="K18" s="916"/>
    </row>
    <row r="19" spans="1:33" s="911" customFormat="1" ht="13.5" customHeight="1">
      <c r="A19" s="907" t="s">
        <v>805</v>
      </c>
      <c r="B19" s="908" t="s">
        <v>2313</v>
      </c>
      <c r="C19" s="24">
        <f ca="1">ROUND(D19*E19/10000,0)</f>
        <v>0</v>
      </c>
      <c r="D19" s="954">
        <f ca="1">IF(C1="",'数据-汇总表'!E5,IF(INDIRECT("'数据-取费表'!c"&amp;$K$1)="住宅",INDIRECT("'数据-取费表'!k"&amp;$K$1),0))</f>
        <v>0</v>
      </c>
      <c r="E19" s="24">
        <f>'数据-取费表'!B27</f>
        <v>75</v>
      </c>
      <c r="F19" s="912"/>
      <c r="G19" s="15"/>
      <c r="H19" s="1350"/>
      <c r="I19" s="917"/>
      <c r="J19" s="917"/>
      <c r="K19" s="918"/>
    </row>
    <row r="20" spans="1:33" s="911" customFormat="1" ht="13.5" customHeight="1">
      <c r="A20" s="907" t="s">
        <v>806</v>
      </c>
      <c r="B20" s="908" t="s">
        <v>2314</v>
      </c>
      <c r="C20" s="24">
        <f ca="1">ROUND(D20*E20/10000,0)</f>
        <v>885</v>
      </c>
      <c r="D20" s="954">
        <f ca="1">IF(C1="",'数据-汇总表'!E6,IF(INDIRECT("'数据-取费表'!c"&amp;$K$1)="住宅",INDIRECT("'数据-取费表'!s"&amp;$K$1),INDIRECT("'数据-取费表'!k"&amp;$K$1)+INDIRECT("'数据-取费表'!s"&amp;$K$1)))</f>
        <v>117964.09999999983</v>
      </c>
      <c r="E20" s="24">
        <f>'数据-取费表'!B28</f>
        <v>75</v>
      </c>
      <c r="F20" s="912"/>
      <c r="G20" s="15"/>
      <c r="H20" s="917"/>
      <c r="I20" s="917"/>
      <c r="J20" s="917"/>
      <c r="K20" s="918"/>
    </row>
    <row r="21" spans="1:33" s="911" customFormat="1" ht="13.5" customHeight="1">
      <c r="A21" s="897" t="s">
        <v>802</v>
      </c>
      <c r="B21" s="921" t="s">
        <v>2315</v>
      </c>
      <c r="C21" s="922">
        <f ca="1">C16+C17+C18</f>
        <v>38110</v>
      </c>
      <c r="D21" s="923"/>
      <c r="E21" s="286"/>
      <c r="F21" s="286"/>
      <c r="G21" s="135" t="s">
        <v>2316</v>
      </c>
      <c r="H21" s="915"/>
      <c r="I21" s="915"/>
      <c r="J21" s="915"/>
      <c r="K21" s="916"/>
    </row>
    <row r="22" spans="1:33" s="911" customFormat="1" ht="13.5" customHeight="1">
      <c r="A22" s="897" t="s">
        <v>2288</v>
      </c>
      <c r="B22" s="921" t="s">
        <v>2317</v>
      </c>
      <c r="C22" s="922">
        <f ca="1">ROUND(C21*F22,0)</f>
        <v>762</v>
      </c>
      <c r="D22" s="286"/>
      <c r="E22" s="286"/>
      <c r="F22" s="924">
        <f>'数据-取费表'!B37</f>
        <v>0.02</v>
      </c>
      <c r="G22" s="8" t="s">
        <v>2318</v>
      </c>
      <c r="H22" s="904"/>
      <c r="I22" s="904"/>
      <c r="J22" s="904"/>
      <c r="K22" s="905"/>
    </row>
    <row r="23" spans="1:33" s="911" customFormat="1" ht="13.5" customHeight="1">
      <c r="A23" s="897" t="s">
        <v>2290</v>
      </c>
      <c r="B23" s="921" t="s">
        <v>2319</v>
      </c>
      <c r="C23" s="922">
        <f ca="1">ROUND(C4*F23*F11,0)</f>
        <v>5304</v>
      </c>
      <c r="D23" s="286"/>
      <c r="E23" s="286"/>
      <c r="F23" s="924">
        <f>'数据-取费表'!B38</f>
        <v>0.03</v>
      </c>
      <c r="G23" s="8" t="s">
        <v>2320</v>
      </c>
      <c r="H23" s="904"/>
      <c r="I23" s="904"/>
      <c r="J23" s="904"/>
      <c r="K23" s="905"/>
    </row>
    <row r="24" spans="1:33" s="911" customFormat="1" ht="13.5" customHeight="1">
      <c r="A24" s="897" t="s">
        <v>2321</v>
      </c>
      <c r="B24" s="921" t="s">
        <v>2322</v>
      </c>
      <c r="C24" s="285">
        <f>ROUND(F24/(1+'数据-取费表'!C42),4)</f>
        <v>2.9000000000000001E-2</v>
      </c>
      <c r="D24" s="286" t="s">
        <v>15</v>
      </c>
      <c r="E24" s="286"/>
      <c r="F24" s="924">
        <f>IF(项目基本情况!B8="出让",0,'数据-取费表'!B48+'数据-取费表'!B49)</f>
        <v>3.0499999999999999E-2</v>
      </c>
      <c r="G24" s="8" t="s">
        <v>2323</v>
      </c>
      <c r="H24" s="926"/>
      <c r="I24" s="926"/>
      <c r="J24" s="926"/>
      <c r="K24" s="927"/>
    </row>
    <row r="25" spans="1:33" s="911" customFormat="1" ht="13.5" customHeight="1">
      <c r="A25" s="897" t="s">
        <v>2324</v>
      </c>
      <c r="B25" s="923" t="s">
        <v>2325</v>
      </c>
      <c r="C25" s="1265">
        <f ca="1">C27</f>
        <v>1047</v>
      </c>
      <c r="D25" s="285">
        <f ca="1">C26</f>
        <v>4.9299999999999997E-2</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2326</v>
      </c>
      <c r="C26" s="1266">
        <f ca="1">ROUND(IF('数据-取费表'!B22&lt;=1,(1+C24)*F25*'数据-取费表'!B24,(1+C24)*(POWER((1+F25),'数据-取费表'!B24)-1)),4)</f>
        <v>4.9299999999999997E-2</v>
      </c>
      <c r="D26" s="289"/>
      <c r="E26" s="290"/>
      <c r="F26" s="291"/>
      <c r="G26" s="204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2327</v>
      </c>
      <c r="C27" s="1267">
        <f ca="1">ROUND(IF('数据-取费表'!B22&lt;=1,(C21+C22+C23)*F25*'数据-取费表'!B24/2,(C21+C22+C23)*(POWER((1+F25),'数据-取费表'!B24/2)-1)),0)</f>
        <v>1047</v>
      </c>
      <c r="D27" s="289"/>
      <c r="E27" s="290"/>
      <c r="F27" s="291"/>
      <c r="G27" s="2049" t="str">
        <f>IF('数据-取费表'!B22&lt;=1,"（1）-（3）项×年利率×建设期÷2","（1）-（3）项×((1+年利率)^(建设期÷2)-1)")</f>
        <v>（1）-（3）项×((1+年利率)^(建设期÷2)-1)</v>
      </c>
      <c r="H27" s="915"/>
      <c r="I27" s="915"/>
      <c r="J27" s="915"/>
      <c r="K27" s="916"/>
    </row>
    <row r="28" spans="1:33" s="294" customFormat="1" ht="13.5" customHeight="1">
      <c r="A28" s="897" t="s">
        <v>2328</v>
      </c>
      <c r="B28" s="2050" t="s">
        <v>2329</v>
      </c>
      <c r="C28" s="292">
        <f ca="1">C30</f>
        <v>3976</v>
      </c>
      <c r="D28" s="285">
        <f ca="1">C29</f>
        <v>5.0900000000000001E-2</v>
      </c>
      <c r="E28" s="287" t="s">
        <v>15</v>
      </c>
      <c r="F28" s="293">
        <f ca="1">IF(C1="",'数据-取费表'!Q16,INDIRECT("'数据-取费表'!q"&amp;$K$1))</f>
        <v>0.09</v>
      </c>
      <c r="G28" s="925"/>
      <c r="H28" s="926"/>
      <c r="I28" s="926"/>
      <c r="J28" s="926"/>
      <c r="K28" s="927"/>
    </row>
    <row r="29" spans="1:33" s="296" customFormat="1" ht="13.5" customHeight="1">
      <c r="A29" s="907" t="s">
        <v>803</v>
      </c>
      <c r="B29" s="930" t="s">
        <v>2330</v>
      </c>
      <c r="C29" s="289">
        <f ca="1">ROUND((1+C24)*F28*'数据-取费表'!B24/'数据-取费表'!B20,4)</f>
        <v>5.0900000000000001E-2</v>
      </c>
      <c r="D29" s="289"/>
      <c r="E29" s="290"/>
      <c r="F29" s="295"/>
      <c r="G29" s="135" t="s">
        <v>2331</v>
      </c>
      <c r="H29" s="915"/>
      <c r="I29" s="915"/>
      <c r="J29" s="915"/>
      <c r="K29" s="916"/>
    </row>
    <row r="30" spans="1:33" s="296" customFormat="1" ht="13.5" customHeight="1">
      <c r="A30" s="907" t="s">
        <v>804</v>
      </c>
      <c r="B30" s="930" t="s">
        <v>2332</v>
      </c>
      <c r="C30" s="297">
        <f ca="1">ROUND((C21+C22+C23)*F28,0)</f>
        <v>3976</v>
      </c>
      <c r="D30" s="289"/>
      <c r="E30" s="290"/>
      <c r="F30" s="295"/>
      <c r="G30" s="135"/>
      <c r="H30" s="915"/>
      <c r="I30" s="915"/>
      <c r="J30" s="915"/>
      <c r="K30" s="916"/>
    </row>
    <row r="31" spans="1:33" s="911" customFormat="1" ht="13.5" customHeight="1" thickBot="1">
      <c r="A31" s="2051" t="s">
        <v>2333</v>
      </c>
      <c r="B31" s="941" t="s">
        <v>2334</v>
      </c>
      <c r="C31" s="942">
        <f ca="1">ROUND(C4*F31/(1+'数据-取费表'!C42),0)</f>
        <v>11831</v>
      </c>
      <c r="D31" s="943"/>
      <c r="E31" s="944"/>
      <c r="F31" s="945">
        <f>'数据-取费表'!B41</f>
        <v>5.6000000000000001E-2</v>
      </c>
      <c r="G31" s="946" t="s">
        <v>2335</v>
      </c>
      <c r="H31" s="947"/>
      <c r="I31" s="947"/>
      <c r="J31" s="947"/>
      <c r="K31" s="948"/>
    </row>
    <row r="32" spans="1:33" s="906" customFormat="1" ht="13.5" customHeight="1" thickBot="1">
      <c r="A32" s="936" t="s">
        <v>2336</v>
      </c>
      <c r="B32" s="937"/>
      <c r="C32" s="938">
        <f ca="1">ROUND((C4-C21-C22-C23-C25-C28-C31)/(1+C24+D25+D28),0)</f>
        <v>142410</v>
      </c>
      <c r="D32" s="937"/>
      <c r="E32" s="937"/>
      <c r="F32" s="937"/>
      <c r="G32" s="939" t="s">
        <v>2337</v>
      </c>
      <c r="H32" s="937"/>
      <c r="I32" s="937"/>
      <c r="J32" s="937"/>
      <c r="K32" s="94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I48" sqref="I4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063" t="s">
        <v>2348</v>
      </c>
      <c r="C1" s="1405" t="s">
        <v>2349</v>
      </c>
      <c r="D1" s="1392" t="s">
        <v>4545</v>
      </c>
      <c r="E1" s="2541"/>
      <c r="F1" s="2064" t="s">
        <v>2350</v>
      </c>
      <c r="G1" s="1402" t="s">
        <v>2351</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2" customFormat="1" ht="28.5" customHeight="1" thickTop="1">
      <c r="A2" s="1388" t="s">
        <v>1359</v>
      </c>
      <c r="B2" s="1325">
        <f>IF(C2="——",ROUND(C49*D3/10000,0),ROUND(C49*D3/10000,0)-D2)</f>
        <v>150205</v>
      </c>
      <c r="C2" s="2066" t="s">
        <v>70</v>
      </c>
      <c r="D2" s="1274" t="e">
        <f ca="1">SUMIF(INDIRECT("'"&amp;F2&amp;"'"&amp;"!A:A"),"承租人权益价值",INDIRECT("'"&amp;F2&amp;"'"&amp;"!c:c"))</f>
        <v>#REF!</v>
      </c>
      <c r="E2" s="2067" t="s">
        <v>2352</v>
      </c>
      <c r="F2" s="2068" t="s">
        <v>4689</v>
      </c>
      <c r="G2" s="1037"/>
      <c r="H2" s="1037"/>
      <c r="I2" s="1037"/>
      <c r="J2" s="1037"/>
      <c r="K2" s="2069"/>
      <c r="L2" s="2939"/>
      <c r="M2" s="2940"/>
      <c r="N2" s="2940"/>
      <c r="O2" s="2940"/>
      <c r="P2" s="2070"/>
      <c r="Q2" s="2071"/>
      <c r="R2" s="2071"/>
      <c r="S2" s="2071"/>
      <c r="T2" s="2071"/>
      <c r="U2" s="2071"/>
      <c r="V2" s="2071"/>
      <c r="W2" s="2071"/>
      <c r="X2" s="2071"/>
      <c r="Y2" s="2071"/>
      <c r="Z2" s="2071"/>
      <c r="AA2" s="2071"/>
      <c r="AB2" s="2071"/>
      <c r="AC2" s="2072"/>
    </row>
    <row r="3" spans="1:29" s="352" customFormat="1" ht="28.5" customHeight="1" thickBot="1">
      <c r="A3" s="208" t="s">
        <v>1360</v>
      </c>
      <c r="B3" s="358">
        <f>IF(C2="——",C49,ROUND(B2*10000/D3,0))</f>
        <v>21809</v>
      </c>
      <c r="C3" s="359" t="s">
        <v>2353</v>
      </c>
      <c r="D3" s="358">
        <f>IF(D1="",'数据-汇总表'!E3,SUMIF('数据-汇总表'!$C19:$C33,D1,'数据-汇总表'!$E19:$E33))</f>
        <v>68872.860000000015</v>
      </c>
      <c r="E3" s="1037"/>
      <c r="F3" s="2073"/>
      <c r="G3" s="1037"/>
      <c r="H3" s="1037"/>
      <c r="I3" s="1037"/>
      <c r="J3" s="1037"/>
      <c r="K3" s="2069"/>
      <c r="L3" s="2939"/>
      <c r="M3" s="2940"/>
      <c r="N3" s="2940"/>
      <c r="O3" s="2940"/>
      <c r="P3" s="2070"/>
      <c r="Q3" s="2071"/>
      <c r="R3" s="2071"/>
      <c r="S3" s="2071"/>
      <c r="T3" s="2071"/>
      <c r="U3" s="2071"/>
      <c r="V3" s="2071"/>
      <c r="W3" s="2071"/>
      <c r="X3" s="2071"/>
      <c r="Y3" s="2071"/>
      <c r="Z3" s="2071"/>
      <c r="AA3" s="2071"/>
      <c r="AB3" s="2071"/>
      <c r="AC3" s="1191"/>
    </row>
    <row r="4" spans="1:29" ht="15">
      <c r="A4" s="360" t="s">
        <v>2354</v>
      </c>
      <c r="B4" s="361"/>
      <c r="C4" s="3295" t="s">
        <v>2355</v>
      </c>
      <c r="D4" s="3308"/>
      <c r="E4" s="3309" t="s">
        <v>2356</v>
      </c>
      <c r="F4" s="3310"/>
      <c r="G4" s="3295" t="s">
        <v>2357</v>
      </c>
      <c r="H4" s="3308"/>
      <c r="I4" s="3295" t="s">
        <v>2358</v>
      </c>
      <c r="J4" s="3308"/>
      <c r="K4" s="2074" t="s">
        <v>2359</v>
      </c>
      <c r="L4" s="2941"/>
      <c r="M4" s="2942"/>
      <c r="N4" s="2942"/>
      <c r="O4" s="2942"/>
      <c r="P4" s="3311" t="s">
        <v>2360</v>
      </c>
      <c r="Q4" s="3312"/>
      <c r="R4" s="3317" t="s">
        <v>2356</v>
      </c>
      <c r="S4" s="3318"/>
      <c r="T4" s="3317" t="s">
        <v>2357</v>
      </c>
      <c r="U4" s="3318"/>
      <c r="V4" s="3304" t="s">
        <v>2358</v>
      </c>
      <c r="W4" s="3304"/>
      <c r="X4" s="1538"/>
      <c r="Y4" s="3317" t="s">
        <v>2360</v>
      </c>
      <c r="Z4" s="3318"/>
      <c r="AA4" s="3305" t="s">
        <v>2356</v>
      </c>
      <c r="AB4" s="3305" t="s">
        <v>2357</v>
      </c>
      <c r="AC4" s="3305" t="s">
        <v>2358</v>
      </c>
    </row>
    <row r="5" spans="1:29" ht="15">
      <c r="A5" s="363"/>
      <c r="B5" s="364"/>
      <c r="C5" s="3325" t="s">
        <v>2361</v>
      </c>
      <c r="D5" s="3326"/>
      <c r="E5" s="3343" t="s">
        <v>4708</v>
      </c>
      <c r="F5" s="3333"/>
      <c r="G5" s="3342" t="s">
        <v>4709</v>
      </c>
      <c r="H5" s="3326"/>
      <c r="I5" s="3342" t="s">
        <v>4710</v>
      </c>
      <c r="J5" s="3326"/>
      <c r="K5" s="2075"/>
      <c r="L5" s="2941"/>
      <c r="M5" s="2942"/>
      <c r="N5" s="2942"/>
      <c r="O5" s="2942"/>
      <c r="P5" s="3313"/>
      <c r="Q5" s="3314"/>
      <c r="R5" s="3319"/>
      <c r="S5" s="3320"/>
      <c r="T5" s="3319"/>
      <c r="U5" s="3320"/>
      <c r="V5" s="3304"/>
      <c r="W5" s="3304"/>
      <c r="X5" s="1538"/>
      <c r="Y5" s="3319"/>
      <c r="Z5" s="3320"/>
      <c r="AA5" s="3306"/>
      <c r="AB5" s="3306"/>
      <c r="AC5" s="3306"/>
    </row>
    <row r="6" spans="1:29" ht="15.75" thickBot="1">
      <c r="A6" s="365"/>
      <c r="B6" s="366"/>
      <c r="C6" s="3323" t="s">
        <v>2365</v>
      </c>
      <c r="D6" s="3324"/>
      <c r="E6" s="3330" t="s">
        <v>2365</v>
      </c>
      <c r="F6" s="3331"/>
      <c r="G6" s="3323" t="s">
        <v>2365</v>
      </c>
      <c r="H6" s="3324"/>
      <c r="I6" s="3323" t="s">
        <v>2365</v>
      </c>
      <c r="J6" s="3324"/>
      <c r="K6" s="2075" t="s">
        <v>2366</v>
      </c>
      <c r="L6" s="2941"/>
      <c r="M6" s="2942"/>
      <c r="N6" s="2942"/>
      <c r="O6" s="2942"/>
      <c r="P6" s="3315"/>
      <c r="Q6" s="3316"/>
      <c r="R6" s="3319"/>
      <c r="S6" s="3320"/>
      <c r="T6" s="3321"/>
      <c r="U6" s="3322"/>
      <c r="V6" s="3304"/>
      <c r="W6" s="3304"/>
      <c r="X6" s="1538"/>
      <c r="Y6" s="3321"/>
      <c r="Z6" s="3322"/>
      <c r="AA6" s="3307"/>
      <c r="AB6" s="3307"/>
      <c r="AC6" s="3307"/>
    </row>
    <row r="7" spans="1:29" s="112" customFormat="1" ht="15.75" thickBot="1">
      <c r="A7" s="367" t="s">
        <v>2367</v>
      </c>
      <c r="B7" s="368"/>
      <c r="C7" s="369">
        <f>'数据-取费表'!B2</f>
        <v>44478</v>
      </c>
      <c r="D7" s="370">
        <v>100</v>
      </c>
      <c r="E7" s="371">
        <f>C7</f>
        <v>44478</v>
      </c>
      <c r="F7" s="372">
        <f>SUMIF(58:58,YEAR(E7)&amp;"-"&amp;MONTH(E7),59:59)</f>
        <v>100</v>
      </c>
      <c r="G7" s="371">
        <f>C7</f>
        <v>44478</v>
      </c>
      <c r="H7" s="370">
        <f>SUMIF(58:58,YEAR(G7)&amp;"-"&amp;MONTH(G7),59:59)</f>
        <v>100</v>
      </c>
      <c r="I7" s="371">
        <f>C7</f>
        <v>44478</v>
      </c>
      <c r="J7" s="370">
        <f>SUMIF(58:58,YEAR(I7)&amp;"-"&amp;MONTH(I7),59:59)</f>
        <v>100</v>
      </c>
      <c r="K7" s="2076"/>
      <c r="L7" s="2943"/>
      <c r="M7" s="2944"/>
      <c r="N7" s="2944"/>
      <c r="O7" s="2944"/>
      <c r="P7" s="3327" t="s">
        <v>2368</v>
      </c>
      <c r="Q7" s="3329"/>
      <c r="R7" s="709" t="s">
        <v>23</v>
      </c>
      <c r="S7" s="710">
        <f t="shared" ref="S7:S15" si="0">F7</f>
        <v>100</v>
      </c>
      <c r="T7" s="709" t="s">
        <v>23</v>
      </c>
      <c r="U7" s="710">
        <f t="shared" ref="U7:U15" si="1">H7</f>
        <v>100</v>
      </c>
      <c r="V7" s="709" t="s">
        <v>23</v>
      </c>
      <c r="W7" s="710">
        <f t="shared" ref="W7:W15" si="2">J7</f>
        <v>100</v>
      </c>
      <c r="X7" s="711"/>
      <c r="Y7" s="3327" t="s">
        <v>2368</v>
      </c>
      <c r="Z7" s="3328"/>
      <c r="AA7" s="712">
        <f>D7/F7</f>
        <v>1</v>
      </c>
      <c r="AB7" s="712">
        <f>D7/H7</f>
        <v>1</v>
      </c>
      <c r="AC7" s="712">
        <f>D7/J7</f>
        <v>1</v>
      </c>
    </row>
    <row r="8" spans="1:29" s="112" customFormat="1" ht="15.75" thickBot="1">
      <c r="A8" s="367" t="s">
        <v>2369</v>
      </c>
      <c r="B8" s="368"/>
      <c r="C8" s="373" t="s">
        <v>2370</v>
      </c>
      <c r="D8" s="370">
        <v>100</v>
      </c>
      <c r="E8" s="2077" t="s">
        <v>4679</v>
      </c>
      <c r="F8" s="372">
        <f>SUMIF(61:61,E8,62:62)-SUMIF(61:61,C8,62:62)+100</f>
        <v>100</v>
      </c>
      <c r="G8" s="373" t="s">
        <v>4679</v>
      </c>
      <c r="H8" s="370">
        <f>SUMIF(61:61,G8,62:62)-SUMIF(61:61,C8,62:62)+100</f>
        <v>100</v>
      </c>
      <c r="I8" s="2077" t="s">
        <v>4679</v>
      </c>
      <c r="J8" s="370">
        <f>SUMIF(61:61,I8,62:62)-SUMIF(61:61,C8,62:62)+100</f>
        <v>100</v>
      </c>
      <c r="K8" s="2076"/>
      <c r="L8" s="2943"/>
      <c r="M8" s="2944"/>
      <c r="N8" s="2944"/>
      <c r="O8" s="2944"/>
      <c r="P8" s="3327" t="s">
        <v>2371</v>
      </c>
      <c r="Q8" s="3328"/>
      <c r="R8" s="709" t="s">
        <v>23</v>
      </c>
      <c r="S8" s="710">
        <f t="shared" si="0"/>
        <v>100</v>
      </c>
      <c r="T8" s="709" t="s">
        <v>23</v>
      </c>
      <c r="U8" s="710">
        <f t="shared" si="1"/>
        <v>100</v>
      </c>
      <c r="V8" s="709" t="s">
        <v>23</v>
      </c>
      <c r="W8" s="710">
        <f t="shared" si="2"/>
        <v>100</v>
      </c>
      <c r="X8" s="711"/>
      <c r="Y8" s="3327" t="s">
        <v>2371</v>
      </c>
      <c r="Z8" s="3328"/>
      <c r="AA8" s="712">
        <f t="shared" ref="AA8:AA19" si="3">D8/F8</f>
        <v>1</v>
      </c>
      <c r="AB8" s="712">
        <f t="shared" ref="AB8:AB19" si="4">D8/H8</f>
        <v>1</v>
      </c>
      <c r="AC8" s="712">
        <f t="shared" ref="AC8:AC19" si="5">D8/J8</f>
        <v>1</v>
      </c>
    </row>
    <row r="9" spans="1:29" s="112" customFormat="1">
      <c r="A9" s="374" t="s">
        <v>2372</v>
      </c>
      <c r="B9" s="66" t="s">
        <v>2373</v>
      </c>
      <c r="C9" s="3088" t="s">
        <v>4690</v>
      </c>
      <c r="D9" s="130">
        <v>100</v>
      </c>
      <c r="E9" s="376" t="s">
        <v>4540</v>
      </c>
      <c r="F9" s="377">
        <f>SUMIF(63:63,E9,64:64)-SUMIF(63:63,C9,64:64)+100</f>
        <v>100</v>
      </c>
      <c r="G9" s="378" t="s">
        <v>4540</v>
      </c>
      <c r="H9" s="130">
        <f>SUMIF(63:63,G9,64:64)-SUMIF(63:63,C9,64:64)+100</f>
        <v>100</v>
      </c>
      <c r="I9" s="378" t="s">
        <v>4540</v>
      </c>
      <c r="J9" s="130">
        <f>SUMIF(63:63,I9,64:64)-SUMIF(63:63,C9,64:64)+100</f>
        <v>100</v>
      </c>
      <c r="K9" s="2076"/>
      <c r="L9" s="2943"/>
      <c r="M9" s="2944"/>
      <c r="N9" s="2944"/>
      <c r="O9" s="2944"/>
      <c r="P9" s="3297" t="s">
        <v>2374</v>
      </c>
      <c r="Q9" s="1526" t="str">
        <f t="shared" ref="Q9:Q15" si="6">B9</f>
        <v>用途</v>
      </c>
      <c r="R9" s="709" t="s">
        <v>17</v>
      </c>
      <c r="S9" s="710">
        <f t="shared" si="0"/>
        <v>100</v>
      </c>
      <c r="T9" s="709" t="s">
        <v>17</v>
      </c>
      <c r="U9" s="710">
        <f t="shared" si="1"/>
        <v>100</v>
      </c>
      <c r="V9" s="709" t="s">
        <v>17</v>
      </c>
      <c r="W9" s="710">
        <f t="shared" si="2"/>
        <v>100</v>
      </c>
      <c r="X9" s="711"/>
      <c r="Y9" s="3192" t="s">
        <v>2375</v>
      </c>
      <c r="Z9" s="55" t="str">
        <f t="shared" ref="Z9:Z15" si="7">Q9</f>
        <v>用途</v>
      </c>
      <c r="AA9" s="712">
        <f t="shared" si="3"/>
        <v>1</v>
      </c>
      <c r="AB9" s="712">
        <f t="shared" si="4"/>
        <v>1</v>
      </c>
      <c r="AC9" s="712">
        <f t="shared" si="5"/>
        <v>1</v>
      </c>
    </row>
    <row r="10" spans="1:29" s="385" customFormat="1" ht="27">
      <c r="A10" s="379"/>
      <c r="B10" s="380" t="s">
        <v>2376</v>
      </c>
      <c r="C10" s="381" t="s">
        <v>4691</v>
      </c>
      <c r="D10" s="131">
        <v>100</v>
      </c>
      <c r="E10" s="382" t="s">
        <v>4691</v>
      </c>
      <c r="F10" s="383">
        <f>SUMIF(65:65,E10,66:66)-SUMIF(65:65,C10,66:66)+100</f>
        <v>100</v>
      </c>
      <c r="G10" s="381" t="s">
        <v>4691</v>
      </c>
      <c r="H10" s="131">
        <f>SUMIF(65:65,G10,66:66)-SUMIF(65:65,C10,66:66)+100</f>
        <v>100</v>
      </c>
      <c r="I10" s="381" t="s">
        <v>4691</v>
      </c>
      <c r="J10" s="131">
        <f>SUMIF(65:65,I10,66:66)-SUMIF(65:65,C10,66:66)+100</f>
        <v>100</v>
      </c>
      <c r="K10" s="384"/>
      <c r="L10" s="2945"/>
      <c r="M10" s="2946"/>
      <c r="N10" s="2946"/>
      <c r="O10" s="2946"/>
      <c r="P10" s="3297"/>
      <c r="Q10" s="1526" t="str">
        <f t="shared" si="6"/>
        <v>土地使用年限（年）</v>
      </c>
      <c r="R10" s="709" t="s">
        <v>17</v>
      </c>
      <c r="S10" s="710">
        <f t="shared" si="0"/>
        <v>100</v>
      </c>
      <c r="T10" s="709" t="s">
        <v>17</v>
      </c>
      <c r="U10" s="710">
        <f t="shared" si="1"/>
        <v>100</v>
      </c>
      <c r="V10" s="709" t="s">
        <v>17</v>
      </c>
      <c r="W10" s="710">
        <f t="shared" si="2"/>
        <v>100</v>
      </c>
      <c r="X10" s="711"/>
      <c r="Y10" s="3192"/>
      <c r="Z10" s="55" t="str">
        <f t="shared" si="7"/>
        <v>土地使用年限（年）</v>
      </c>
      <c r="AA10" s="712">
        <f t="shared" si="3"/>
        <v>1</v>
      </c>
      <c r="AB10" s="712">
        <f t="shared" si="4"/>
        <v>1</v>
      </c>
      <c r="AC10" s="712">
        <f t="shared" si="5"/>
        <v>1</v>
      </c>
    </row>
    <row r="11" spans="1:29" ht="15.75" thickBot="1">
      <c r="A11" s="386"/>
      <c r="B11" s="380" t="s">
        <v>2377</v>
      </c>
      <c r="C11" s="387">
        <f>'数据-汇总表'!I7</f>
        <v>2.5</v>
      </c>
      <c r="D11" s="131">
        <v>100</v>
      </c>
      <c r="E11" s="388">
        <v>2.5</v>
      </c>
      <c r="F11" s="383">
        <f>LOOKUP(E11,68:68,69:69)-LOOKUP(C11,68:68,69:69)+100</f>
        <v>100</v>
      </c>
      <c r="G11" s="387">
        <v>2.5</v>
      </c>
      <c r="H11" s="131">
        <f>LOOKUP(G11,68:68,69:69)-LOOKUP(C11,68:68,69:69)+100</f>
        <v>100</v>
      </c>
      <c r="I11" s="387">
        <v>2.5</v>
      </c>
      <c r="J11" s="131">
        <f>LOOKUP(I11,68:68,69:69)-LOOKUP(C11,68:68,69:69)+100</f>
        <v>100</v>
      </c>
      <c r="K11" s="384"/>
      <c r="L11" s="2947"/>
      <c r="M11" s="2942"/>
      <c r="N11" s="2942"/>
      <c r="O11" s="2942"/>
      <c r="P11" s="3297"/>
      <c r="Q11" s="1526" t="str">
        <f t="shared" si="6"/>
        <v>容积率</v>
      </c>
      <c r="R11" s="709" t="s">
        <v>21</v>
      </c>
      <c r="S11" s="710">
        <f t="shared" si="0"/>
        <v>100</v>
      </c>
      <c r="T11" s="709" t="s">
        <v>21</v>
      </c>
      <c r="U11" s="710">
        <f t="shared" si="1"/>
        <v>100</v>
      </c>
      <c r="V11" s="709" t="s">
        <v>21</v>
      </c>
      <c r="W11" s="710">
        <f t="shared" si="2"/>
        <v>100</v>
      </c>
      <c r="X11" s="711"/>
      <c r="Y11" s="3192"/>
      <c r="Z11" s="55" t="str">
        <f t="shared" si="7"/>
        <v>容积率</v>
      </c>
      <c r="AA11" s="712">
        <f t="shared" si="3"/>
        <v>1</v>
      </c>
      <c r="AB11" s="712">
        <f t="shared" si="4"/>
        <v>1</v>
      </c>
      <c r="AC11" s="712">
        <f t="shared" si="5"/>
        <v>1</v>
      </c>
    </row>
    <row r="12" spans="1:29" s="112" customFormat="1" ht="15" hidden="1">
      <c r="A12" s="389"/>
      <c r="B12" s="2078">
        <v>111</v>
      </c>
      <c r="C12" s="390"/>
      <c r="D12" s="391">
        <v>100</v>
      </c>
      <c r="E12" s="390"/>
      <c r="F12" s="383">
        <f>SUMIF(70:70,E12,71:71)-SUMIF(70:70,C12,71:71)+100</f>
        <v>100</v>
      </c>
      <c r="G12" s="390"/>
      <c r="H12" s="131">
        <f>SUMIF(70:70,G12,71:71)-SUMIF(70:70,C12,71:71)+100</f>
        <v>100</v>
      </c>
      <c r="I12" s="390"/>
      <c r="J12" s="131">
        <f>SUMIF(70:70,I12,71:71)-SUMIF(70:70,C12,71:71)+100</f>
        <v>100</v>
      </c>
      <c r="K12" s="2079"/>
      <c r="L12" s="2943"/>
      <c r="M12" s="2944"/>
      <c r="N12" s="2944"/>
      <c r="O12" s="2944"/>
      <c r="P12" s="3297"/>
      <c r="Q12" s="1526">
        <f t="shared" si="6"/>
        <v>111</v>
      </c>
      <c r="R12" s="709" t="s">
        <v>21</v>
      </c>
      <c r="S12" s="710">
        <f t="shared" si="0"/>
        <v>100</v>
      </c>
      <c r="T12" s="709" t="s">
        <v>21</v>
      </c>
      <c r="U12" s="710">
        <f t="shared" si="1"/>
        <v>100</v>
      </c>
      <c r="V12" s="709" t="s">
        <v>21</v>
      </c>
      <c r="W12" s="710">
        <f t="shared" si="2"/>
        <v>100</v>
      </c>
      <c r="X12" s="711"/>
      <c r="Y12" s="3192"/>
      <c r="Z12" s="55">
        <f t="shared" si="7"/>
        <v>111</v>
      </c>
      <c r="AA12" s="712">
        <f>D12/F12</f>
        <v>1</v>
      </c>
      <c r="AB12" s="712">
        <f>D12/H12</f>
        <v>1</v>
      </c>
      <c r="AC12" s="712">
        <f>D12/J12</f>
        <v>1</v>
      </c>
    </row>
    <row r="13" spans="1:29" ht="15" hidden="1">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2079"/>
      <c r="L13" s="2948"/>
      <c r="M13" s="2942"/>
      <c r="N13" s="2942"/>
      <c r="O13" s="2942"/>
      <c r="P13" s="3297"/>
      <c r="Q13" s="1526">
        <f t="shared" si="6"/>
        <v>111</v>
      </c>
      <c r="R13" s="709" t="s">
        <v>21</v>
      </c>
      <c r="S13" s="710">
        <f t="shared" si="0"/>
        <v>100</v>
      </c>
      <c r="T13" s="709" t="s">
        <v>21</v>
      </c>
      <c r="U13" s="710">
        <f t="shared" si="1"/>
        <v>100</v>
      </c>
      <c r="V13" s="709" t="s">
        <v>21</v>
      </c>
      <c r="W13" s="710">
        <f t="shared" si="2"/>
        <v>100</v>
      </c>
      <c r="X13" s="711"/>
      <c r="Y13" s="3192"/>
      <c r="Z13" s="55">
        <f t="shared" si="7"/>
        <v>111</v>
      </c>
      <c r="AA13" s="712">
        <f t="shared" si="3"/>
        <v>1</v>
      </c>
      <c r="AB13" s="712">
        <f t="shared" si="4"/>
        <v>1</v>
      </c>
      <c r="AC13" s="712">
        <f t="shared" si="5"/>
        <v>1</v>
      </c>
    </row>
    <row r="14" spans="1:29" ht="15.75" hidden="1" thickBot="1">
      <c r="A14" s="394"/>
      <c r="B14" s="2080">
        <v>111</v>
      </c>
      <c r="C14" s="395"/>
      <c r="D14" s="396">
        <v>100</v>
      </c>
      <c r="E14" s="395"/>
      <c r="F14" s="397">
        <f>SUMIF(74:74,E14,75:75)-SUMIF(74:74,C14,75:75)+100</f>
        <v>100</v>
      </c>
      <c r="G14" s="395"/>
      <c r="H14" s="396">
        <f>SUMIF(74:74,G14,75:75)-SUMIF(74:74,C14,75:75)+100</f>
        <v>100</v>
      </c>
      <c r="I14" s="395"/>
      <c r="J14" s="396">
        <f>SUMIF(74:74,I14,75:75)-SUMIF(74:74,C14,75:75)+100</f>
        <v>100</v>
      </c>
      <c r="K14" s="2079"/>
      <c r="L14" s="2948"/>
      <c r="M14" s="2942"/>
      <c r="N14" s="2942"/>
      <c r="O14" s="2942"/>
      <c r="P14" s="3297"/>
      <c r="Q14" s="1526">
        <f t="shared" si="6"/>
        <v>111</v>
      </c>
      <c r="R14" s="709" t="s">
        <v>21</v>
      </c>
      <c r="S14" s="710">
        <f t="shared" si="0"/>
        <v>100</v>
      </c>
      <c r="T14" s="709" t="s">
        <v>21</v>
      </c>
      <c r="U14" s="710">
        <f t="shared" si="1"/>
        <v>100</v>
      </c>
      <c r="V14" s="709" t="s">
        <v>21</v>
      </c>
      <c r="W14" s="710">
        <f t="shared" si="2"/>
        <v>100</v>
      </c>
      <c r="X14" s="711"/>
      <c r="Y14" s="3192"/>
      <c r="Z14" s="55">
        <f t="shared" si="7"/>
        <v>111</v>
      </c>
      <c r="AA14" s="712">
        <f t="shared" si="3"/>
        <v>1</v>
      </c>
      <c r="AB14" s="712">
        <f t="shared" si="4"/>
        <v>1</v>
      </c>
      <c r="AC14" s="712">
        <f t="shared" si="5"/>
        <v>1</v>
      </c>
    </row>
    <row r="15" spans="1:29" ht="15">
      <c r="A15" s="398" t="s">
        <v>2378</v>
      </c>
      <c r="B15" s="64" t="s">
        <v>1944</v>
      </c>
      <c r="C15" s="2081">
        <f>估价对象房地状况!C3</f>
        <v>0</v>
      </c>
      <c r="D15" s="399">
        <v>100</v>
      </c>
      <c r="E15" s="402"/>
      <c r="F15" s="399">
        <f>SUMIF(76:76,E16,77:77)-SUMIF(76:76,C16,77:77)+100</f>
        <v>90</v>
      </c>
      <c r="G15" s="400"/>
      <c r="H15" s="399">
        <f>SUMIF(76:76,G16,77:77)-SUMIF(76:76,C16,77:77)+100</f>
        <v>100</v>
      </c>
      <c r="I15" s="400"/>
      <c r="J15" s="399">
        <f>SUMIF(76:76,I16,77:77)-SUMIF(76:76,C16,77:77)+100</f>
        <v>100</v>
      </c>
      <c r="K15" s="403">
        <v>5</v>
      </c>
      <c r="L15" s="2948"/>
      <c r="M15" s="2942"/>
      <c r="N15" s="2942"/>
      <c r="O15" s="2942"/>
      <c r="P15" s="3340" t="s">
        <v>2379</v>
      </c>
      <c r="Q15" s="1535" t="str">
        <f t="shared" si="6"/>
        <v>居住社区成熟度</v>
      </c>
      <c r="R15" s="713" t="s">
        <v>21</v>
      </c>
      <c r="S15" s="714">
        <f t="shared" si="0"/>
        <v>90</v>
      </c>
      <c r="T15" s="713" t="s">
        <v>21</v>
      </c>
      <c r="U15" s="714">
        <f t="shared" si="1"/>
        <v>100</v>
      </c>
      <c r="V15" s="713" t="s">
        <v>21</v>
      </c>
      <c r="W15" s="714">
        <f t="shared" si="2"/>
        <v>100</v>
      </c>
      <c r="X15" s="1538"/>
      <c r="Y15" s="3300" t="s">
        <v>2379</v>
      </c>
      <c r="Z15" s="1539" t="str">
        <f t="shared" si="7"/>
        <v>居住社区成熟度</v>
      </c>
      <c r="AA15" s="1536">
        <f t="shared" si="3"/>
        <v>1.1111111111111112</v>
      </c>
      <c r="AB15" s="1536">
        <f t="shared" si="4"/>
        <v>1</v>
      </c>
      <c r="AC15" s="1536">
        <f t="shared" si="5"/>
        <v>1</v>
      </c>
    </row>
    <row r="16" spans="1:29" ht="15">
      <c r="A16" s="386"/>
      <c r="B16" s="404"/>
      <c r="C16" s="405" t="s">
        <v>4692</v>
      </c>
      <c r="D16" s="406"/>
      <c r="E16" s="405" t="s">
        <v>4715</v>
      </c>
      <c r="F16" s="406"/>
      <c r="G16" s="405" t="s">
        <v>4692</v>
      </c>
      <c r="H16" s="408"/>
      <c r="I16" s="405" t="s">
        <v>4692</v>
      </c>
      <c r="J16" s="406"/>
      <c r="K16" s="2084"/>
      <c r="L16" s="2948"/>
      <c r="M16" s="2942"/>
      <c r="N16" s="2942"/>
      <c r="O16" s="2942"/>
      <c r="P16" s="3341"/>
      <c r="Q16" s="1535"/>
      <c r="R16" s="713"/>
      <c r="S16" s="714"/>
      <c r="T16" s="713"/>
      <c r="U16" s="714"/>
      <c r="V16" s="713"/>
      <c r="W16" s="714"/>
      <c r="X16" s="1538"/>
      <c r="Y16" s="3301"/>
      <c r="Z16" s="1539"/>
      <c r="AA16" s="1536">
        <v>1</v>
      </c>
      <c r="AB16" s="1536">
        <v>1</v>
      </c>
      <c r="AC16" s="1536">
        <v>1</v>
      </c>
    </row>
    <row r="17" spans="1:29" ht="15">
      <c r="A17" s="386"/>
      <c r="B17" s="409" t="s">
        <v>1946</v>
      </c>
      <c r="C17" s="2085">
        <f>估价对象房地状况!C6</f>
        <v>0</v>
      </c>
      <c r="D17" s="408">
        <v>100</v>
      </c>
      <c r="E17" s="412"/>
      <c r="F17" s="408">
        <f>SUMIF(78:78,E18,79:79)-SUMIF(78:78,C18,79:79)+100</f>
        <v>94</v>
      </c>
      <c r="G17" s="410"/>
      <c r="H17" s="413">
        <f>SUMIF(78:78,G18,79:79)-SUMIF(78:78,C18,79:79)+100</f>
        <v>100</v>
      </c>
      <c r="I17" s="410"/>
      <c r="J17" s="413">
        <f>SUMIF(78:78,I18,79:79)-SUMIF(78:78,C18,79:79)+100</f>
        <v>100</v>
      </c>
      <c r="K17" s="403">
        <v>3</v>
      </c>
      <c r="L17" s="2948"/>
      <c r="M17" s="2942"/>
      <c r="N17" s="2942"/>
      <c r="O17" s="2942"/>
      <c r="P17" s="3341"/>
      <c r="Q17" s="1535" t="str">
        <f>B17</f>
        <v>交通便捷度</v>
      </c>
      <c r="R17" s="713" t="s">
        <v>21</v>
      </c>
      <c r="S17" s="714">
        <f>F17</f>
        <v>94</v>
      </c>
      <c r="T17" s="713" t="s">
        <v>21</v>
      </c>
      <c r="U17" s="714">
        <f>H17</f>
        <v>100</v>
      </c>
      <c r="V17" s="713" t="s">
        <v>21</v>
      </c>
      <c r="W17" s="714">
        <f>J17</f>
        <v>100</v>
      </c>
      <c r="X17" s="1538"/>
      <c r="Y17" s="3301"/>
      <c r="Z17" s="1539" t="str">
        <f>Q17</f>
        <v>交通便捷度</v>
      </c>
      <c r="AA17" s="1536">
        <f t="shared" si="3"/>
        <v>1.0638297872340425</v>
      </c>
      <c r="AB17" s="1536">
        <f t="shared" si="4"/>
        <v>1</v>
      </c>
      <c r="AC17" s="1536">
        <f t="shared" si="5"/>
        <v>1</v>
      </c>
    </row>
    <row r="18" spans="1:29" ht="15">
      <c r="A18" s="386"/>
      <c r="B18" s="414"/>
      <c r="C18" s="405" t="s">
        <v>4692</v>
      </c>
      <c r="D18" s="408"/>
      <c r="E18" s="405" t="s">
        <v>4715</v>
      </c>
      <c r="F18" s="408"/>
      <c r="G18" s="405" t="s">
        <v>4692</v>
      </c>
      <c r="H18" s="406"/>
      <c r="I18" s="405" t="s">
        <v>4692</v>
      </c>
      <c r="J18" s="406"/>
      <c r="K18" s="2084"/>
      <c r="L18" s="2948"/>
      <c r="M18" s="2942"/>
      <c r="N18" s="2942"/>
      <c r="O18" s="2942"/>
      <c r="P18" s="3341"/>
      <c r="Q18" s="1535"/>
      <c r="R18" s="713"/>
      <c r="S18" s="714"/>
      <c r="T18" s="713"/>
      <c r="U18" s="714"/>
      <c r="V18" s="713"/>
      <c r="W18" s="714"/>
      <c r="X18" s="1538"/>
      <c r="Y18" s="3301"/>
      <c r="Z18" s="1539"/>
      <c r="AA18" s="1536">
        <v>1</v>
      </c>
      <c r="AB18" s="1536">
        <v>1</v>
      </c>
      <c r="AC18" s="1536">
        <v>1</v>
      </c>
    </row>
    <row r="19" spans="1:29" ht="15">
      <c r="A19" s="386"/>
      <c r="B19" s="409" t="s">
        <v>1945</v>
      </c>
      <c r="C19" s="2085">
        <f>估价对象房地状况!C7</f>
        <v>0</v>
      </c>
      <c r="D19" s="413">
        <v>100</v>
      </c>
      <c r="E19" s="417"/>
      <c r="F19" s="413">
        <f>SUMIF(80:80,E20,81:81)-SUMIF(80:80,C20,81:81)+100</f>
        <v>94</v>
      </c>
      <c r="G19" s="415"/>
      <c r="H19" s="408">
        <f>SUMIF(80:80,G20,81:81)-SUMIF(80:80,C20,81:81)+100</f>
        <v>100</v>
      </c>
      <c r="I19" s="415"/>
      <c r="J19" s="408">
        <f>SUMIF(80:80,I20,81:81)-SUMIF(80:80,C20,81:81)+100</f>
        <v>100</v>
      </c>
      <c r="K19" s="403">
        <v>3</v>
      </c>
      <c r="L19" s="2948"/>
      <c r="M19" s="2942"/>
      <c r="N19" s="2942"/>
      <c r="O19" s="2942"/>
      <c r="P19" s="3341"/>
      <c r="Q19" s="1535" t="str">
        <f>B19</f>
        <v>公共配套设施</v>
      </c>
      <c r="R19" s="713" t="s">
        <v>21</v>
      </c>
      <c r="S19" s="714">
        <f>F19</f>
        <v>94</v>
      </c>
      <c r="T19" s="713" t="s">
        <v>21</v>
      </c>
      <c r="U19" s="714">
        <f>H19</f>
        <v>100</v>
      </c>
      <c r="V19" s="713" t="s">
        <v>21</v>
      </c>
      <c r="W19" s="714">
        <f>J19</f>
        <v>100</v>
      </c>
      <c r="X19" s="1538"/>
      <c r="Y19" s="3301"/>
      <c r="Z19" s="1539" t="str">
        <f>Q19</f>
        <v>公共配套设施</v>
      </c>
      <c r="AA19" s="1536">
        <f t="shared" si="3"/>
        <v>1.0638297872340425</v>
      </c>
      <c r="AB19" s="1536">
        <f t="shared" si="4"/>
        <v>1</v>
      </c>
      <c r="AC19" s="1536">
        <f t="shared" si="5"/>
        <v>1</v>
      </c>
    </row>
    <row r="20" spans="1:29" ht="15">
      <c r="A20" s="386"/>
      <c r="B20" s="414"/>
      <c r="C20" s="405" t="s">
        <v>4692</v>
      </c>
      <c r="D20" s="406"/>
      <c r="E20" s="405" t="s">
        <v>4715</v>
      </c>
      <c r="F20" s="406"/>
      <c r="G20" s="405" t="s">
        <v>4692</v>
      </c>
      <c r="H20" s="406"/>
      <c r="I20" s="405" t="s">
        <v>4692</v>
      </c>
      <c r="J20" s="406"/>
      <c r="K20" s="2084"/>
      <c r="L20" s="2948"/>
      <c r="M20" s="2942"/>
      <c r="N20" s="2942"/>
      <c r="O20" s="2942"/>
      <c r="P20" s="3341"/>
      <c r="Q20" s="1535"/>
      <c r="R20" s="713"/>
      <c r="S20" s="714"/>
      <c r="T20" s="713"/>
      <c r="U20" s="714"/>
      <c r="V20" s="713"/>
      <c r="W20" s="714"/>
      <c r="X20" s="1538"/>
      <c r="Y20" s="3301"/>
      <c r="Z20" s="1539"/>
      <c r="AA20" s="1536">
        <v>1</v>
      </c>
      <c r="AB20" s="1536">
        <v>1</v>
      </c>
      <c r="AC20" s="1536">
        <v>1</v>
      </c>
    </row>
    <row r="21" spans="1:29" ht="15">
      <c r="A21" s="386"/>
      <c r="B21" s="1292" t="s">
        <v>1947</v>
      </c>
      <c r="C21" s="2085">
        <f>估价对象房地状况!C8</f>
        <v>0</v>
      </c>
      <c r="D21" s="408">
        <v>100</v>
      </c>
      <c r="E21" s="417"/>
      <c r="F21" s="413">
        <f>SUMIF(82:82,E22,83:83)-SUMIF(82:82,C22,83:83)+100</f>
        <v>100</v>
      </c>
      <c r="G21" s="415"/>
      <c r="H21" s="408">
        <f>SUMIF(82:82,G22,83:83)-SUMIF(82:82,C22,83:83)+100</f>
        <v>100</v>
      </c>
      <c r="I21" s="415"/>
      <c r="J21" s="408">
        <f>SUMIF(82:82,I22,83:83)-SUMIF(82:82,C22,83:83)+100</f>
        <v>100</v>
      </c>
      <c r="K21" s="403">
        <v>5</v>
      </c>
      <c r="L21" s="2948"/>
      <c r="M21" s="2942"/>
      <c r="N21" s="2942"/>
      <c r="O21" s="2942"/>
      <c r="P21" s="3341"/>
      <c r="Q21" s="1535" t="str">
        <f>B21</f>
        <v>基础设施水平</v>
      </c>
      <c r="R21" s="713" t="s">
        <v>17</v>
      </c>
      <c r="S21" s="714">
        <f>F21</f>
        <v>100</v>
      </c>
      <c r="T21" s="713" t="s">
        <v>17</v>
      </c>
      <c r="U21" s="714">
        <f>H21</f>
        <v>100</v>
      </c>
      <c r="V21" s="713" t="s">
        <v>17</v>
      </c>
      <c r="W21" s="714">
        <f>J21</f>
        <v>100</v>
      </c>
      <c r="X21" s="1538"/>
      <c r="Y21" s="3301"/>
      <c r="Z21" s="1539" t="str">
        <f>Q21</f>
        <v>基础设施水平</v>
      </c>
      <c r="AA21" s="1536">
        <f t="shared" ref="AA21" si="8">D21/F21</f>
        <v>1</v>
      </c>
      <c r="AB21" s="1536">
        <f t="shared" ref="AB21" si="9">D21/H21</f>
        <v>1</v>
      </c>
      <c r="AC21" s="1536">
        <f t="shared" ref="AC21" si="10">D21/J21</f>
        <v>1</v>
      </c>
    </row>
    <row r="22" spans="1:29" ht="15">
      <c r="A22" s="386"/>
      <c r="B22" s="1292"/>
      <c r="C22" s="2086" t="s">
        <v>4693</v>
      </c>
      <c r="D22" s="406"/>
      <c r="E22" s="2086" t="s">
        <v>4693</v>
      </c>
      <c r="F22" s="406"/>
      <c r="G22" s="2086" t="s">
        <v>4693</v>
      </c>
      <c r="H22" s="406"/>
      <c r="I22" s="2086" t="s">
        <v>4693</v>
      </c>
      <c r="J22" s="406"/>
      <c r="K22" s="2090"/>
      <c r="L22" s="2948"/>
      <c r="M22" s="2942"/>
      <c r="N22" s="2942"/>
      <c r="O22" s="2942"/>
      <c r="P22" s="3341"/>
      <c r="Q22" s="1535"/>
      <c r="R22" s="713"/>
      <c r="S22" s="714"/>
      <c r="T22" s="713"/>
      <c r="U22" s="714"/>
      <c r="V22" s="713"/>
      <c r="W22" s="714"/>
      <c r="X22" s="1538"/>
      <c r="Y22" s="3301"/>
      <c r="Z22" s="1539"/>
      <c r="AA22" s="1536">
        <v>1</v>
      </c>
      <c r="AB22" s="1536">
        <v>1</v>
      </c>
      <c r="AC22" s="1536">
        <v>1</v>
      </c>
    </row>
    <row r="23" spans="1:29" ht="15">
      <c r="A23" s="386"/>
      <c r="B23" s="409" t="s">
        <v>1948</v>
      </c>
      <c r="C23" s="2085">
        <f>估价对象房地状况!C9</f>
        <v>0</v>
      </c>
      <c r="D23" s="408">
        <v>100</v>
      </c>
      <c r="E23" s="412"/>
      <c r="F23" s="408">
        <f>SUMIF(84:84,E24,85:85)-SUMIF(84:84,C24,85:85)+100</f>
        <v>100</v>
      </c>
      <c r="G23" s="410"/>
      <c r="H23" s="408">
        <f>SUMIF(84:84,G24,85:85)-SUMIF(84:84,C24,85:85)+100</f>
        <v>100</v>
      </c>
      <c r="I23" s="410"/>
      <c r="J23" s="408">
        <f>SUMIF(84:84,I24,85:85)-SUMIF(84:84,C24,85:85)+100</f>
        <v>100</v>
      </c>
      <c r="K23" s="403">
        <v>3</v>
      </c>
      <c r="L23" s="2948"/>
      <c r="M23" s="2942"/>
      <c r="N23" s="2942"/>
      <c r="O23" s="2942"/>
      <c r="P23" s="3341"/>
      <c r="Q23" s="1535" t="str">
        <f>B23</f>
        <v>自然及人文环境</v>
      </c>
      <c r="R23" s="713" t="s">
        <v>21</v>
      </c>
      <c r="S23" s="714">
        <f>F23</f>
        <v>100</v>
      </c>
      <c r="T23" s="713" t="s">
        <v>21</v>
      </c>
      <c r="U23" s="714">
        <f>H23</f>
        <v>100</v>
      </c>
      <c r="V23" s="713" t="s">
        <v>21</v>
      </c>
      <c r="W23" s="714">
        <f>J23</f>
        <v>100</v>
      </c>
      <c r="X23" s="1538"/>
      <c r="Y23" s="3301"/>
      <c r="Z23" s="1539" t="str">
        <f>Q23</f>
        <v>自然及人文环境</v>
      </c>
      <c r="AA23" s="1536">
        <f>D23/F23</f>
        <v>1</v>
      </c>
      <c r="AB23" s="1536">
        <f>D23/H23</f>
        <v>1</v>
      </c>
      <c r="AC23" s="1536">
        <f>D23/J23</f>
        <v>1</v>
      </c>
    </row>
    <row r="24" spans="1:29" ht="15.75" thickBot="1">
      <c r="A24" s="386"/>
      <c r="B24" s="414"/>
      <c r="C24" s="405" t="s">
        <v>4692</v>
      </c>
      <c r="D24" s="406"/>
      <c r="E24" s="405" t="s">
        <v>4692</v>
      </c>
      <c r="F24" s="406"/>
      <c r="G24" s="405" t="s">
        <v>4692</v>
      </c>
      <c r="H24" s="406"/>
      <c r="I24" s="405" t="s">
        <v>4692</v>
      </c>
      <c r="J24" s="406"/>
      <c r="K24" s="2084"/>
      <c r="L24" s="2948"/>
      <c r="M24" s="2942"/>
      <c r="N24" s="2942"/>
      <c r="O24" s="2942"/>
      <c r="P24" s="3341"/>
      <c r="Q24" s="1535"/>
      <c r="R24" s="713"/>
      <c r="S24" s="714"/>
      <c r="T24" s="713"/>
      <c r="U24" s="714"/>
      <c r="V24" s="713"/>
      <c r="W24" s="714"/>
      <c r="X24" s="1538"/>
      <c r="Y24" s="3301"/>
      <c r="Z24" s="1539"/>
      <c r="AA24" s="1536">
        <v>1</v>
      </c>
      <c r="AB24" s="1536">
        <v>1</v>
      </c>
      <c r="AC24" s="1536">
        <v>1</v>
      </c>
    </row>
    <row r="25" spans="1:29" ht="15" hidden="1">
      <c r="A25" s="386"/>
      <c r="B25" s="380" t="s">
        <v>2380</v>
      </c>
      <c r="C25" s="418"/>
      <c r="D25" s="393">
        <v>100</v>
      </c>
      <c r="E25" s="2091"/>
      <c r="F25" s="393">
        <f>SUMIF(86:86,E25,87:87)-SUMIF(86:86,C25,87:87)+100</f>
        <v>100</v>
      </c>
      <c r="G25" s="2092"/>
      <c r="H25" s="393">
        <f>SUMIF(86:86,G25,87:87)-SUMIF(86:86,C25,87:87)+100</f>
        <v>100</v>
      </c>
      <c r="I25" s="2092"/>
      <c r="J25" s="393">
        <f>SUMIF(86:86,I25,87:87)-SUMIF(86:86,C25,87:87)+100</f>
        <v>100</v>
      </c>
      <c r="K25" s="384"/>
      <c r="L25" s="2948"/>
      <c r="M25" s="2942"/>
      <c r="N25" s="2942"/>
      <c r="O25" s="2942"/>
      <c r="P25" s="3341"/>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301"/>
      <c r="Z25" s="1539" t="str">
        <f>Q25</f>
        <v>楼层-1</v>
      </c>
      <c r="AA25" s="1536">
        <f t="shared" ref="AA25:AA46" si="15">D25/F25</f>
        <v>1</v>
      </c>
      <c r="AB25" s="1536">
        <f t="shared" ref="AB25:AB46" si="16">D25/H25</f>
        <v>1</v>
      </c>
      <c r="AC25" s="1536">
        <f t="shared" ref="AC25:AC46" si="17">D25/J25</f>
        <v>1</v>
      </c>
    </row>
    <row r="26" spans="1:29" ht="15" hidden="1">
      <c r="A26" s="386"/>
      <c r="B26" s="380" t="s">
        <v>2381</v>
      </c>
      <c r="C26" s="418"/>
      <c r="D26" s="393">
        <v>100</v>
      </c>
      <c r="E26" s="2091"/>
      <c r="F26" s="393">
        <f>SUMIF(88:88,E26,89:89)-SUMIF(88:88,C26,89:89)+100</f>
        <v>100</v>
      </c>
      <c r="G26" s="2092"/>
      <c r="H26" s="393">
        <f>SUMIF(88:88,G26,89:89)-SUMIF(88:88,C26,89:89)+100</f>
        <v>100</v>
      </c>
      <c r="I26" s="2092"/>
      <c r="J26" s="393">
        <f>SUMIF(88:88,I26,89:89)-SUMIF(88:88,C26,89:89)+100</f>
        <v>100</v>
      </c>
      <c r="K26" s="384"/>
      <c r="L26" s="2948"/>
      <c r="M26" s="2942"/>
      <c r="N26" s="2942"/>
      <c r="O26" s="2942"/>
      <c r="P26" s="3341"/>
      <c r="Q26" s="1535" t="str">
        <f t="shared" si="11"/>
        <v>朝向</v>
      </c>
      <c r="R26" s="713" t="s">
        <v>21</v>
      </c>
      <c r="S26" s="714">
        <f t="shared" si="12"/>
        <v>100</v>
      </c>
      <c r="T26" s="713" t="s">
        <v>21</v>
      </c>
      <c r="U26" s="714">
        <f t="shared" si="13"/>
        <v>100</v>
      </c>
      <c r="V26" s="713" t="s">
        <v>21</v>
      </c>
      <c r="W26" s="714">
        <f t="shared" si="14"/>
        <v>100</v>
      </c>
      <c r="X26" s="1538"/>
      <c r="Y26" s="3301"/>
      <c r="Z26" s="1539" t="str">
        <f>Q26</f>
        <v>朝向</v>
      </c>
      <c r="AA26" s="1536">
        <f t="shared" si="15"/>
        <v>1</v>
      </c>
      <c r="AB26" s="1536">
        <f t="shared" si="16"/>
        <v>1</v>
      </c>
      <c r="AC26" s="1536">
        <f t="shared" si="17"/>
        <v>1</v>
      </c>
    </row>
    <row r="27" spans="1:29" s="112" customFormat="1" ht="15" hidden="1">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79"/>
      <c r="L27" s="2943"/>
      <c r="M27" s="2944"/>
      <c r="N27" s="2944"/>
      <c r="O27" s="2944"/>
      <c r="P27" s="3341"/>
      <c r="Q27" s="1526">
        <f t="shared" si="11"/>
        <v>111</v>
      </c>
      <c r="R27" s="709" t="s">
        <v>21</v>
      </c>
      <c r="S27" s="710">
        <f t="shared" si="12"/>
        <v>100</v>
      </c>
      <c r="T27" s="709" t="s">
        <v>21</v>
      </c>
      <c r="U27" s="710">
        <f t="shared" si="13"/>
        <v>100</v>
      </c>
      <c r="V27" s="709" t="s">
        <v>21</v>
      </c>
      <c r="W27" s="710">
        <f t="shared" si="14"/>
        <v>100</v>
      </c>
      <c r="X27" s="711"/>
      <c r="Y27" s="3301"/>
      <c r="Z27" s="55">
        <f>Q27</f>
        <v>111</v>
      </c>
      <c r="AA27" s="1536">
        <f t="shared" si="15"/>
        <v>1</v>
      </c>
      <c r="AB27" s="1536">
        <f t="shared" si="16"/>
        <v>1</v>
      </c>
      <c r="AC27" s="1536">
        <f t="shared" si="17"/>
        <v>1</v>
      </c>
    </row>
    <row r="28" spans="1:29" ht="15" hidden="1">
      <c r="A28" s="386"/>
      <c r="B28" s="1294">
        <v>111</v>
      </c>
      <c r="C28" s="392"/>
      <c r="D28" s="393">
        <v>100</v>
      </c>
      <c r="E28" s="392"/>
      <c r="F28" s="393">
        <f>SUMIF(92:92,E28,93:93)-SUMIF(92:92,C28,93:93)+100</f>
        <v>100</v>
      </c>
      <c r="G28" s="2093"/>
      <c r="H28" s="393">
        <f>SUMIF(92:92,G28,93:93)-SUMIF(92:92,C28,93:93)+100</f>
        <v>100</v>
      </c>
      <c r="I28" s="392"/>
      <c r="J28" s="393">
        <f>SUMIF(92:92,I28,93:93)-SUMIF(92:92,C28,93:93)+100</f>
        <v>100</v>
      </c>
      <c r="K28" s="2079"/>
      <c r="L28" s="2948"/>
      <c r="M28" s="2942"/>
      <c r="N28" s="2942"/>
      <c r="O28" s="2942"/>
      <c r="P28" s="3341"/>
      <c r="Q28" s="1535">
        <f t="shared" si="11"/>
        <v>111</v>
      </c>
      <c r="R28" s="713" t="s">
        <v>21</v>
      </c>
      <c r="S28" s="714">
        <f t="shared" si="12"/>
        <v>100</v>
      </c>
      <c r="T28" s="713" t="s">
        <v>21</v>
      </c>
      <c r="U28" s="714">
        <f t="shared" si="13"/>
        <v>100</v>
      </c>
      <c r="V28" s="713" t="s">
        <v>21</v>
      </c>
      <c r="W28" s="714">
        <f t="shared" si="14"/>
        <v>100</v>
      </c>
      <c r="X28" s="1538"/>
      <c r="Y28" s="3301"/>
      <c r="Z28" s="1539">
        <f t="shared" ref="Z28:Z46" si="18">Q28</f>
        <v>111</v>
      </c>
      <c r="AA28" s="1536">
        <f t="shared" si="15"/>
        <v>1</v>
      </c>
      <c r="AB28" s="1536">
        <f t="shared" si="16"/>
        <v>1</v>
      </c>
      <c r="AC28" s="1536">
        <f t="shared" si="17"/>
        <v>1</v>
      </c>
    </row>
    <row r="29" spans="1:29" ht="15" hidden="1">
      <c r="A29" s="386"/>
      <c r="B29" s="1294">
        <v>111</v>
      </c>
      <c r="C29" s="392"/>
      <c r="D29" s="393">
        <v>100</v>
      </c>
      <c r="E29" s="392"/>
      <c r="F29" s="393">
        <f>SUMIF(94:94,E29,95:95)-SUMIF(94:94,C29,95:95)+100</f>
        <v>100</v>
      </c>
      <c r="G29" s="2093"/>
      <c r="H29" s="393">
        <f>SUMIF(94:94,G29,95:95)-SUMIF(94:94,C29,95:95)+100</f>
        <v>100</v>
      </c>
      <c r="I29" s="392"/>
      <c r="J29" s="393">
        <f>SUMIF(94:94,I29,95:95)-SUMIF(94:94,C29,95:95)+100</f>
        <v>100</v>
      </c>
      <c r="K29" s="2079"/>
      <c r="L29" s="2948"/>
      <c r="M29" s="2942"/>
      <c r="N29" s="2942"/>
      <c r="O29" s="2942"/>
      <c r="P29" s="3341"/>
      <c r="Q29" s="1535">
        <f t="shared" si="11"/>
        <v>111</v>
      </c>
      <c r="R29" s="713" t="s">
        <v>21</v>
      </c>
      <c r="S29" s="714">
        <f t="shared" si="12"/>
        <v>100</v>
      </c>
      <c r="T29" s="713" t="s">
        <v>21</v>
      </c>
      <c r="U29" s="714">
        <f t="shared" si="13"/>
        <v>100</v>
      </c>
      <c r="V29" s="713" t="s">
        <v>21</v>
      </c>
      <c r="W29" s="714">
        <f t="shared" si="14"/>
        <v>100</v>
      </c>
      <c r="X29" s="1538"/>
      <c r="Y29" s="3301"/>
      <c r="Z29" s="1539">
        <f t="shared" si="18"/>
        <v>111</v>
      </c>
      <c r="AA29" s="1536">
        <f t="shared" si="15"/>
        <v>1</v>
      </c>
      <c r="AB29" s="1536">
        <f t="shared" si="16"/>
        <v>1</v>
      </c>
      <c r="AC29" s="1536">
        <f t="shared" si="17"/>
        <v>1</v>
      </c>
    </row>
    <row r="30" spans="1:29" ht="15" hidden="1">
      <c r="A30" s="386"/>
      <c r="B30" s="1294">
        <v>111</v>
      </c>
      <c r="C30" s="392"/>
      <c r="D30" s="393">
        <v>100</v>
      </c>
      <c r="E30" s="392"/>
      <c r="F30" s="393">
        <f>SUMIF(96:96,E30,97:97)-SUMIF(96:96,C30,97:97)+100</f>
        <v>100</v>
      </c>
      <c r="G30" s="2093"/>
      <c r="H30" s="393">
        <f>SUMIF(96:96,G30,97:97)-SUMIF(96:96,C30,97:97)+100</f>
        <v>100</v>
      </c>
      <c r="I30" s="392"/>
      <c r="J30" s="393">
        <f>SUMIF(96:96,I30,97:97)-SUMIF(96:96,C30,97:97)+100</f>
        <v>100</v>
      </c>
      <c r="K30" s="2079"/>
      <c r="L30" s="2948"/>
      <c r="M30" s="2942"/>
      <c r="N30" s="2942"/>
      <c r="O30" s="2942"/>
      <c r="P30" s="3341"/>
      <c r="Q30" s="1535">
        <f t="shared" si="11"/>
        <v>111</v>
      </c>
      <c r="R30" s="713" t="s">
        <v>21</v>
      </c>
      <c r="S30" s="714">
        <f t="shared" si="12"/>
        <v>100</v>
      </c>
      <c r="T30" s="713" t="s">
        <v>21</v>
      </c>
      <c r="U30" s="714">
        <f t="shared" si="13"/>
        <v>100</v>
      </c>
      <c r="V30" s="713" t="s">
        <v>21</v>
      </c>
      <c r="W30" s="714">
        <f t="shared" si="14"/>
        <v>100</v>
      </c>
      <c r="X30" s="1538"/>
      <c r="Y30" s="3301"/>
      <c r="Z30" s="1539">
        <f t="shared" si="18"/>
        <v>111</v>
      </c>
      <c r="AA30" s="1536">
        <f t="shared" si="15"/>
        <v>1</v>
      </c>
      <c r="AB30" s="1536">
        <f t="shared" si="16"/>
        <v>1</v>
      </c>
      <c r="AC30" s="1536">
        <f t="shared" si="17"/>
        <v>1</v>
      </c>
    </row>
    <row r="31" spans="1:29" ht="15.75" hidden="1" thickBot="1">
      <c r="A31" s="394"/>
      <c r="B31" s="1294">
        <v>111</v>
      </c>
      <c r="C31" s="395"/>
      <c r="D31" s="396">
        <v>100</v>
      </c>
      <c r="E31" s="395"/>
      <c r="F31" s="396">
        <f>SUMIF(98:98,E31,99:99)-SUMIF(98:98,C31,99:99)+100</f>
        <v>100</v>
      </c>
      <c r="G31" s="2094"/>
      <c r="H31" s="396">
        <f>SUMIF(98:98,G31,99:99)-SUMIF(98:98,C31,99:99)+100</f>
        <v>100</v>
      </c>
      <c r="I31" s="395"/>
      <c r="J31" s="396">
        <f>SUMIF(98:98,I31,99:99)-SUMIF(98:98,C31,99:99)+100</f>
        <v>100</v>
      </c>
      <c r="K31" s="2079"/>
      <c r="L31" s="2948"/>
      <c r="M31" s="2942"/>
      <c r="N31" s="2942"/>
      <c r="O31" s="2942"/>
      <c r="P31" s="3341"/>
      <c r="Q31" s="1535">
        <f t="shared" si="11"/>
        <v>111</v>
      </c>
      <c r="R31" s="713" t="s">
        <v>21</v>
      </c>
      <c r="S31" s="714">
        <f t="shared" si="12"/>
        <v>100</v>
      </c>
      <c r="T31" s="713" t="s">
        <v>21</v>
      </c>
      <c r="U31" s="714">
        <f t="shared" si="13"/>
        <v>100</v>
      </c>
      <c r="V31" s="713" t="s">
        <v>21</v>
      </c>
      <c r="W31" s="714">
        <f t="shared" si="14"/>
        <v>100</v>
      </c>
      <c r="X31" s="1538"/>
      <c r="Y31" s="3301"/>
      <c r="Z31" s="1539">
        <f t="shared" si="18"/>
        <v>111</v>
      </c>
      <c r="AA31" s="1536">
        <f t="shared" si="15"/>
        <v>1</v>
      </c>
      <c r="AB31" s="1536">
        <f t="shared" si="16"/>
        <v>1</v>
      </c>
      <c r="AC31" s="1536">
        <f t="shared" si="17"/>
        <v>1</v>
      </c>
    </row>
    <row r="32" spans="1:29" ht="15">
      <c r="A32" s="398" t="s">
        <v>2382</v>
      </c>
      <c r="B32" s="66" t="s">
        <v>2383</v>
      </c>
      <c r="C32" s="2095" t="s">
        <v>3055</v>
      </c>
      <c r="D32" s="425">
        <v>100</v>
      </c>
      <c r="E32" s="2095" t="s">
        <v>3055</v>
      </c>
      <c r="F32" s="419">
        <f>SUMIF(100:100,E32,101:101)-SUMIF(100:100,C32,101:101)+100</f>
        <v>100</v>
      </c>
      <c r="G32" s="2095" t="s">
        <v>3055</v>
      </c>
      <c r="H32" s="425">
        <f>SUMIF(100:100,G32,101:101)-SUMIF(100:100,C32,101:101)+100</f>
        <v>100</v>
      </c>
      <c r="I32" s="2095" t="s">
        <v>3055</v>
      </c>
      <c r="J32" s="393">
        <f>SUMIF(100:100,I32,101:101)-SUMIF(100:100,C32,101:101)+100</f>
        <v>100</v>
      </c>
      <c r="K32" s="384">
        <v>5</v>
      </c>
      <c r="L32" s="2948"/>
      <c r="M32" s="2942"/>
      <c r="N32" s="2942"/>
      <c r="O32" s="2942"/>
      <c r="P32" s="3336" t="s">
        <v>2384</v>
      </c>
      <c r="Q32" s="1535" t="str">
        <f t="shared" si="11"/>
        <v>建筑类型</v>
      </c>
      <c r="R32" s="713" t="s">
        <v>21</v>
      </c>
      <c r="S32" s="714">
        <f t="shared" si="12"/>
        <v>100</v>
      </c>
      <c r="T32" s="713" t="s">
        <v>21</v>
      </c>
      <c r="U32" s="714">
        <f t="shared" si="13"/>
        <v>100</v>
      </c>
      <c r="V32" s="713" t="s">
        <v>21</v>
      </c>
      <c r="W32" s="714">
        <f t="shared" si="14"/>
        <v>100</v>
      </c>
      <c r="X32" s="1538"/>
      <c r="Y32" s="3303" t="s">
        <v>2384</v>
      </c>
      <c r="Z32" s="1539" t="str">
        <f t="shared" si="18"/>
        <v>建筑类型</v>
      </c>
      <c r="AA32" s="1536">
        <f t="shared" si="15"/>
        <v>1</v>
      </c>
      <c r="AB32" s="1536">
        <f t="shared" si="16"/>
        <v>1</v>
      </c>
      <c r="AC32" s="1536">
        <f t="shared" si="17"/>
        <v>1</v>
      </c>
    </row>
    <row r="33" spans="1:29" s="429" customFormat="1" ht="15">
      <c r="A33" s="426"/>
      <c r="B33" s="380" t="s">
        <v>2385</v>
      </c>
      <c r="C33" s="427">
        <f>'数据-基础表'!B3</f>
        <v>185712.45999999982</v>
      </c>
      <c r="D33" s="131">
        <v>100</v>
      </c>
      <c r="E33" s="427">
        <v>190580</v>
      </c>
      <c r="F33" s="383">
        <f>LOOKUP(E33,103:103,104:104)-LOOKUP(C33,103:103,104:104)+100</f>
        <v>100</v>
      </c>
      <c r="G33" s="427">
        <v>60200</v>
      </c>
      <c r="H33" s="131">
        <f>LOOKUP(G33,103:103,104:104)-LOOKUP(C33,103:103,104:104)+100</f>
        <v>98</v>
      </c>
      <c r="I33" s="427">
        <v>76000</v>
      </c>
      <c r="J33" s="131">
        <f>LOOKUP(I33,103:103,104:104)-LOOKUP(C33,103:103,104:104)+100</f>
        <v>98</v>
      </c>
      <c r="K33" s="2079"/>
      <c r="L33" s="2947"/>
      <c r="M33" s="2949"/>
      <c r="N33" s="2949"/>
      <c r="O33" s="2949"/>
      <c r="P33" s="3337"/>
      <c r="Q33" s="715" t="str">
        <f t="shared" si="11"/>
        <v>项目建筑规模</v>
      </c>
      <c r="R33" s="716" t="s">
        <v>21</v>
      </c>
      <c r="S33" s="717">
        <f t="shared" si="12"/>
        <v>100</v>
      </c>
      <c r="T33" s="716" t="s">
        <v>21</v>
      </c>
      <c r="U33" s="717">
        <f t="shared" si="13"/>
        <v>98</v>
      </c>
      <c r="V33" s="716" t="s">
        <v>21</v>
      </c>
      <c r="W33" s="717">
        <f t="shared" si="14"/>
        <v>98</v>
      </c>
      <c r="X33" s="718"/>
      <c r="Y33" s="3303"/>
      <c r="Z33" s="719" t="str">
        <f t="shared" si="18"/>
        <v>项目建筑规模</v>
      </c>
      <c r="AA33" s="1536">
        <f t="shared" si="15"/>
        <v>1</v>
      </c>
      <c r="AB33" s="1536">
        <f t="shared" si="16"/>
        <v>1.0204081632653061</v>
      </c>
      <c r="AC33" s="1536">
        <f t="shared" si="17"/>
        <v>1.0204081632653061</v>
      </c>
    </row>
    <row r="34" spans="1:29" ht="15">
      <c r="A34" s="430"/>
      <c r="B34" s="380" t="s">
        <v>2386</v>
      </c>
      <c r="C34" s="2096" t="s">
        <v>4695</v>
      </c>
      <c r="D34" s="393">
        <v>100</v>
      </c>
      <c r="E34" s="2096" t="s">
        <v>4695</v>
      </c>
      <c r="F34" s="419">
        <f>SUMIF(105:105,E34,106:106)-SUMIF(105:105,C34,106:106)+100</f>
        <v>100</v>
      </c>
      <c r="G34" s="2096" t="s">
        <v>4695</v>
      </c>
      <c r="H34" s="393">
        <f>SUMIF(105:105,G34,106:106)-SUMIF(105:105,C34,106:106)+100</f>
        <v>100</v>
      </c>
      <c r="I34" s="2096" t="s">
        <v>4695</v>
      </c>
      <c r="J34" s="393">
        <f>SUMIF(105:105,I34,106:106)-SUMIF(105:105,C34,106:106)+100</f>
        <v>100</v>
      </c>
      <c r="K34" s="384">
        <v>1</v>
      </c>
      <c r="L34" s="2948"/>
      <c r="M34" s="2942"/>
      <c r="N34" s="2942"/>
      <c r="O34" s="2942"/>
      <c r="P34" s="3337"/>
      <c r="Q34" s="1535" t="str">
        <f t="shared" si="11"/>
        <v>建筑结构</v>
      </c>
      <c r="R34" s="713" t="s">
        <v>21</v>
      </c>
      <c r="S34" s="714">
        <f t="shared" si="12"/>
        <v>100</v>
      </c>
      <c r="T34" s="713" t="s">
        <v>21</v>
      </c>
      <c r="U34" s="714">
        <f t="shared" si="13"/>
        <v>100</v>
      </c>
      <c r="V34" s="713" t="s">
        <v>21</v>
      </c>
      <c r="W34" s="714">
        <f t="shared" si="14"/>
        <v>100</v>
      </c>
      <c r="X34" s="1538"/>
      <c r="Y34" s="3303"/>
      <c r="Z34" s="1539" t="str">
        <f t="shared" si="18"/>
        <v>建筑结构</v>
      </c>
      <c r="AA34" s="1536">
        <f t="shared" si="15"/>
        <v>1</v>
      </c>
      <c r="AB34" s="1536">
        <f t="shared" si="16"/>
        <v>1</v>
      </c>
      <c r="AC34" s="1536">
        <f t="shared" si="17"/>
        <v>1</v>
      </c>
    </row>
    <row r="35" spans="1:29" ht="15">
      <c r="A35" s="430"/>
      <c r="B35" s="380" t="s">
        <v>2387</v>
      </c>
      <c r="C35" s="2091" t="s">
        <v>4697</v>
      </c>
      <c r="D35" s="393">
        <v>100</v>
      </c>
      <c r="E35" s="2091" t="s">
        <v>4697</v>
      </c>
      <c r="F35" s="419">
        <f>SUMIF(107:107,E35,108:108)-SUMIF(107:107,C35,108:108)+100</f>
        <v>100</v>
      </c>
      <c r="G35" s="2091" t="s">
        <v>4697</v>
      </c>
      <c r="H35" s="393">
        <f>SUMIF(107:107,G35,108:108)-SUMIF(107:107,C35,108:108)+100</f>
        <v>100</v>
      </c>
      <c r="I35" s="2091" t="s">
        <v>4697</v>
      </c>
      <c r="J35" s="393">
        <f>SUMIF(107:107,I35,108:108)-SUMIF(107:107,C35,108:108)+100</f>
        <v>100</v>
      </c>
      <c r="K35" s="384">
        <v>1</v>
      </c>
      <c r="L35" s="2948"/>
      <c r="M35" s="2942"/>
      <c r="N35" s="2942"/>
      <c r="O35" s="2942"/>
      <c r="P35" s="3337"/>
      <c r="Q35" s="1535" t="str">
        <f t="shared" si="11"/>
        <v>建筑品质</v>
      </c>
      <c r="R35" s="713" t="s">
        <v>21</v>
      </c>
      <c r="S35" s="714">
        <f t="shared" si="12"/>
        <v>100</v>
      </c>
      <c r="T35" s="713" t="s">
        <v>21</v>
      </c>
      <c r="U35" s="714">
        <f t="shared" si="13"/>
        <v>100</v>
      </c>
      <c r="V35" s="713" t="s">
        <v>21</v>
      </c>
      <c r="W35" s="714">
        <f t="shared" si="14"/>
        <v>100</v>
      </c>
      <c r="X35" s="1538"/>
      <c r="Y35" s="3303"/>
      <c r="Z35" s="1539" t="str">
        <f t="shared" si="18"/>
        <v>建筑品质</v>
      </c>
      <c r="AA35" s="1536">
        <f t="shared" si="15"/>
        <v>1</v>
      </c>
      <c r="AB35" s="1536">
        <f t="shared" si="16"/>
        <v>1</v>
      </c>
      <c r="AC35" s="1536">
        <f t="shared" si="17"/>
        <v>1</v>
      </c>
    </row>
    <row r="36" spans="1:29" ht="15">
      <c r="A36" s="430"/>
      <c r="B36" s="380" t="s">
        <v>2388</v>
      </c>
      <c r="C36" s="2091" t="s">
        <v>4699</v>
      </c>
      <c r="D36" s="393">
        <v>100</v>
      </c>
      <c r="E36" s="2091" t="s">
        <v>4699</v>
      </c>
      <c r="F36" s="419">
        <f>SUMIF(109:109,E36,110:110)-SUMIF(109:109,C36,110:110)+100</f>
        <v>100</v>
      </c>
      <c r="G36" s="2091" t="s">
        <v>4699</v>
      </c>
      <c r="H36" s="393">
        <f>SUMIF(109:109,G36,110:110)-SUMIF(109:109,C36,110:110)+100</f>
        <v>100</v>
      </c>
      <c r="I36" s="2091" t="s">
        <v>4699</v>
      </c>
      <c r="J36" s="393">
        <f>SUMIF(109:109,I36,110:110)-SUMIF(109:109,C36,110:110)+100</f>
        <v>100</v>
      </c>
      <c r="K36" s="384">
        <v>1</v>
      </c>
      <c r="L36" s="2948"/>
      <c r="M36" s="2942"/>
      <c r="N36" s="2942"/>
      <c r="O36" s="2942"/>
      <c r="P36" s="3337"/>
      <c r="Q36" s="1535" t="str">
        <f t="shared" si="11"/>
        <v>公共部分装修</v>
      </c>
      <c r="R36" s="713" t="s">
        <v>21</v>
      </c>
      <c r="S36" s="714">
        <f t="shared" si="12"/>
        <v>100</v>
      </c>
      <c r="T36" s="713" t="s">
        <v>21</v>
      </c>
      <c r="U36" s="714">
        <f t="shared" si="13"/>
        <v>100</v>
      </c>
      <c r="V36" s="713" t="s">
        <v>21</v>
      </c>
      <c r="W36" s="714">
        <f t="shared" si="14"/>
        <v>100</v>
      </c>
      <c r="X36" s="1538"/>
      <c r="Y36" s="3303"/>
      <c r="Z36" s="1539" t="str">
        <f t="shared" si="18"/>
        <v>公共部分装修</v>
      </c>
      <c r="AA36" s="1536">
        <f t="shared" si="15"/>
        <v>1</v>
      </c>
      <c r="AB36" s="1536">
        <f t="shared" si="16"/>
        <v>1</v>
      </c>
      <c r="AC36" s="1536">
        <f t="shared" si="17"/>
        <v>1</v>
      </c>
    </row>
    <row r="37" spans="1:29" s="112" customFormat="1" ht="15">
      <c r="A37" s="431"/>
      <c r="B37" s="380" t="s">
        <v>2389</v>
      </c>
      <c r="C37" s="432">
        <v>1</v>
      </c>
      <c r="D37" s="131">
        <v>100</v>
      </c>
      <c r="E37" s="432">
        <v>1</v>
      </c>
      <c r="F37" s="383">
        <f>LOOKUP(E37,112:112,113:113)-LOOKUP(C37,112:112,113:113)+100</f>
        <v>100</v>
      </c>
      <c r="G37" s="432">
        <v>1</v>
      </c>
      <c r="H37" s="131">
        <f>LOOKUP(G37,112:112,113:113)-LOOKUP(C37,112:112,113:113)+100</f>
        <v>100</v>
      </c>
      <c r="I37" s="432">
        <v>1</v>
      </c>
      <c r="J37" s="131">
        <f>LOOKUP(I37,112:112,113:113)-LOOKUP(C37,112:112,113:113)+100</f>
        <v>100</v>
      </c>
      <c r="K37" s="384">
        <v>1</v>
      </c>
      <c r="L37" s="2943"/>
      <c r="M37" s="2944"/>
      <c r="N37" s="2944"/>
      <c r="O37" s="2944"/>
      <c r="P37" s="3337"/>
      <c r="Q37" s="1526" t="str">
        <f t="shared" si="11"/>
        <v>成新度</v>
      </c>
      <c r="R37" s="709" t="s">
        <v>21</v>
      </c>
      <c r="S37" s="710">
        <f t="shared" si="12"/>
        <v>100</v>
      </c>
      <c r="T37" s="709" t="s">
        <v>21</v>
      </c>
      <c r="U37" s="710">
        <f t="shared" si="13"/>
        <v>100</v>
      </c>
      <c r="V37" s="709" t="s">
        <v>21</v>
      </c>
      <c r="W37" s="710">
        <f t="shared" si="14"/>
        <v>100</v>
      </c>
      <c r="X37" s="711"/>
      <c r="Y37" s="3303"/>
      <c r="Z37" s="55" t="str">
        <f t="shared" si="18"/>
        <v>成新度</v>
      </c>
      <c r="AA37" s="712">
        <f t="shared" si="15"/>
        <v>1</v>
      </c>
      <c r="AB37" s="712">
        <f t="shared" si="16"/>
        <v>1</v>
      </c>
      <c r="AC37" s="712">
        <f t="shared" si="17"/>
        <v>1</v>
      </c>
    </row>
    <row r="38" spans="1:29" ht="15">
      <c r="A38" s="430"/>
      <c r="B38" s="380" t="s">
        <v>2390</v>
      </c>
      <c r="C38" s="2091" t="s">
        <v>4701</v>
      </c>
      <c r="D38" s="393">
        <v>100</v>
      </c>
      <c r="E38" s="2091" t="s">
        <v>4701</v>
      </c>
      <c r="F38" s="419">
        <f>SUMIF(114:114,E38,115:115)-SUMIF(114:114,C38,115:115)+100</f>
        <v>100</v>
      </c>
      <c r="G38" s="2091" t="s">
        <v>4701</v>
      </c>
      <c r="H38" s="393">
        <f>SUMIF(114:114,G38,115:115)-SUMIF(114:114,C38,115:115)+100</f>
        <v>100</v>
      </c>
      <c r="I38" s="2091" t="s">
        <v>4701</v>
      </c>
      <c r="J38" s="393">
        <f>SUMIF(114:114,I38,115:115)-SUMIF(114:114,C38,115:115)+100</f>
        <v>100</v>
      </c>
      <c r="K38" s="384">
        <v>1</v>
      </c>
      <c r="L38" s="2948"/>
      <c r="M38" s="2942"/>
      <c r="N38" s="2942"/>
      <c r="O38" s="2942"/>
      <c r="P38" s="3337" t="s">
        <v>2384</v>
      </c>
      <c r="Q38" s="1535" t="str">
        <f t="shared" si="11"/>
        <v>物业管理</v>
      </c>
      <c r="R38" s="713" t="s">
        <v>21</v>
      </c>
      <c r="S38" s="714">
        <f t="shared" si="12"/>
        <v>100</v>
      </c>
      <c r="T38" s="713" t="s">
        <v>21</v>
      </c>
      <c r="U38" s="714">
        <f t="shared" si="13"/>
        <v>100</v>
      </c>
      <c r="V38" s="713" t="s">
        <v>21</v>
      </c>
      <c r="W38" s="714">
        <f t="shared" si="14"/>
        <v>100</v>
      </c>
      <c r="X38" s="1538"/>
      <c r="Y38" s="3303" t="s">
        <v>2384</v>
      </c>
      <c r="Z38" s="1539" t="str">
        <f t="shared" si="18"/>
        <v>物业管理</v>
      </c>
      <c r="AA38" s="1536">
        <f t="shared" si="15"/>
        <v>1</v>
      </c>
      <c r="AB38" s="1536">
        <f t="shared" si="16"/>
        <v>1</v>
      </c>
      <c r="AC38" s="1536">
        <f t="shared" si="17"/>
        <v>1</v>
      </c>
    </row>
    <row r="39" spans="1:29" ht="15">
      <c r="A39" s="430"/>
      <c r="B39" s="380" t="s">
        <v>2391</v>
      </c>
      <c r="C39" s="2091" t="s">
        <v>4693</v>
      </c>
      <c r="D39" s="393">
        <v>100</v>
      </c>
      <c r="E39" s="2091" t="s">
        <v>4693</v>
      </c>
      <c r="F39" s="419">
        <f>SUMIF(116:116,E39,117:117)-SUMIF(116:116,C39,117:117)+100</f>
        <v>100</v>
      </c>
      <c r="G39" s="2091" t="s">
        <v>4693</v>
      </c>
      <c r="H39" s="393">
        <f>SUMIF(116:116,G39,117:117)-SUMIF(116:116,C39,117:117)+100</f>
        <v>100</v>
      </c>
      <c r="I39" s="2091" t="s">
        <v>4693</v>
      </c>
      <c r="J39" s="393">
        <f>SUMIF(116:116,I39,117:117)-SUMIF(116:116,C39,117:117)+100</f>
        <v>100</v>
      </c>
      <c r="K39" s="384">
        <v>1</v>
      </c>
      <c r="L39" s="2948"/>
      <c r="M39" s="2942"/>
      <c r="N39" s="2942"/>
      <c r="O39" s="2942"/>
      <c r="P39" s="3337"/>
      <c r="Q39" s="1535" t="str">
        <f t="shared" si="11"/>
        <v>市政基础设施</v>
      </c>
      <c r="R39" s="713" t="s">
        <v>21</v>
      </c>
      <c r="S39" s="714">
        <f t="shared" si="12"/>
        <v>100</v>
      </c>
      <c r="T39" s="713" t="s">
        <v>21</v>
      </c>
      <c r="U39" s="714">
        <f t="shared" si="13"/>
        <v>100</v>
      </c>
      <c r="V39" s="713" t="s">
        <v>21</v>
      </c>
      <c r="W39" s="714">
        <f t="shared" si="14"/>
        <v>100</v>
      </c>
      <c r="X39" s="1538"/>
      <c r="Y39" s="3303"/>
      <c r="Z39" s="1539" t="str">
        <f t="shared" si="18"/>
        <v>市政基础设施</v>
      </c>
      <c r="AA39" s="1536">
        <f t="shared" si="15"/>
        <v>1</v>
      </c>
      <c r="AB39" s="1536">
        <f t="shared" si="16"/>
        <v>1</v>
      </c>
      <c r="AC39" s="1536">
        <f t="shared" si="17"/>
        <v>1</v>
      </c>
    </row>
    <row r="40" spans="1:29" ht="15">
      <c r="A40" s="430"/>
      <c r="B40" s="380" t="s">
        <v>2392</v>
      </c>
      <c r="C40" s="2091" t="s">
        <v>4704</v>
      </c>
      <c r="D40" s="393">
        <v>100</v>
      </c>
      <c r="E40" s="2091" t="s">
        <v>4704</v>
      </c>
      <c r="F40" s="419">
        <f>SUMIF(118:118,E40,119:119)-SUMIF(118:118,C40,119:119)+100</f>
        <v>100</v>
      </c>
      <c r="G40" s="2091" t="s">
        <v>4704</v>
      </c>
      <c r="H40" s="393">
        <f>SUMIF(118:118,G40,119:119)-SUMIF(118:118,C40,119:119)+100</f>
        <v>100</v>
      </c>
      <c r="I40" s="2091" t="s">
        <v>4704</v>
      </c>
      <c r="J40" s="393">
        <f>SUMIF(118:118,I40,119:119)-SUMIF(118:118,C40,119:119)+100</f>
        <v>100</v>
      </c>
      <c r="K40" s="384">
        <v>1</v>
      </c>
      <c r="L40" s="2948"/>
      <c r="M40" s="2942"/>
      <c r="N40" s="2942"/>
      <c r="O40" s="2942"/>
      <c r="P40" s="3337"/>
      <c r="Q40" s="1535" t="str">
        <f t="shared" si="11"/>
        <v>房型</v>
      </c>
      <c r="R40" s="713" t="s">
        <v>21</v>
      </c>
      <c r="S40" s="714">
        <f t="shared" si="12"/>
        <v>100</v>
      </c>
      <c r="T40" s="713" t="s">
        <v>21</v>
      </c>
      <c r="U40" s="714">
        <f t="shared" si="13"/>
        <v>100</v>
      </c>
      <c r="V40" s="713" t="s">
        <v>21</v>
      </c>
      <c r="W40" s="714">
        <f t="shared" si="14"/>
        <v>100</v>
      </c>
      <c r="X40" s="1538"/>
      <c r="Y40" s="3303"/>
      <c r="Z40" s="1539" t="str">
        <f t="shared" si="18"/>
        <v>房型</v>
      </c>
      <c r="AA40" s="1536">
        <f t="shared" si="15"/>
        <v>1</v>
      </c>
      <c r="AB40" s="1536">
        <f t="shared" si="16"/>
        <v>1</v>
      </c>
      <c r="AC40" s="1536">
        <f t="shared" si="17"/>
        <v>1</v>
      </c>
    </row>
    <row r="41" spans="1:29" s="429" customFormat="1" ht="28.5">
      <c r="A41" s="426"/>
      <c r="B41" s="380" t="s">
        <v>2393</v>
      </c>
      <c r="C41" s="427" t="str">
        <f>C120</f>
        <v>84-148</v>
      </c>
      <c r="D41" s="131">
        <v>100</v>
      </c>
      <c r="E41" s="427" t="s">
        <v>4711</v>
      </c>
      <c r="F41" s="383">
        <f>SUMIF(120:120,E41,121:121)-SUMIF(120:120,C41,121:121)+100</f>
        <v>99</v>
      </c>
      <c r="G41" s="427" t="s">
        <v>4712</v>
      </c>
      <c r="H41" s="131">
        <f>SUMIF(120:120,G41,121:121)-SUMIF(120:120,C41,121:121)+100</f>
        <v>98</v>
      </c>
      <c r="I41" s="427" t="s">
        <v>4713</v>
      </c>
      <c r="J41" s="393">
        <f>SUMIF(120:120,I41,121:121)-SUMIF(120:120,C41,121:121)+100</f>
        <v>98</v>
      </c>
      <c r="K41" s="2079"/>
      <c r="L41" s="2947"/>
      <c r="M41" s="2949"/>
      <c r="N41" s="2949"/>
      <c r="O41" s="2949"/>
      <c r="P41" s="3337"/>
      <c r="Q41" s="715" t="str">
        <f t="shared" si="11"/>
        <v>单套/主力户型建筑面积</v>
      </c>
      <c r="R41" s="716" t="s">
        <v>21</v>
      </c>
      <c r="S41" s="717">
        <f t="shared" si="12"/>
        <v>99</v>
      </c>
      <c r="T41" s="716" t="s">
        <v>21</v>
      </c>
      <c r="U41" s="717">
        <f t="shared" si="13"/>
        <v>98</v>
      </c>
      <c r="V41" s="716" t="s">
        <v>21</v>
      </c>
      <c r="W41" s="717">
        <f t="shared" si="14"/>
        <v>98</v>
      </c>
      <c r="X41" s="718"/>
      <c r="Y41" s="3303"/>
      <c r="Z41" s="719" t="str">
        <f t="shared" si="18"/>
        <v>单套/主力户型建筑面积</v>
      </c>
      <c r="AA41" s="1536">
        <f t="shared" si="15"/>
        <v>1.0101010101010102</v>
      </c>
      <c r="AB41" s="1536">
        <f t="shared" si="16"/>
        <v>1.0204081632653061</v>
      </c>
      <c r="AC41" s="1536">
        <f t="shared" si="17"/>
        <v>1.0204081632653061</v>
      </c>
    </row>
    <row r="42" spans="1:29" ht="15">
      <c r="A42" s="430"/>
      <c r="B42" s="380" t="s">
        <v>2394</v>
      </c>
      <c r="C42" s="2091" t="s">
        <v>4706</v>
      </c>
      <c r="D42" s="393">
        <v>100</v>
      </c>
      <c r="E42" s="2091" t="s">
        <v>4706</v>
      </c>
      <c r="F42" s="419">
        <f>SUMIF(122:122,E42,123:123)-SUMIF(122:122,C42,123:123)+100</f>
        <v>100</v>
      </c>
      <c r="G42" s="2091" t="s">
        <v>4706</v>
      </c>
      <c r="H42" s="393">
        <f>SUMIF(122:122,G42,123:123)-SUMIF(122:122,C42,123:123)+100</f>
        <v>100</v>
      </c>
      <c r="I42" s="2091" t="s">
        <v>4718</v>
      </c>
      <c r="J42" s="393">
        <f>SUMIF(122:122,I42,123:123)-SUMIF(122:122,C42,123:123)+100</f>
        <v>91</v>
      </c>
      <c r="K42" s="384">
        <v>3</v>
      </c>
      <c r="L42" s="2948"/>
      <c r="M42" s="2942"/>
      <c r="N42" s="2942"/>
      <c r="O42" s="2942"/>
      <c r="P42" s="3337"/>
      <c r="Q42" s="1535" t="str">
        <f t="shared" si="11"/>
        <v>内部装修</v>
      </c>
      <c r="R42" s="713" t="s">
        <v>21</v>
      </c>
      <c r="S42" s="714">
        <f t="shared" si="12"/>
        <v>100</v>
      </c>
      <c r="T42" s="713" t="s">
        <v>21</v>
      </c>
      <c r="U42" s="714">
        <f t="shared" si="13"/>
        <v>100</v>
      </c>
      <c r="V42" s="713" t="s">
        <v>21</v>
      </c>
      <c r="W42" s="714">
        <f t="shared" si="14"/>
        <v>91</v>
      </c>
      <c r="X42" s="1538"/>
      <c r="Y42" s="3303"/>
      <c r="Z42" s="1539" t="str">
        <f t="shared" si="18"/>
        <v>内部装修</v>
      </c>
      <c r="AA42" s="1536">
        <f t="shared" si="15"/>
        <v>1</v>
      </c>
      <c r="AB42" s="1536">
        <f t="shared" si="16"/>
        <v>1</v>
      </c>
      <c r="AC42" s="1536">
        <f t="shared" si="17"/>
        <v>1.098901098901099</v>
      </c>
    </row>
    <row r="43" spans="1:29" ht="15.75" thickBot="1">
      <c r="A43" s="430"/>
      <c r="B43" s="380" t="s">
        <v>2395</v>
      </c>
      <c r="C43" s="2091" t="s">
        <v>4692</v>
      </c>
      <c r="D43" s="393">
        <v>100</v>
      </c>
      <c r="E43" s="2091" t="s">
        <v>4692</v>
      </c>
      <c r="F43" s="419">
        <f>SUMIF(124:124,E43,125:125)-SUMIF(124:124,C43,125:125)+100</f>
        <v>100</v>
      </c>
      <c r="G43" s="2091" t="s">
        <v>4692</v>
      </c>
      <c r="H43" s="393">
        <f>SUMIF(124:124,G43,125:125)-SUMIF(124:124,C43,125:125)+100</f>
        <v>100</v>
      </c>
      <c r="I43" s="2091" t="s">
        <v>4692</v>
      </c>
      <c r="J43" s="393">
        <f>SUMIF(124:124,I43,125:125)-SUMIF(124:124,C43,125:125)+100</f>
        <v>100</v>
      </c>
      <c r="K43" s="384">
        <v>1</v>
      </c>
      <c r="L43" s="2948"/>
      <c r="M43" s="2942"/>
      <c r="N43" s="2942"/>
      <c r="O43" s="2942"/>
      <c r="P43" s="3337"/>
      <c r="Q43" s="1535" t="str">
        <f t="shared" si="11"/>
        <v>内部装修维护情况</v>
      </c>
      <c r="R43" s="713" t="s">
        <v>21</v>
      </c>
      <c r="S43" s="714">
        <f t="shared" si="12"/>
        <v>100</v>
      </c>
      <c r="T43" s="713" t="s">
        <v>21</v>
      </c>
      <c r="U43" s="714">
        <f t="shared" si="13"/>
        <v>100</v>
      </c>
      <c r="V43" s="713" t="s">
        <v>21</v>
      </c>
      <c r="W43" s="714">
        <f t="shared" si="14"/>
        <v>100</v>
      </c>
      <c r="X43" s="1538"/>
      <c r="Y43" s="3303"/>
      <c r="Z43" s="1539" t="str">
        <f t="shared" si="18"/>
        <v>内部装修维护情况</v>
      </c>
      <c r="AA43" s="1536">
        <f t="shared" si="15"/>
        <v>1</v>
      </c>
      <c r="AB43" s="1536">
        <f t="shared" si="16"/>
        <v>1</v>
      </c>
      <c r="AC43" s="1536">
        <f t="shared" si="17"/>
        <v>1</v>
      </c>
    </row>
    <row r="44" spans="1:29" s="112" customFormat="1" ht="15" hidden="1">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9"/>
      <c r="L44" s="2943"/>
      <c r="M44" s="2944"/>
      <c r="N44" s="2944"/>
      <c r="O44" s="2944"/>
      <c r="P44" s="3337"/>
      <c r="Q44" s="1526">
        <f t="shared" si="11"/>
        <v>111</v>
      </c>
      <c r="R44" s="709" t="s">
        <v>21</v>
      </c>
      <c r="S44" s="710">
        <f t="shared" si="12"/>
        <v>100</v>
      </c>
      <c r="T44" s="709" t="s">
        <v>21</v>
      </c>
      <c r="U44" s="710">
        <f t="shared" si="13"/>
        <v>100</v>
      </c>
      <c r="V44" s="709" t="s">
        <v>21</v>
      </c>
      <c r="W44" s="710">
        <f t="shared" si="14"/>
        <v>100</v>
      </c>
      <c r="X44" s="711"/>
      <c r="Y44" s="3303"/>
      <c r="Z44" s="55">
        <f t="shared" si="18"/>
        <v>111</v>
      </c>
      <c r="AA44" s="712">
        <f t="shared" si="15"/>
        <v>1</v>
      </c>
      <c r="AB44" s="712">
        <f t="shared" si="16"/>
        <v>1</v>
      </c>
      <c r="AC44" s="712">
        <f t="shared" si="17"/>
        <v>1</v>
      </c>
    </row>
    <row r="45" spans="1:29" ht="15" hidden="1">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9"/>
      <c r="L45" s="2948"/>
      <c r="M45" s="2942"/>
      <c r="N45" s="2942"/>
      <c r="O45" s="2942"/>
      <c r="P45" s="3337"/>
      <c r="Q45" s="1535">
        <f t="shared" si="11"/>
        <v>111</v>
      </c>
      <c r="R45" s="713" t="s">
        <v>21</v>
      </c>
      <c r="S45" s="714">
        <f t="shared" si="12"/>
        <v>100</v>
      </c>
      <c r="T45" s="713" t="s">
        <v>21</v>
      </c>
      <c r="U45" s="714">
        <f t="shared" si="13"/>
        <v>100</v>
      </c>
      <c r="V45" s="713" t="s">
        <v>21</v>
      </c>
      <c r="W45" s="714">
        <f t="shared" si="14"/>
        <v>100</v>
      </c>
      <c r="X45" s="1538"/>
      <c r="Y45" s="3303"/>
      <c r="Z45" s="1539">
        <f t="shared" si="18"/>
        <v>111</v>
      </c>
      <c r="AA45" s="1536">
        <f t="shared" si="15"/>
        <v>1</v>
      </c>
      <c r="AB45" s="1536">
        <f t="shared" si="16"/>
        <v>1</v>
      </c>
      <c r="AC45" s="1536">
        <f t="shared" si="17"/>
        <v>1</v>
      </c>
    </row>
    <row r="46" spans="1:29" ht="15.75" hidden="1" thickBot="1">
      <c r="A46" s="436"/>
      <c r="B46" s="208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9"/>
      <c r="L46" s="2948"/>
      <c r="M46" s="2942"/>
      <c r="N46" s="2942"/>
      <c r="O46" s="2942"/>
      <c r="P46" s="3338"/>
      <c r="Q46" s="1535">
        <f t="shared" si="11"/>
        <v>111</v>
      </c>
      <c r="R46" s="713" t="s">
        <v>20</v>
      </c>
      <c r="S46" s="714">
        <f t="shared" si="12"/>
        <v>100</v>
      </c>
      <c r="T46" s="713" t="s">
        <v>20</v>
      </c>
      <c r="U46" s="714">
        <f t="shared" si="13"/>
        <v>100</v>
      </c>
      <c r="V46" s="713" t="s">
        <v>20</v>
      </c>
      <c r="W46" s="714">
        <f t="shared" si="14"/>
        <v>100</v>
      </c>
      <c r="X46" s="1538"/>
      <c r="Y46" s="3339"/>
      <c r="Z46" s="1539">
        <f t="shared" si="18"/>
        <v>111</v>
      </c>
      <c r="AA46" s="1536">
        <f t="shared" si="15"/>
        <v>1</v>
      </c>
      <c r="AB46" s="1536">
        <f t="shared" si="16"/>
        <v>1</v>
      </c>
      <c r="AC46" s="1536">
        <f t="shared" si="17"/>
        <v>1</v>
      </c>
    </row>
    <row r="47" spans="1:29" ht="15">
      <c r="A47" s="437" t="s">
        <v>2396</v>
      </c>
      <c r="B47" s="438"/>
      <c r="C47" s="1315" t="s">
        <v>19</v>
      </c>
      <c r="D47" s="1316"/>
      <c r="E47" s="1317">
        <v>18000</v>
      </c>
      <c r="F47" s="1318"/>
      <c r="G47" s="1319">
        <v>20000</v>
      </c>
      <c r="H47" s="1320"/>
      <c r="I47" s="1317">
        <v>19000</v>
      </c>
      <c r="J47" s="1320"/>
      <c r="K47" s="2097"/>
      <c r="L47" s="2950"/>
      <c r="M47" s="2951"/>
      <c r="N47" s="2942"/>
      <c r="O47" s="2951"/>
      <c r="P47" s="3298" t="str">
        <f>A47</f>
        <v>成交单价（元/平方米）</v>
      </c>
      <c r="Q47" s="3298"/>
      <c r="R47" s="3335">
        <f>E47</f>
        <v>18000</v>
      </c>
      <c r="S47" s="3335"/>
      <c r="T47" s="3335">
        <f>G47</f>
        <v>20000</v>
      </c>
      <c r="U47" s="3335"/>
      <c r="V47" s="3335">
        <f>I47</f>
        <v>19000</v>
      </c>
      <c r="W47" s="3335"/>
      <c r="X47" s="698"/>
      <c r="Y47" s="720"/>
      <c r="Z47" s="698"/>
      <c r="AA47" s="698"/>
      <c r="AB47" s="698"/>
      <c r="AC47" s="698"/>
    </row>
    <row r="48" spans="1:29" ht="15.75" thickBot="1">
      <c r="A48" s="444" t="s">
        <v>2397</v>
      </c>
      <c r="B48" s="445"/>
      <c r="C48" s="1321">
        <f>R49</f>
        <v>21809</v>
      </c>
      <c r="D48" s="2535" t="s">
        <v>2879</v>
      </c>
      <c r="E48" s="1322">
        <f>R48</f>
        <v>22863</v>
      </c>
      <c r="F48" s="2536"/>
      <c r="G48" s="1321">
        <f>T48</f>
        <v>20825</v>
      </c>
      <c r="H48" s="2536"/>
      <c r="I48" s="1322">
        <f>V48</f>
        <v>21740</v>
      </c>
      <c r="J48" s="2536"/>
      <c r="K48" s="2537">
        <f>F48+H48+J48</f>
        <v>0</v>
      </c>
      <c r="L48" s="2950"/>
      <c r="M48" s="2951"/>
      <c r="N48" s="2951"/>
      <c r="O48" s="2951"/>
      <c r="P48" s="3298" t="str">
        <f>A48</f>
        <v>比较价值（元/平方米）</v>
      </c>
      <c r="Q48" s="3298"/>
      <c r="R48" s="3335">
        <f>IF(F1="售价",ROUND(PRODUCT(R47,AA7:AA46),0),ROUND(PRODUCT(R47,AA7:AA46),1))</f>
        <v>22863</v>
      </c>
      <c r="S48" s="3335"/>
      <c r="T48" s="3335">
        <f>IF(F1="售价",ROUND(PRODUCT(T47,AB7:AB46),0),ROUND(PRODUCT(T47,AB7:AB46),1))</f>
        <v>20825</v>
      </c>
      <c r="U48" s="3335"/>
      <c r="V48" s="3335">
        <f>IF(F1="售价",ROUND(PRODUCT(V47,AC7:AC46),0),ROUND(PRODUCT(V47,AC7:AC46),1))</f>
        <v>21740</v>
      </c>
      <c r="W48" s="3335"/>
      <c r="X48" s="698"/>
      <c r="Y48" s="698"/>
      <c r="Z48" s="698"/>
      <c r="AA48" s="698"/>
      <c r="AB48" s="698"/>
      <c r="AC48" s="698"/>
    </row>
    <row r="49" spans="1:29" ht="15.75" thickBot="1">
      <c r="A49" s="448" t="s">
        <v>2398</v>
      </c>
      <c r="B49" s="449"/>
      <c r="C49" s="1323">
        <f>R49</f>
        <v>21809</v>
      </c>
      <c r="D49" s="1324"/>
      <c r="E49" s="1324"/>
      <c r="F49" s="1324"/>
      <c r="G49" s="1324"/>
      <c r="H49" s="1324"/>
      <c r="I49" s="1324"/>
      <c r="J49" s="1324"/>
      <c r="K49" s="2098"/>
      <c r="L49" s="2950"/>
      <c r="M49" s="2951"/>
      <c r="N49" s="2951"/>
      <c r="O49" s="2951"/>
      <c r="P49" s="3292" t="str">
        <f>A49</f>
        <v>估价对象XX用房的比较价值（楼面单价，元/平方米）</v>
      </c>
      <c r="Q49" s="3293"/>
      <c r="R49" s="3334">
        <f>IF(F1="售价",ROUND(IF(D48="简单平均",AVERAGE(R48:V48),R48*F48+T48*H48+V48*J48),0),ROUND(IF(D48="简单平均",AVERAGE(R48:V48),R48*F48+T48*H48+V48*J48),1))</f>
        <v>21809</v>
      </c>
      <c r="S49" s="3334"/>
      <c r="T49" s="3334"/>
      <c r="U49" s="3334"/>
      <c r="V49" s="3334"/>
      <c r="W49" s="3334"/>
      <c r="X49" s="698"/>
      <c r="Y49" s="698"/>
      <c r="Z49" s="698"/>
      <c r="AA49" s="698"/>
      <c r="AB49" s="698"/>
      <c r="AC49" s="698"/>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3" t="s">
        <v>2399</v>
      </c>
      <c r="D52" s="454"/>
      <c r="E52" s="455">
        <f>IF(E47&lt;E48,E48/E47-1,E47/E48-1)</f>
        <v>0.27016666666666667</v>
      </c>
      <c r="F52" s="456" t="str">
        <f>IF(OR(E52&gt;=0.3,E52&lt;=-0.3),"超过30%","")</f>
        <v/>
      </c>
      <c r="G52" s="455">
        <f>IF(G47&lt;G48,G48/G47-1,G47/G48-1)</f>
        <v>4.1250000000000009E-2</v>
      </c>
      <c r="H52" s="456" t="str">
        <f>IF(OR(G52&gt;=0.3,G52&lt;=-0.3),"超过30%","")</f>
        <v/>
      </c>
      <c r="I52" s="455">
        <f>IF(I47&lt;I48,I48/I47-1,I47/I48-1)</f>
        <v>0.14421052631578957</v>
      </c>
      <c r="J52" s="456" t="str">
        <f>IF(OR(I52&gt;=0.3,I52&lt;=-0.3),"超过30%","")</f>
        <v/>
      </c>
      <c r="K52" s="2956"/>
      <c r="L52" s="2952"/>
      <c r="M52" s="2951"/>
      <c r="N52" s="2951"/>
      <c r="O52" s="2951"/>
    </row>
    <row r="53" spans="1:29" ht="13.5" customHeight="1">
      <c r="A53" s="2951"/>
      <c r="B53" s="2951"/>
      <c r="C53" s="453" t="s">
        <v>2400</v>
      </c>
      <c r="D53" s="457"/>
      <c r="E53" s="455">
        <f>IF(E48&lt;G48,G48/E48-1,E48/G48-1)</f>
        <v>9.7863145258103135E-2</v>
      </c>
      <c r="F53" s="456" t="str">
        <f>IF(OR(E53&gt;=0.2,E53&lt;=-0.2),"超过20%","")</f>
        <v/>
      </c>
      <c r="G53" s="455">
        <f>IF(G48&lt;I48,I48/G48-1,G48/I48-1)</f>
        <v>4.3937575030011944E-2</v>
      </c>
      <c r="H53" s="456" t="str">
        <f>IF(OR(G53&gt;=0.2,G53&lt;=-0.2),"超过20%","")</f>
        <v/>
      </c>
      <c r="I53" s="455">
        <f>IF(I48&lt;E48,E48/I48-1,I48/E48-1)</f>
        <v>5.1655933762649431E-2</v>
      </c>
      <c r="J53" s="456" t="str">
        <f>IF(OR(I53&gt;=0.2,I53&lt;=-0.2),"超过20%","")</f>
        <v/>
      </c>
      <c r="K53" s="2956"/>
      <c r="L53" s="2952"/>
      <c r="M53" s="2951"/>
      <c r="N53" s="2951"/>
      <c r="O53" s="2951"/>
    </row>
    <row r="54" spans="1:29" s="458" customFormat="1" ht="13.5" customHeight="1">
      <c r="A54" s="2954"/>
      <c r="B54" s="2954"/>
      <c r="C54" s="453" t="s">
        <v>2401</v>
      </c>
      <c r="D54" s="457"/>
      <c r="E54" s="455">
        <f>IF(E47&lt;G47,G47/E47-1,E47/G47-1)</f>
        <v>0.11111111111111116</v>
      </c>
      <c r="F54" s="456" t="str">
        <f>IF(OR(E54&gt;=0.3,E54&lt;=-0.3),"超过30%","")</f>
        <v/>
      </c>
      <c r="G54" s="455">
        <f>IF(G47&lt;I47,I47/G47-1,G47/I47-1)</f>
        <v>5.2631578947368363E-2</v>
      </c>
      <c r="H54" s="456" t="str">
        <f>IF(OR(G54&gt;=0.3,G54&lt;=-0.3),"超过30%","")</f>
        <v/>
      </c>
      <c r="I54" s="455">
        <f>IF(I47&lt;E47,E47/I47-1,I47/E47-1)</f>
        <v>5.555555555555558E-2</v>
      </c>
      <c r="J54" s="456" t="str">
        <f>IF(OR(I54&gt;=0.3,I54&lt;=-0.3),"超过30%","")</f>
        <v/>
      </c>
      <c r="K54" s="2959"/>
      <c r="L54" s="2953"/>
      <c r="M54" s="2954"/>
      <c r="N54" s="2954"/>
      <c r="O54" s="2954"/>
      <c r="P54" s="2100"/>
    </row>
    <row r="55" spans="1:29" s="458" customFormat="1">
      <c r="A55" s="2954"/>
      <c r="B55" s="2957"/>
      <c r="C55" s="2958"/>
      <c r="D55" s="2954"/>
      <c r="E55" s="2954"/>
      <c r="F55" s="2954"/>
      <c r="G55" s="2954"/>
      <c r="H55" s="2954"/>
      <c r="I55" s="2954"/>
      <c r="J55" s="2954"/>
      <c r="K55" s="2959"/>
      <c r="L55" s="2953"/>
      <c r="M55" s="2954"/>
      <c r="N55" s="2954"/>
      <c r="O55" s="2954"/>
      <c r="P55" s="2100"/>
    </row>
    <row r="56" spans="1:29">
      <c r="A56" s="2951"/>
      <c r="B56" s="2957"/>
      <c r="C56" s="2958"/>
      <c r="D56" s="2951"/>
      <c r="E56" s="2951"/>
      <c r="F56" s="2951"/>
      <c r="G56" s="2951"/>
      <c r="H56" s="2951"/>
      <c r="I56" s="2951"/>
      <c r="J56" s="2951"/>
      <c r="K56" s="2956"/>
      <c r="L56" s="2952"/>
      <c r="M56" s="2951"/>
      <c r="N56" s="2951"/>
      <c r="O56" s="2951"/>
    </row>
    <row r="57" spans="1:29" ht="21.75" thickBot="1">
      <c r="A57" s="702" t="s">
        <v>2402</v>
      </c>
      <c r="B57" s="698"/>
      <c r="C57" s="703"/>
      <c r="D57" s="703"/>
      <c r="E57" s="703"/>
      <c r="F57" s="704"/>
      <c r="G57" s="704"/>
      <c r="H57" s="703"/>
      <c r="I57" s="703"/>
      <c r="J57" s="703"/>
      <c r="K57" s="1071"/>
      <c r="L57" s="1072"/>
      <c r="M57" s="1070"/>
      <c r="N57" s="1070"/>
      <c r="O57" s="1070"/>
      <c r="P57" s="2101"/>
      <c r="Q57" s="460"/>
    </row>
    <row r="58" spans="1:29" s="464" customFormat="1" ht="15">
      <c r="A58" s="461" t="s">
        <v>2403</v>
      </c>
      <c r="B58" s="462"/>
      <c r="C58" s="1347" t="str">
        <f>YEAR(C7)&amp;"-"&amp;MONTH(C7)</f>
        <v>2021-10</v>
      </c>
      <c r="D58" s="1346">
        <f>EDATE(C58,-1)</f>
        <v>44440</v>
      </c>
      <c r="E58" s="1346">
        <f>EDATE(D58,-1)</f>
        <v>44409</v>
      </c>
      <c r="F58" s="1346">
        <f t="shared" ref="F58:O58" si="19">EDATE(E58,-1)</f>
        <v>44378</v>
      </c>
      <c r="G58" s="1346">
        <f t="shared" si="19"/>
        <v>44348</v>
      </c>
      <c r="H58" s="1346">
        <f t="shared" si="19"/>
        <v>44317</v>
      </c>
      <c r="I58" s="1346">
        <f t="shared" si="19"/>
        <v>44287</v>
      </c>
      <c r="J58" s="1346">
        <f t="shared" si="19"/>
        <v>44256</v>
      </c>
      <c r="K58" s="1346">
        <f t="shared" si="19"/>
        <v>44228</v>
      </c>
      <c r="L58" s="1346">
        <f t="shared" si="19"/>
        <v>44197</v>
      </c>
      <c r="M58" s="1346">
        <f t="shared" si="19"/>
        <v>44166</v>
      </c>
      <c r="N58" s="1346">
        <f t="shared" si="19"/>
        <v>44136</v>
      </c>
      <c r="O58" s="1346">
        <f t="shared" si="19"/>
        <v>44105</v>
      </c>
      <c r="P58" s="1342"/>
    </row>
    <row r="59" spans="1:29" s="112" customFormat="1" ht="15">
      <c r="A59" s="465"/>
      <c r="B59" s="2102"/>
      <c r="C59" s="1344">
        <v>100</v>
      </c>
      <c r="D59" s="467">
        <f>C59-$C$60</f>
        <v>99.5</v>
      </c>
      <c r="E59" s="467">
        <f t="shared" ref="E59:M59" si="20">D59-$C$60</f>
        <v>99</v>
      </c>
      <c r="F59" s="467">
        <f t="shared" si="20"/>
        <v>98.5</v>
      </c>
      <c r="G59" s="467">
        <f t="shared" si="20"/>
        <v>98</v>
      </c>
      <c r="H59" s="467">
        <f t="shared" si="20"/>
        <v>97.5</v>
      </c>
      <c r="I59" s="467">
        <f t="shared" si="20"/>
        <v>97</v>
      </c>
      <c r="J59" s="467">
        <f t="shared" si="20"/>
        <v>96.5</v>
      </c>
      <c r="K59" s="467">
        <f t="shared" si="20"/>
        <v>96</v>
      </c>
      <c r="L59" s="467">
        <f t="shared" si="20"/>
        <v>95.5</v>
      </c>
      <c r="M59" s="467">
        <f t="shared" si="20"/>
        <v>95</v>
      </c>
      <c r="N59" s="468"/>
      <c r="O59" s="469"/>
      <c r="P59" s="2103"/>
    </row>
    <row r="60" spans="1:29" s="112" customFormat="1" ht="15.75" thickBot="1">
      <c r="A60" s="471" t="s">
        <v>2404</v>
      </c>
      <c r="B60" s="472"/>
      <c r="C60" s="473">
        <v>0.5</v>
      </c>
      <c r="D60" s="474"/>
      <c r="E60" s="474"/>
      <c r="F60" s="474"/>
      <c r="G60" s="474"/>
      <c r="H60" s="474"/>
      <c r="I60" s="474"/>
      <c r="J60" s="474"/>
      <c r="K60" s="474"/>
      <c r="L60" s="474"/>
      <c r="M60" s="475"/>
      <c r="N60" s="474"/>
      <c r="O60" s="475"/>
      <c r="P60" s="2103"/>
      <c r="Q60" s="460"/>
    </row>
    <row r="61" spans="1:29" s="112" customFormat="1" ht="15">
      <c r="A61" s="477" t="s">
        <v>2405</v>
      </c>
      <c r="B61" s="466"/>
      <c r="C61" s="478" t="s">
        <v>2406</v>
      </c>
      <c r="D61" s="479"/>
      <c r="E61" s="479"/>
      <c r="F61" s="479"/>
      <c r="G61" s="479"/>
      <c r="H61" s="479"/>
      <c r="I61" s="479"/>
      <c r="J61" s="479"/>
      <c r="K61" s="479"/>
      <c r="L61" s="480"/>
      <c r="M61" s="481"/>
      <c r="N61" s="1062"/>
      <c r="O61" s="1062"/>
      <c r="P61" s="2104"/>
      <c r="Q61" s="460"/>
    </row>
    <row r="62" spans="1:29" s="112" customFormat="1" ht="15.75" thickBot="1">
      <c r="A62" s="477"/>
      <c r="B62" s="466"/>
      <c r="C62" s="467">
        <v>100</v>
      </c>
      <c r="D62" s="468"/>
      <c r="E62" s="468"/>
      <c r="F62" s="468"/>
      <c r="G62" s="468"/>
      <c r="H62" s="468"/>
      <c r="I62" s="468"/>
      <c r="J62" s="468"/>
      <c r="K62" s="468"/>
      <c r="L62" s="468"/>
      <c r="M62" s="470"/>
      <c r="N62" s="1062"/>
      <c r="O62" s="1062"/>
      <c r="P62" s="2103"/>
      <c r="Q62" s="460"/>
    </row>
    <row r="63" spans="1:29">
      <c r="A63" s="483" t="s">
        <v>2407</v>
      </c>
      <c r="B63" s="484" t="s">
        <v>2373</v>
      </c>
      <c r="C63" s="485" t="str">
        <f>C9</f>
        <v>住宅</v>
      </c>
      <c r="D63" s="486"/>
      <c r="E63" s="486"/>
      <c r="F63" s="486"/>
      <c r="G63" s="486"/>
      <c r="H63" s="486"/>
      <c r="I63" s="486"/>
      <c r="J63" s="486"/>
      <c r="K63" s="487"/>
      <c r="L63" s="488"/>
      <c r="M63" s="489"/>
      <c r="N63" s="1063"/>
      <c r="O63" s="1063"/>
      <c r="P63" s="2105"/>
      <c r="Q63" s="460"/>
    </row>
    <row r="64" spans="1:29" ht="15.75" thickBot="1">
      <c r="A64" s="490"/>
      <c r="B64" s="491"/>
      <c r="C64" s="492">
        <v>100</v>
      </c>
      <c r="D64" s="492"/>
      <c r="E64" s="492"/>
      <c r="F64" s="492"/>
      <c r="G64" s="492"/>
      <c r="H64" s="492"/>
      <c r="I64" s="492"/>
      <c r="J64" s="492"/>
      <c r="K64" s="492"/>
      <c r="L64" s="492"/>
      <c r="M64" s="493"/>
      <c r="N64" s="1064"/>
      <c r="O64" s="1064"/>
      <c r="P64" s="2105"/>
      <c r="Q64" s="460"/>
    </row>
    <row r="65" spans="1:17" ht="27.75" thickTop="1">
      <c r="A65" s="490"/>
      <c r="B65" s="494" t="s">
        <v>2376</v>
      </c>
      <c r="C65" s="495" t="s">
        <v>2408</v>
      </c>
      <c r="D65" s="495" t="s">
        <v>2409</v>
      </c>
      <c r="E65" s="495" t="s">
        <v>2410</v>
      </c>
      <c r="F65" s="495" t="s">
        <v>2411</v>
      </c>
      <c r="G65" s="495" t="s">
        <v>2412</v>
      </c>
      <c r="H65" s="495" t="s">
        <v>2413</v>
      </c>
      <c r="I65" s="495" t="s">
        <v>2414</v>
      </c>
      <c r="J65" s="495"/>
      <c r="K65" s="496"/>
      <c r="L65" s="497"/>
      <c r="M65" s="498"/>
      <c r="N65" s="1063"/>
      <c r="O65" s="1063"/>
      <c r="P65" s="2105"/>
      <c r="Q65" s="460"/>
    </row>
    <row r="66" spans="1:17" ht="15.75" thickBot="1">
      <c r="A66" s="490"/>
      <c r="B66" s="499"/>
      <c r="C66" s="500">
        <v>100</v>
      </c>
      <c r="D66" s="500">
        <f t="shared" ref="D66:I66" si="21">C66-$K10</f>
        <v>100</v>
      </c>
      <c r="E66" s="500">
        <f t="shared" si="21"/>
        <v>100</v>
      </c>
      <c r="F66" s="500">
        <f t="shared" si="21"/>
        <v>100</v>
      </c>
      <c r="G66" s="500">
        <f t="shared" si="21"/>
        <v>100</v>
      </c>
      <c r="H66" s="500">
        <f t="shared" si="21"/>
        <v>100</v>
      </c>
      <c r="I66" s="500">
        <f t="shared" si="21"/>
        <v>100</v>
      </c>
      <c r="J66" s="500"/>
      <c r="K66" s="500"/>
      <c r="L66" s="500"/>
      <c r="M66" s="501"/>
      <c r="N66" s="1064"/>
      <c r="O66" s="1064"/>
      <c r="P66" s="2105"/>
      <c r="Q66" s="460"/>
    </row>
    <row r="67" spans="1:17" ht="15.75" thickTop="1">
      <c r="A67" s="490"/>
      <c r="B67" s="502" t="s">
        <v>2377</v>
      </c>
      <c r="C67" s="503" t="str">
        <f>C68&amp;"（含）"&amp;"-"&amp;D68</f>
        <v>0（含）-1</v>
      </c>
      <c r="D67" s="503" t="str">
        <f t="shared" ref="D67:L67" si="22">D68&amp;"（含）"&amp;"-"&amp;E68</f>
        <v>1（含）-2</v>
      </c>
      <c r="E67" s="503" t="str">
        <f t="shared" si="22"/>
        <v>2（含）-3</v>
      </c>
      <c r="F67" s="503" t="str">
        <f t="shared" si="22"/>
        <v>3（含）-4</v>
      </c>
      <c r="G67" s="503" t="str">
        <f t="shared" si="22"/>
        <v>4（含）-5</v>
      </c>
      <c r="H67" s="503" t="str">
        <f t="shared" si="22"/>
        <v>5（含）-6</v>
      </c>
      <c r="I67" s="503" t="str">
        <f t="shared" si="22"/>
        <v>6（含）-7</v>
      </c>
      <c r="J67" s="503" t="str">
        <f t="shared" si="22"/>
        <v>7（含）-8</v>
      </c>
      <c r="K67" s="503" t="str">
        <f>K68&amp;"（含）"&amp;"-"&amp;L68</f>
        <v>8（含）-9</v>
      </c>
      <c r="L67" s="503" t="str">
        <f t="shared" si="22"/>
        <v>9（含）-10</v>
      </c>
      <c r="M67" s="406" t="str">
        <f>M68&amp;"（含）"&amp;"-"&amp;P68</f>
        <v>10（含）-</v>
      </c>
      <c r="N67" s="1064"/>
      <c r="O67" s="1064"/>
      <c r="P67" s="2105"/>
      <c r="Q67" s="460"/>
    </row>
    <row r="68" spans="1:17" ht="15">
      <c r="A68" s="490"/>
      <c r="B68" s="504"/>
      <c r="C68" s="505">
        <v>0</v>
      </c>
      <c r="D68" s="505">
        <v>1</v>
      </c>
      <c r="E68" s="505">
        <v>2</v>
      </c>
      <c r="F68" s="505">
        <v>3</v>
      </c>
      <c r="G68" s="505">
        <v>4</v>
      </c>
      <c r="H68" s="505">
        <v>5</v>
      </c>
      <c r="I68" s="505">
        <v>6</v>
      </c>
      <c r="J68" s="505">
        <v>7</v>
      </c>
      <c r="K68" s="506">
        <v>8</v>
      </c>
      <c r="L68" s="507">
        <v>9</v>
      </c>
      <c r="M68" s="508">
        <v>10</v>
      </c>
      <c r="N68" s="1063"/>
      <c r="O68" s="1063"/>
      <c r="P68" s="2105"/>
      <c r="Q68" s="460"/>
    </row>
    <row r="69" spans="1:17" ht="15.75" thickBot="1">
      <c r="A69" s="490"/>
      <c r="B69" s="491"/>
      <c r="C69" s="500">
        <v>100</v>
      </c>
      <c r="D69" s="500">
        <f t="shared" ref="D69:M69" si="23">C69-$K11</f>
        <v>100</v>
      </c>
      <c r="E69" s="500">
        <f t="shared" si="23"/>
        <v>100</v>
      </c>
      <c r="F69" s="500">
        <f t="shared" si="23"/>
        <v>100</v>
      </c>
      <c r="G69" s="500">
        <f t="shared" si="23"/>
        <v>100</v>
      </c>
      <c r="H69" s="500">
        <f t="shared" si="23"/>
        <v>100</v>
      </c>
      <c r="I69" s="500">
        <f t="shared" si="23"/>
        <v>100</v>
      </c>
      <c r="J69" s="500">
        <f t="shared" si="23"/>
        <v>100</v>
      </c>
      <c r="K69" s="500">
        <f t="shared" si="23"/>
        <v>100</v>
      </c>
      <c r="L69" s="500">
        <f t="shared" si="23"/>
        <v>100</v>
      </c>
      <c r="M69" s="501">
        <f t="shared" si="23"/>
        <v>100</v>
      </c>
      <c r="N69" s="1064"/>
      <c r="O69" s="1064"/>
      <c r="P69" s="2105"/>
      <c r="Q69" s="460"/>
    </row>
    <row r="70" spans="1:17" s="429" customFormat="1" ht="15.75" thickTop="1">
      <c r="A70" s="509"/>
      <c r="B70" s="494">
        <f>B12</f>
        <v>111</v>
      </c>
      <c r="C70" s="510"/>
      <c r="D70" s="510"/>
      <c r="E70" s="510"/>
      <c r="F70" s="510"/>
      <c r="G70" s="510"/>
      <c r="H70" s="511"/>
      <c r="I70" s="511"/>
      <c r="J70" s="511"/>
      <c r="K70" s="511"/>
      <c r="L70" s="512"/>
      <c r="M70" s="513"/>
      <c r="N70" s="1065"/>
      <c r="O70" s="1065"/>
      <c r="P70" s="2106"/>
      <c r="Q70" s="515"/>
    </row>
    <row r="71" spans="1:17" s="429" customFormat="1" ht="15.75" thickBot="1">
      <c r="A71" s="509"/>
      <c r="B71" s="499"/>
      <c r="C71" s="516"/>
      <c r="D71" s="492"/>
      <c r="E71" s="492"/>
      <c r="F71" s="492"/>
      <c r="G71" s="492"/>
      <c r="H71" s="492"/>
      <c r="I71" s="492"/>
      <c r="J71" s="492"/>
      <c r="K71" s="492"/>
      <c r="L71" s="492"/>
      <c r="M71" s="493"/>
      <c r="N71" s="1064"/>
      <c r="O71" s="1064"/>
      <c r="P71" s="2106"/>
      <c r="Q71" s="515"/>
    </row>
    <row r="72" spans="1:17" s="429" customFormat="1" ht="15.75" thickTop="1">
      <c r="A72" s="509"/>
      <c r="B72" s="494">
        <f>B13</f>
        <v>111</v>
      </c>
      <c r="C72" s="510"/>
      <c r="D72" s="510"/>
      <c r="E72" s="510"/>
      <c r="F72" s="510"/>
      <c r="G72" s="510"/>
      <c r="H72" s="511"/>
      <c r="I72" s="511"/>
      <c r="J72" s="511"/>
      <c r="K72" s="511"/>
      <c r="L72" s="512"/>
      <c r="M72" s="513"/>
      <c r="N72" s="1065"/>
      <c r="O72" s="1065"/>
      <c r="P72" s="2107"/>
      <c r="Q72" s="517"/>
    </row>
    <row r="73" spans="1:17" s="429" customFormat="1" ht="15.75" thickBot="1">
      <c r="A73" s="509"/>
      <c r="B73" s="499"/>
      <c r="C73" s="516"/>
      <c r="D73" s="516"/>
      <c r="E73" s="516"/>
      <c r="F73" s="516"/>
      <c r="G73" s="516"/>
      <c r="H73" s="518"/>
      <c r="I73" s="518"/>
      <c r="J73" s="518"/>
      <c r="K73" s="518"/>
      <c r="L73" s="518"/>
      <c r="M73" s="519"/>
      <c r="N73" s="1065"/>
      <c r="O73" s="1065"/>
      <c r="P73" s="2106"/>
      <c r="Q73" s="515"/>
    </row>
    <row r="74" spans="1:17" s="429" customFormat="1" ht="15.75" thickTop="1">
      <c r="A74" s="509"/>
      <c r="B74" s="502">
        <f>B14</f>
        <v>111</v>
      </c>
      <c r="C74" s="510"/>
      <c r="D74" s="510"/>
      <c r="E74" s="510"/>
      <c r="F74" s="510"/>
      <c r="G74" s="479"/>
      <c r="H74" s="520"/>
      <c r="I74" s="520"/>
      <c r="J74" s="520"/>
      <c r="K74" s="520"/>
      <c r="L74" s="521"/>
      <c r="M74" s="522"/>
      <c r="N74" s="1065"/>
      <c r="O74" s="1065"/>
      <c r="P74" s="2108"/>
      <c r="Q74" s="515"/>
    </row>
    <row r="75" spans="1:17" s="429" customFormat="1" ht="15.75" thickBot="1">
      <c r="A75" s="524"/>
      <c r="B75" s="525"/>
      <c r="C75" s="526"/>
      <c r="D75" s="526"/>
      <c r="E75" s="526"/>
      <c r="F75" s="526"/>
      <c r="G75" s="526"/>
      <c r="H75" s="527"/>
      <c r="I75" s="527"/>
      <c r="J75" s="527"/>
      <c r="K75" s="527"/>
      <c r="L75" s="527"/>
      <c r="M75" s="528"/>
      <c r="N75" s="1065"/>
      <c r="O75" s="1065"/>
      <c r="P75" s="2106"/>
      <c r="Q75" s="515"/>
    </row>
    <row r="76" spans="1:17">
      <c r="A76" s="483" t="s">
        <v>2378</v>
      </c>
      <c r="B76" s="484" t="s">
        <v>2415</v>
      </c>
      <c r="C76" s="529" t="s">
        <v>2416</v>
      </c>
      <c r="D76" s="529" t="s">
        <v>2417</v>
      </c>
      <c r="E76" s="529" t="s">
        <v>2418</v>
      </c>
      <c r="F76" s="529" t="s">
        <v>2419</v>
      </c>
      <c r="G76" s="529" t="s">
        <v>2420</v>
      </c>
      <c r="H76" s="485"/>
      <c r="I76" s="485"/>
      <c r="J76" s="485"/>
      <c r="K76" s="530"/>
      <c r="L76" s="531"/>
      <c r="M76" s="532"/>
      <c r="N76" s="1063"/>
      <c r="O76" s="1063"/>
      <c r="P76" s="2109"/>
      <c r="Q76" s="460"/>
    </row>
    <row r="77" spans="1:17" ht="15.75" thickBot="1">
      <c r="A77" s="490"/>
      <c r="B77" s="499"/>
      <c r="C77" s="500">
        <v>100</v>
      </c>
      <c r="D77" s="500">
        <f>C77-$K15</f>
        <v>95</v>
      </c>
      <c r="E77" s="500">
        <f>D77-$K15</f>
        <v>90</v>
      </c>
      <c r="F77" s="500">
        <f>E77-$K15</f>
        <v>85</v>
      </c>
      <c r="G77" s="500">
        <f>F77-$K15</f>
        <v>80</v>
      </c>
      <c r="H77" s="500"/>
      <c r="I77" s="500"/>
      <c r="J77" s="500"/>
      <c r="K77" s="500"/>
      <c r="L77" s="500"/>
      <c r="M77" s="501"/>
      <c r="N77" s="1064"/>
      <c r="O77" s="1064"/>
      <c r="P77" s="2105"/>
      <c r="Q77" s="460"/>
    </row>
    <row r="78" spans="1:17" ht="15.75" thickTop="1">
      <c r="A78" s="490"/>
      <c r="B78" s="494" t="s">
        <v>2421</v>
      </c>
      <c r="C78" s="534" t="s">
        <v>2416</v>
      </c>
      <c r="D78" s="534" t="s">
        <v>2417</v>
      </c>
      <c r="E78" s="534" t="s">
        <v>2418</v>
      </c>
      <c r="F78" s="534" t="s">
        <v>2419</v>
      </c>
      <c r="G78" s="534" t="s">
        <v>2420</v>
      </c>
      <c r="H78" s="495"/>
      <c r="I78" s="495"/>
      <c r="J78" s="495"/>
      <c r="K78" s="496"/>
      <c r="L78" s="497"/>
      <c r="M78" s="498"/>
      <c r="N78" s="1063"/>
      <c r="O78" s="1063"/>
      <c r="P78" s="2105"/>
      <c r="Q78" s="460"/>
    </row>
    <row r="79" spans="1:17" ht="15.75" thickBot="1">
      <c r="A79" s="490"/>
      <c r="B79" s="499"/>
      <c r="C79" s="500">
        <v>100</v>
      </c>
      <c r="D79" s="500">
        <f>C79-$K17</f>
        <v>97</v>
      </c>
      <c r="E79" s="500">
        <f>D79-$K17</f>
        <v>94</v>
      </c>
      <c r="F79" s="500">
        <f>E79-$K17</f>
        <v>91</v>
      </c>
      <c r="G79" s="500">
        <f>F79-$K17</f>
        <v>88</v>
      </c>
      <c r="H79" s="500"/>
      <c r="I79" s="500"/>
      <c r="J79" s="500"/>
      <c r="K79" s="500"/>
      <c r="L79" s="500"/>
      <c r="M79" s="501"/>
      <c r="N79" s="1064"/>
      <c r="O79" s="1064"/>
      <c r="P79" s="2105"/>
      <c r="Q79" s="460"/>
    </row>
    <row r="80" spans="1:17" ht="15.75" thickTop="1">
      <c r="A80" s="490"/>
      <c r="B80" s="494" t="s">
        <v>2422</v>
      </c>
      <c r="C80" s="534" t="s">
        <v>2416</v>
      </c>
      <c r="D80" s="534" t="s">
        <v>2417</v>
      </c>
      <c r="E80" s="534" t="s">
        <v>2418</v>
      </c>
      <c r="F80" s="534" t="s">
        <v>2419</v>
      </c>
      <c r="G80" s="534" t="s">
        <v>2420</v>
      </c>
      <c r="H80" s="495"/>
      <c r="I80" s="495"/>
      <c r="J80" s="495"/>
      <c r="K80" s="496"/>
      <c r="L80" s="497"/>
      <c r="M80" s="498"/>
      <c r="N80" s="1063"/>
      <c r="O80" s="1063"/>
      <c r="P80" s="2105"/>
      <c r="Q80" s="460"/>
    </row>
    <row r="81" spans="1:17" ht="15.75" thickBot="1">
      <c r="A81" s="490"/>
      <c r="B81" s="499"/>
      <c r="C81" s="500">
        <v>100</v>
      </c>
      <c r="D81" s="500">
        <f>C81-$K19</f>
        <v>97</v>
      </c>
      <c r="E81" s="500">
        <f>D81-$K19</f>
        <v>94</v>
      </c>
      <c r="F81" s="500">
        <f>E81-$K19</f>
        <v>91</v>
      </c>
      <c r="G81" s="500">
        <f>F81-$K19</f>
        <v>88</v>
      </c>
      <c r="H81" s="500"/>
      <c r="I81" s="500"/>
      <c r="J81" s="500"/>
      <c r="K81" s="500"/>
      <c r="L81" s="500"/>
      <c r="M81" s="501"/>
      <c r="N81" s="1064"/>
      <c r="O81" s="1064"/>
      <c r="P81" s="2105"/>
      <c r="Q81" s="460"/>
    </row>
    <row r="82" spans="1:17" ht="15.75" thickTop="1">
      <c r="A82" s="490"/>
      <c r="B82" s="502" t="s">
        <v>1947</v>
      </c>
      <c r="C82" s="495" t="s">
        <v>2423</v>
      </c>
      <c r="D82" s="495" t="s">
        <v>2424</v>
      </c>
      <c r="E82" s="495" t="s">
        <v>2425</v>
      </c>
      <c r="F82" s="495" t="s">
        <v>2426</v>
      </c>
      <c r="G82" s="495" t="s">
        <v>2427</v>
      </c>
      <c r="H82" s="495"/>
      <c r="I82" s="495"/>
      <c r="J82" s="495"/>
      <c r="K82" s="495"/>
      <c r="L82" s="495"/>
      <c r="M82" s="1290"/>
      <c r="N82" s="1064"/>
      <c r="O82" s="1064"/>
      <c r="P82" s="2105"/>
      <c r="Q82" s="460"/>
    </row>
    <row r="83" spans="1:17" ht="15.75" thickBot="1">
      <c r="A83" s="490"/>
      <c r="B83" s="502"/>
      <c r="C83" s="615">
        <v>100</v>
      </c>
      <c r="D83" s="615">
        <f>C83-$K21</f>
        <v>95</v>
      </c>
      <c r="E83" s="615">
        <f t="shared" ref="E83:G83" si="24">D83-$K21</f>
        <v>90</v>
      </c>
      <c r="F83" s="615">
        <f t="shared" si="24"/>
        <v>85</v>
      </c>
      <c r="G83" s="615">
        <f t="shared" si="24"/>
        <v>80</v>
      </c>
      <c r="H83" s="615"/>
      <c r="I83" s="615"/>
      <c r="J83" s="615"/>
      <c r="K83" s="615"/>
      <c r="L83" s="615"/>
      <c r="M83" s="408"/>
      <c r="N83" s="1064"/>
      <c r="O83" s="1064"/>
      <c r="P83" s="2105"/>
      <c r="Q83" s="460"/>
    </row>
    <row r="84" spans="1:17" ht="15.75" thickTop="1">
      <c r="A84" s="490"/>
      <c r="B84" s="494" t="s">
        <v>2428</v>
      </c>
      <c r="C84" s="534" t="s">
        <v>2416</v>
      </c>
      <c r="D84" s="534" t="s">
        <v>2417</v>
      </c>
      <c r="E84" s="534" t="s">
        <v>2418</v>
      </c>
      <c r="F84" s="534" t="s">
        <v>2419</v>
      </c>
      <c r="G84" s="534" t="s">
        <v>2420</v>
      </c>
      <c r="H84" s="495"/>
      <c r="I84" s="495"/>
      <c r="J84" s="495"/>
      <c r="K84" s="496"/>
      <c r="L84" s="497"/>
      <c r="M84" s="498"/>
      <c r="N84" s="1063"/>
      <c r="O84" s="1063"/>
      <c r="P84" s="2105"/>
      <c r="Q84" s="460"/>
    </row>
    <row r="85" spans="1:17" ht="15.75" thickBot="1">
      <c r="A85" s="490"/>
      <c r="B85" s="499"/>
      <c r="C85" s="500">
        <v>100</v>
      </c>
      <c r="D85" s="500">
        <f>C85-$K23</f>
        <v>97</v>
      </c>
      <c r="E85" s="500">
        <f>D85-$K23</f>
        <v>94</v>
      </c>
      <c r="F85" s="500">
        <f>E85-$K23</f>
        <v>91</v>
      </c>
      <c r="G85" s="500">
        <f>F85-$K23</f>
        <v>88</v>
      </c>
      <c r="H85" s="500"/>
      <c r="I85" s="500"/>
      <c r="J85" s="500"/>
      <c r="K85" s="500"/>
      <c r="L85" s="500"/>
      <c r="M85" s="501"/>
      <c r="N85" s="1064"/>
      <c r="O85" s="1064"/>
      <c r="P85" s="2105"/>
      <c r="Q85" s="460"/>
    </row>
    <row r="86" spans="1:17" s="112" customFormat="1" ht="15.75" thickTop="1">
      <c r="A86" s="535"/>
      <c r="B86" s="494" t="s">
        <v>2429</v>
      </c>
      <c r="C86" s="510"/>
      <c r="D86" s="510"/>
      <c r="E86" s="510"/>
      <c r="F86" s="510"/>
      <c r="G86" s="510"/>
      <c r="H86" s="510"/>
      <c r="I86" s="510"/>
      <c r="J86" s="510"/>
      <c r="K86" s="510"/>
      <c r="L86" s="536"/>
      <c r="M86" s="537"/>
      <c r="N86" s="1062"/>
      <c r="O86" s="1062"/>
      <c r="P86" s="2105"/>
      <c r="Q86" s="460"/>
    </row>
    <row r="87" spans="1:17" s="112" customFormat="1" ht="15.75" thickBot="1">
      <c r="A87" s="535"/>
      <c r="B87" s="499"/>
      <c r="C87" s="538">
        <v>100</v>
      </c>
      <c r="D87" s="500">
        <f t="shared" ref="D87:M87" si="25">$C$87-($C$86-D86)*$K$25</f>
        <v>100</v>
      </c>
      <c r="E87" s="500">
        <f t="shared" si="25"/>
        <v>100</v>
      </c>
      <c r="F87" s="500">
        <f t="shared" si="25"/>
        <v>100</v>
      </c>
      <c r="G87" s="500">
        <f t="shared" si="25"/>
        <v>100</v>
      </c>
      <c r="H87" s="500">
        <f t="shared" si="25"/>
        <v>100</v>
      </c>
      <c r="I87" s="500">
        <f t="shared" si="25"/>
        <v>100</v>
      </c>
      <c r="J87" s="500">
        <f t="shared" si="25"/>
        <v>100</v>
      </c>
      <c r="K87" s="500">
        <f t="shared" si="25"/>
        <v>100</v>
      </c>
      <c r="L87" s="500">
        <f t="shared" si="25"/>
        <v>100</v>
      </c>
      <c r="M87" s="500">
        <f t="shared" si="25"/>
        <v>100</v>
      </c>
      <c r="N87" s="1064"/>
      <c r="O87" s="1064"/>
      <c r="P87" s="2105"/>
      <c r="Q87" s="460"/>
    </row>
    <row r="88" spans="1:17" s="112" customFormat="1" ht="15.75" thickTop="1">
      <c r="A88" s="535"/>
      <c r="B88" s="494" t="s">
        <v>2430</v>
      </c>
      <c r="C88" s="510"/>
      <c r="D88" s="510"/>
      <c r="E88" s="510"/>
      <c r="F88" s="2110"/>
      <c r="G88" s="510"/>
      <c r="H88" s="510"/>
      <c r="I88" s="510"/>
      <c r="J88" s="510"/>
      <c r="K88" s="510"/>
      <c r="L88" s="510"/>
      <c r="M88" s="537"/>
      <c r="N88" s="1062"/>
      <c r="O88" s="1062"/>
      <c r="P88" s="2105"/>
      <c r="Q88" s="460"/>
    </row>
    <row r="89" spans="1:17" s="112" customFormat="1" ht="15.75" thickBot="1">
      <c r="A89" s="535"/>
      <c r="B89" s="499"/>
      <c r="C89" s="538">
        <v>100</v>
      </c>
      <c r="D89" s="500">
        <f t="shared" ref="D89:M89" si="26">C89-$K26</f>
        <v>100</v>
      </c>
      <c r="E89" s="500">
        <f t="shared" si="26"/>
        <v>100</v>
      </c>
      <c r="F89" s="500">
        <f t="shared" si="26"/>
        <v>100</v>
      </c>
      <c r="G89" s="500">
        <f t="shared" si="26"/>
        <v>100</v>
      </c>
      <c r="H89" s="500">
        <f t="shared" si="26"/>
        <v>100</v>
      </c>
      <c r="I89" s="500">
        <f t="shared" si="26"/>
        <v>100</v>
      </c>
      <c r="J89" s="500">
        <f t="shared" si="26"/>
        <v>100</v>
      </c>
      <c r="K89" s="500">
        <f t="shared" si="26"/>
        <v>100</v>
      </c>
      <c r="L89" s="500">
        <f t="shared" si="26"/>
        <v>100</v>
      </c>
      <c r="M89" s="500">
        <f t="shared" si="26"/>
        <v>100</v>
      </c>
      <c r="N89" s="1064"/>
      <c r="O89" s="1064"/>
      <c r="P89" s="2105"/>
      <c r="Q89" s="460"/>
    </row>
    <row r="90" spans="1:17" s="429" customFormat="1" ht="15.75" thickTop="1">
      <c r="A90" s="509"/>
      <c r="B90" s="494">
        <f>B27</f>
        <v>111</v>
      </c>
      <c r="C90" s="510"/>
      <c r="D90" s="510"/>
      <c r="E90" s="510"/>
      <c r="F90" s="510"/>
      <c r="G90" s="510"/>
      <c r="H90" s="511"/>
      <c r="I90" s="511"/>
      <c r="J90" s="511"/>
      <c r="K90" s="511"/>
      <c r="L90" s="512"/>
      <c r="M90" s="513"/>
      <c r="N90" s="1065"/>
      <c r="O90" s="1065"/>
      <c r="P90" s="2106"/>
      <c r="Q90" s="515"/>
    </row>
    <row r="91" spans="1:17" s="429" customFormat="1" ht="15.75" thickBot="1">
      <c r="A91" s="509"/>
      <c r="B91" s="499"/>
      <c r="C91" s="516"/>
      <c r="D91" s="516"/>
      <c r="E91" s="516"/>
      <c r="F91" s="516"/>
      <c r="G91" s="516"/>
      <c r="H91" s="518"/>
      <c r="I91" s="518"/>
      <c r="J91" s="518"/>
      <c r="K91" s="518"/>
      <c r="L91" s="518"/>
      <c r="M91" s="519"/>
      <c r="N91" s="1065"/>
      <c r="O91" s="1065"/>
      <c r="P91" s="2106"/>
      <c r="Q91" s="515"/>
    </row>
    <row r="92" spans="1:17" ht="15.75" thickTop="1">
      <c r="A92" s="490"/>
      <c r="B92" s="494">
        <f>B28</f>
        <v>111</v>
      </c>
      <c r="C92" s="510"/>
      <c r="D92" s="510"/>
      <c r="E92" s="510"/>
      <c r="F92" s="510"/>
      <c r="G92" s="539"/>
      <c r="H92" s="539"/>
      <c r="I92" s="539"/>
      <c r="J92" s="539"/>
      <c r="K92" s="540"/>
      <c r="L92" s="541"/>
      <c r="M92" s="542"/>
      <c r="N92" s="1063"/>
      <c r="O92" s="1063"/>
      <c r="P92" s="2105"/>
      <c r="Q92" s="460"/>
    </row>
    <row r="93" spans="1:17" ht="15.75" thickBot="1">
      <c r="A93" s="490"/>
      <c r="B93" s="499"/>
      <c r="C93" s="516"/>
      <c r="D93" s="492"/>
      <c r="E93" s="492"/>
      <c r="F93" s="492"/>
      <c r="G93" s="492"/>
      <c r="H93" s="492"/>
      <c r="I93" s="492"/>
      <c r="J93" s="492"/>
      <c r="K93" s="492"/>
      <c r="L93" s="492"/>
      <c r="M93" s="493"/>
      <c r="N93" s="1064"/>
      <c r="O93" s="1064"/>
      <c r="P93" s="2105"/>
      <c r="Q93" s="460"/>
    </row>
    <row r="94" spans="1:17" ht="15.75" thickTop="1">
      <c r="A94" s="490"/>
      <c r="B94" s="494">
        <f>B29</f>
        <v>111</v>
      </c>
      <c r="C94" s="510"/>
      <c r="D94" s="510"/>
      <c r="E94" s="510"/>
      <c r="F94" s="510"/>
      <c r="G94" s="539"/>
      <c r="H94" s="539"/>
      <c r="I94" s="539"/>
      <c r="J94" s="539"/>
      <c r="K94" s="540"/>
      <c r="L94" s="541"/>
      <c r="M94" s="542"/>
      <c r="N94" s="1063"/>
      <c r="O94" s="1063"/>
      <c r="P94" s="2105"/>
      <c r="Q94" s="460"/>
    </row>
    <row r="95" spans="1:17" ht="15.75" thickBot="1">
      <c r="A95" s="490"/>
      <c r="B95" s="499"/>
      <c r="C95" s="516"/>
      <c r="D95" s="516"/>
      <c r="E95" s="516"/>
      <c r="F95" s="516"/>
      <c r="G95" s="492"/>
      <c r="H95" s="492"/>
      <c r="I95" s="492"/>
      <c r="J95" s="492"/>
      <c r="K95" s="492"/>
      <c r="L95" s="492"/>
      <c r="M95" s="493"/>
      <c r="N95" s="1064"/>
      <c r="O95" s="1064"/>
      <c r="P95" s="2105"/>
      <c r="Q95" s="460"/>
    </row>
    <row r="96" spans="1:17" ht="15.75" thickTop="1">
      <c r="A96" s="490"/>
      <c r="B96" s="494">
        <f>B30</f>
        <v>111</v>
      </c>
      <c r="C96" s="510"/>
      <c r="D96" s="510"/>
      <c r="E96" s="510"/>
      <c r="F96" s="510"/>
      <c r="G96" s="539"/>
      <c r="H96" s="539"/>
      <c r="I96" s="539"/>
      <c r="J96" s="539"/>
      <c r="K96" s="540"/>
      <c r="L96" s="541"/>
      <c r="M96" s="542"/>
      <c r="N96" s="1063"/>
      <c r="O96" s="1063"/>
      <c r="P96" s="2105"/>
      <c r="Q96" s="460"/>
    </row>
    <row r="97" spans="1:17" ht="15.75" thickBot="1">
      <c r="A97" s="490"/>
      <c r="B97" s="499"/>
      <c r="C97" s="526"/>
      <c r="D97" s="526"/>
      <c r="E97" s="526"/>
      <c r="F97" s="526"/>
      <c r="G97" s="492"/>
      <c r="H97" s="492"/>
      <c r="I97" s="492"/>
      <c r="J97" s="492"/>
      <c r="K97" s="492"/>
      <c r="L97" s="492"/>
      <c r="M97" s="493"/>
      <c r="N97" s="1064"/>
      <c r="O97" s="1064"/>
      <c r="P97" s="2105"/>
      <c r="Q97" s="460"/>
    </row>
    <row r="98" spans="1:17" ht="15.75" thickTop="1">
      <c r="A98" s="490"/>
      <c r="B98" s="502">
        <f>B31</f>
        <v>111</v>
      </c>
      <c r="C98" s="543"/>
      <c r="D98" s="543"/>
      <c r="E98" s="543"/>
      <c r="F98" s="543"/>
      <c r="G98" s="543"/>
      <c r="H98" s="543"/>
      <c r="I98" s="543"/>
      <c r="J98" s="543"/>
      <c r="K98" s="544"/>
      <c r="L98" s="545"/>
      <c r="M98" s="546"/>
      <c r="N98" s="1063"/>
      <c r="O98" s="1063"/>
      <c r="P98" s="2105"/>
      <c r="Q98" s="460"/>
    </row>
    <row r="99" spans="1:17" ht="15.75" thickBot="1">
      <c r="A99" s="2111"/>
      <c r="B99" s="525"/>
      <c r="C99" s="547"/>
      <c r="D99" s="547"/>
      <c r="E99" s="547"/>
      <c r="F99" s="547"/>
      <c r="G99" s="547"/>
      <c r="H99" s="547"/>
      <c r="I99" s="547"/>
      <c r="J99" s="547"/>
      <c r="K99" s="547"/>
      <c r="L99" s="547"/>
      <c r="M99" s="548"/>
      <c r="N99" s="1064"/>
      <c r="O99" s="1064"/>
      <c r="P99" s="2105"/>
      <c r="Q99" s="460"/>
    </row>
    <row r="100" spans="1:17">
      <c r="A100" s="483" t="s">
        <v>2382</v>
      </c>
      <c r="B100" s="484" t="s">
        <v>2431</v>
      </c>
      <c r="C100" s="3071" t="s">
        <v>4694</v>
      </c>
      <c r="D100" s="486"/>
      <c r="E100" s="486"/>
      <c r="F100" s="486"/>
      <c r="G100" s="486"/>
      <c r="H100" s="486"/>
      <c r="I100" s="486"/>
      <c r="J100" s="486"/>
      <c r="K100" s="487"/>
      <c r="L100" s="488"/>
      <c r="M100" s="489"/>
      <c r="N100" s="1063"/>
      <c r="O100" s="1063"/>
      <c r="P100" s="2105"/>
      <c r="Q100" s="460"/>
    </row>
    <row r="101" spans="1:17" ht="15.75" thickBot="1">
      <c r="A101" s="490"/>
      <c r="B101" s="499"/>
      <c r="C101" s="500">
        <v>100</v>
      </c>
      <c r="D101" s="500">
        <f t="shared" ref="D101:M101" si="27">C101-$K32</f>
        <v>95</v>
      </c>
      <c r="E101" s="500">
        <f t="shared" si="27"/>
        <v>90</v>
      </c>
      <c r="F101" s="500">
        <f t="shared" si="27"/>
        <v>85</v>
      </c>
      <c r="G101" s="500">
        <f t="shared" si="27"/>
        <v>80</v>
      </c>
      <c r="H101" s="500">
        <f t="shared" si="27"/>
        <v>75</v>
      </c>
      <c r="I101" s="500">
        <f t="shared" si="27"/>
        <v>70</v>
      </c>
      <c r="J101" s="500">
        <f t="shared" si="27"/>
        <v>65</v>
      </c>
      <c r="K101" s="500">
        <f t="shared" si="27"/>
        <v>60</v>
      </c>
      <c r="L101" s="500">
        <f t="shared" si="27"/>
        <v>55</v>
      </c>
      <c r="M101" s="500">
        <f t="shared" si="27"/>
        <v>50</v>
      </c>
      <c r="N101" s="1064"/>
      <c r="O101" s="1064"/>
      <c r="P101" s="2105"/>
      <c r="Q101" s="460"/>
    </row>
    <row r="102" spans="1:17" ht="29.25" thickTop="1">
      <c r="A102" s="490"/>
      <c r="B102" s="494" t="s">
        <v>2432</v>
      </c>
      <c r="C102" s="534" t="str">
        <f>C103&amp;"(含)"&amp;"-"&amp;D103</f>
        <v>0(含)-50000</v>
      </c>
      <c r="D102" s="534" t="str">
        <f t="shared" ref="D102:L102" si="28">D103&amp;"(含)"&amp;"-"&amp;E103</f>
        <v>50000(含)-100000</v>
      </c>
      <c r="E102" s="534" t="str">
        <f t="shared" si="28"/>
        <v>100000(含)-150000</v>
      </c>
      <c r="F102" s="534" t="str">
        <f t="shared" si="28"/>
        <v>150000(含)-200000</v>
      </c>
      <c r="G102" s="534" t="str">
        <f t="shared" si="28"/>
        <v>200000(含)-250000</v>
      </c>
      <c r="H102" s="534" t="str">
        <f t="shared" si="28"/>
        <v>250000(含)-300000</v>
      </c>
      <c r="I102" s="534" t="str">
        <f t="shared" si="28"/>
        <v>300000(含)-350000</v>
      </c>
      <c r="J102" s="534" t="str">
        <f t="shared" si="28"/>
        <v>350000(含)-400000</v>
      </c>
      <c r="K102" s="534" t="str">
        <f>K103&amp;"(含)"&amp;"-"&amp;L103</f>
        <v>400000(含)-450000</v>
      </c>
      <c r="L102" s="534" t="str">
        <f t="shared" si="28"/>
        <v>450000(含)-500000</v>
      </c>
      <c r="M102" s="534" t="str">
        <f>M103&amp;"(含)"&amp;"-"&amp;P103</f>
        <v>500000(含)-</v>
      </c>
      <c r="N102" s="1062"/>
      <c r="O102" s="1062"/>
      <c r="P102" s="2105"/>
      <c r="Q102" s="460"/>
    </row>
    <row r="103" spans="1:17" s="429" customFormat="1">
      <c r="A103" s="549"/>
      <c r="B103" s="550"/>
      <c r="C103" s="551">
        <v>0</v>
      </c>
      <c r="D103" s="551">
        <v>50000</v>
      </c>
      <c r="E103" s="551">
        <v>100000</v>
      </c>
      <c r="F103" s="551">
        <v>150000</v>
      </c>
      <c r="G103" s="551">
        <v>200000</v>
      </c>
      <c r="H103" s="551">
        <v>250000</v>
      </c>
      <c r="I103" s="551">
        <v>300000</v>
      </c>
      <c r="J103" s="551">
        <v>350000</v>
      </c>
      <c r="K103" s="551">
        <v>400000</v>
      </c>
      <c r="L103" s="551">
        <v>450000</v>
      </c>
      <c r="M103" s="551">
        <v>500000</v>
      </c>
      <c r="N103" s="1065"/>
      <c r="O103" s="1065"/>
      <c r="P103" s="2106"/>
      <c r="Q103" s="515"/>
    </row>
    <row r="104" spans="1:17" s="429" customFormat="1" ht="15.75" thickBot="1">
      <c r="A104" s="509"/>
      <c r="B104" s="499"/>
      <c r="C104" s="516">
        <v>100</v>
      </c>
      <c r="D104" s="492">
        <v>101</v>
      </c>
      <c r="E104" s="492">
        <v>102</v>
      </c>
      <c r="F104" s="516">
        <v>103</v>
      </c>
      <c r="G104" s="492">
        <v>104</v>
      </c>
      <c r="H104" s="492">
        <v>105</v>
      </c>
      <c r="I104" s="516">
        <v>106</v>
      </c>
      <c r="J104" s="492">
        <v>107</v>
      </c>
      <c r="K104" s="492">
        <v>108</v>
      </c>
      <c r="L104" s="516">
        <v>109</v>
      </c>
      <c r="M104" s="492">
        <v>110</v>
      </c>
      <c r="N104" s="1064"/>
      <c r="O104" s="1064"/>
      <c r="P104" s="2106"/>
      <c r="Q104" s="515"/>
    </row>
    <row r="105" spans="1:17" ht="15" thickTop="1">
      <c r="A105" s="555"/>
      <c r="B105" s="494" t="s">
        <v>2433</v>
      </c>
      <c r="C105" s="3069" t="s">
        <v>4696</v>
      </c>
      <c r="D105" s="510"/>
      <c r="E105" s="539"/>
      <c r="F105" s="539"/>
      <c r="G105" s="539"/>
      <c r="H105" s="539"/>
      <c r="I105" s="539"/>
      <c r="J105" s="539"/>
      <c r="K105" s="540"/>
      <c r="L105" s="541"/>
      <c r="M105" s="542"/>
      <c r="N105" s="1063"/>
      <c r="O105" s="1063"/>
      <c r="P105" s="2105"/>
      <c r="Q105" s="460"/>
    </row>
    <row r="106" spans="1:17" ht="15.75" thickBot="1">
      <c r="A106" s="490"/>
      <c r="B106" s="499"/>
      <c r="C106" s="500">
        <v>100</v>
      </c>
      <c r="D106" s="500">
        <f t="shared" ref="D106:M106" si="29">C106-$K34</f>
        <v>99</v>
      </c>
      <c r="E106" s="500">
        <f t="shared" si="29"/>
        <v>98</v>
      </c>
      <c r="F106" s="500">
        <f t="shared" si="29"/>
        <v>97</v>
      </c>
      <c r="G106" s="500">
        <f t="shared" si="29"/>
        <v>96</v>
      </c>
      <c r="H106" s="500">
        <f t="shared" si="29"/>
        <v>95</v>
      </c>
      <c r="I106" s="500">
        <f t="shared" si="29"/>
        <v>94</v>
      </c>
      <c r="J106" s="500">
        <f t="shared" si="29"/>
        <v>93</v>
      </c>
      <c r="K106" s="500">
        <f t="shared" si="29"/>
        <v>92</v>
      </c>
      <c r="L106" s="500">
        <f t="shared" si="29"/>
        <v>91</v>
      </c>
      <c r="M106" s="500">
        <f t="shared" si="29"/>
        <v>90</v>
      </c>
      <c r="N106" s="1064"/>
      <c r="O106" s="1064"/>
      <c r="P106" s="2105"/>
      <c r="Q106" s="460"/>
    </row>
    <row r="107" spans="1:17" ht="15" thickTop="1">
      <c r="A107" s="555"/>
      <c r="B107" s="494" t="s">
        <v>2434</v>
      </c>
      <c r="C107" s="3070" t="s">
        <v>4698</v>
      </c>
      <c r="D107" s="539"/>
      <c r="E107" s="539"/>
      <c r="F107" s="539"/>
      <c r="G107" s="539"/>
      <c r="H107" s="539"/>
      <c r="I107" s="539"/>
      <c r="J107" s="539"/>
      <c r="K107" s="540"/>
      <c r="L107" s="541"/>
      <c r="M107" s="542"/>
      <c r="N107" s="1063"/>
      <c r="O107" s="1063"/>
      <c r="P107" s="2105"/>
      <c r="Q107" s="460"/>
    </row>
    <row r="108" spans="1:17" ht="15.75" thickBot="1">
      <c r="A108" s="490"/>
      <c r="B108" s="499"/>
      <c r="C108" s="500">
        <v>100</v>
      </c>
      <c r="D108" s="500">
        <f t="shared" ref="D108:M108" si="30">C108-$K35</f>
        <v>99</v>
      </c>
      <c r="E108" s="500">
        <f t="shared" si="30"/>
        <v>98</v>
      </c>
      <c r="F108" s="500">
        <f t="shared" si="30"/>
        <v>97</v>
      </c>
      <c r="G108" s="500">
        <f t="shared" si="30"/>
        <v>96</v>
      </c>
      <c r="H108" s="500">
        <f t="shared" si="30"/>
        <v>95</v>
      </c>
      <c r="I108" s="500">
        <f t="shared" si="30"/>
        <v>94</v>
      </c>
      <c r="J108" s="500">
        <f t="shared" si="30"/>
        <v>93</v>
      </c>
      <c r="K108" s="500">
        <f t="shared" si="30"/>
        <v>92</v>
      </c>
      <c r="L108" s="500">
        <f t="shared" si="30"/>
        <v>91</v>
      </c>
      <c r="M108" s="500">
        <f t="shared" si="30"/>
        <v>90</v>
      </c>
      <c r="N108" s="1064"/>
      <c r="O108" s="1064"/>
      <c r="P108" s="2105"/>
      <c r="Q108" s="460"/>
    </row>
    <row r="109" spans="1:17" ht="15" thickTop="1">
      <c r="A109" s="555"/>
      <c r="B109" s="494" t="s">
        <v>2435</v>
      </c>
      <c r="C109" s="3069" t="s">
        <v>4700</v>
      </c>
      <c r="D109" s="510"/>
      <c r="E109" s="510"/>
      <c r="F109" s="539"/>
      <c r="G109" s="539"/>
      <c r="H109" s="539"/>
      <c r="I109" s="539"/>
      <c r="J109" s="539"/>
      <c r="K109" s="540"/>
      <c r="L109" s="541"/>
      <c r="M109" s="542"/>
      <c r="N109" s="1063"/>
      <c r="O109" s="1063"/>
      <c r="P109" s="2105"/>
      <c r="Q109" s="460"/>
    </row>
    <row r="110" spans="1:17" ht="15.75" thickBot="1">
      <c r="A110" s="490"/>
      <c r="B110" s="499"/>
      <c r="C110" s="500">
        <v>100</v>
      </c>
      <c r="D110" s="500">
        <f t="shared" ref="D110:M110" si="31">C110-$K36</f>
        <v>99</v>
      </c>
      <c r="E110" s="500">
        <f t="shared" si="31"/>
        <v>98</v>
      </c>
      <c r="F110" s="500">
        <f t="shared" si="31"/>
        <v>97</v>
      </c>
      <c r="G110" s="500">
        <f t="shared" si="31"/>
        <v>96</v>
      </c>
      <c r="H110" s="500">
        <f t="shared" si="31"/>
        <v>95</v>
      </c>
      <c r="I110" s="500">
        <f t="shared" si="31"/>
        <v>94</v>
      </c>
      <c r="J110" s="500">
        <f t="shared" si="31"/>
        <v>93</v>
      </c>
      <c r="K110" s="500">
        <f t="shared" si="31"/>
        <v>92</v>
      </c>
      <c r="L110" s="500">
        <f t="shared" si="31"/>
        <v>91</v>
      </c>
      <c r="M110" s="500">
        <f t="shared" si="31"/>
        <v>90</v>
      </c>
      <c r="N110" s="1064"/>
      <c r="O110" s="1064"/>
      <c r="P110" s="2105"/>
      <c r="Q110" s="460"/>
    </row>
    <row r="111" spans="1:17" s="429" customFormat="1" ht="15" thickTop="1">
      <c r="A111" s="549"/>
      <c r="B111" s="494" t="s">
        <v>1877</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6"/>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6"/>
      <c r="Q112" s="515"/>
    </row>
    <row r="113" spans="1:17" s="429" customFormat="1" ht="15.75" thickBot="1">
      <c r="A113" s="509"/>
      <c r="B113" s="499"/>
      <c r="C113" s="538">
        <v>100</v>
      </c>
      <c r="D113" s="500">
        <f>C113+$K37</f>
        <v>101</v>
      </c>
      <c r="E113" s="500">
        <f>D113+$K37</f>
        <v>102</v>
      </c>
      <c r="F113" s="500">
        <f>E113+$K37</f>
        <v>103</v>
      </c>
      <c r="G113" s="500">
        <f>F113+$K37</f>
        <v>104</v>
      </c>
      <c r="H113" s="500">
        <f>G113+$K37</f>
        <v>105</v>
      </c>
      <c r="I113" s="538"/>
      <c r="J113" s="563"/>
      <c r="K113" s="563"/>
      <c r="L113" s="563"/>
      <c r="M113" s="564"/>
      <c r="N113" s="1065"/>
      <c r="O113" s="1065"/>
      <c r="P113" s="2106"/>
      <c r="Q113" s="515"/>
    </row>
    <row r="114" spans="1:17" ht="15" thickTop="1">
      <c r="A114" s="555"/>
      <c r="B114" s="494" t="s">
        <v>2436</v>
      </c>
      <c r="C114" s="3069" t="s">
        <v>4702</v>
      </c>
      <c r="D114" s="510"/>
      <c r="E114" s="539"/>
      <c r="F114" s="539"/>
      <c r="G114" s="539"/>
      <c r="H114" s="539"/>
      <c r="I114" s="539"/>
      <c r="J114" s="539"/>
      <c r="K114" s="540"/>
      <c r="L114" s="541"/>
      <c r="M114" s="542"/>
      <c r="N114" s="1063"/>
      <c r="O114" s="1063"/>
      <c r="P114" s="2105"/>
      <c r="Q114" s="460"/>
    </row>
    <row r="115" spans="1:17" ht="15.75" thickBot="1">
      <c r="A115" s="490"/>
      <c r="B115" s="499"/>
      <c r="C115" s="500">
        <v>100</v>
      </c>
      <c r="D115" s="500">
        <f t="shared" ref="D115:M115" si="32">C115-$K38</f>
        <v>99</v>
      </c>
      <c r="E115" s="500">
        <f t="shared" si="32"/>
        <v>98</v>
      </c>
      <c r="F115" s="500">
        <f t="shared" si="32"/>
        <v>97</v>
      </c>
      <c r="G115" s="500">
        <f t="shared" si="32"/>
        <v>96</v>
      </c>
      <c r="H115" s="500">
        <f t="shared" si="32"/>
        <v>95</v>
      </c>
      <c r="I115" s="500">
        <f t="shared" si="32"/>
        <v>94</v>
      </c>
      <c r="J115" s="500">
        <f t="shared" si="32"/>
        <v>93</v>
      </c>
      <c r="K115" s="500">
        <f t="shared" si="32"/>
        <v>92</v>
      </c>
      <c r="L115" s="500">
        <f t="shared" si="32"/>
        <v>91</v>
      </c>
      <c r="M115" s="500">
        <f t="shared" si="32"/>
        <v>90</v>
      </c>
      <c r="N115" s="1064"/>
      <c r="O115" s="1064"/>
      <c r="P115" s="2105"/>
      <c r="Q115" s="460"/>
    </row>
    <row r="116" spans="1:17" ht="15" thickTop="1">
      <c r="A116" s="555"/>
      <c r="B116" s="494" t="s">
        <v>2437</v>
      </c>
      <c r="C116" s="3069" t="s">
        <v>4703</v>
      </c>
      <c r="D116" s="510"/>
      <c r="E116" s="510"/>
      <c r="F116" s="510"/>
      <c r="G116" s="510"/>
      <c r="H116" s="539"/>
      <c r="I116" s="539"/>
      <c r="J116" s="539"/>
      <c r="K116" s="540"/>
      <c r="L116" s="541"/>
      <c r="M116" s="542"/>
      <c r="N116" s="1063"/>
      <c r="O116" s="1063"/>
      <c r="P116" s="2105"/>
      <c r="Q116" s="460"/>
    </row>
    <row r="117" spans="1:17" ht="15.75" thickBot="1">
      <c r="A117" s="490"/>
      <c r="B117" s="499"/>
      <c r="C117" s="500">
        <v>100</v>
      </c>
      <c r="D117" s="500">
        <f>C117-$K39</f>
        <v>99</v>
      </c>
      <c r="E117" s="500">
        <f>D117-$K39</f>
        <v>98</v>
      </c>
      <c r="F117" s="500">
        <f>E117-$K39</f>
        <v>97</v>
      </c>
      <c r="G117" s="500">
        <f>F117-$K39</f>
        <v>96</v>
      </c>
      <c r="H117" s="500"/>
      <c r="I117" s="500"/>
      <c r="J117" s="500"/>
      <c r="K117" s="500"/>
      <c r="L117" s="500"/>
      <c r="M117" s="501"/>
      <c r="N117" s="1064"/>
      <c r="O117" s="1064"/>
      <c r="P117" s="2105"/>
      <c r="Q117" s="460"/>
    </row>
    <row r="118" spans="1:17" ht="15" thickTop="1">
      <c r="A118" s="555"/>
      <c r="B118" s="494" t="s">
        <v>2438</v>
      </c>
      <c r="C118" s="3070" t="s">
        <v>4705</v>
      </c>
      <c r="D118" s="539"/>
      <c r="E118" s="539"/>
      <c r="F118" s="539"/>
      <c r="G118" s="539"/>
      <c r="H118" s="539"/>
      <c r="I118" s="539"/>
      <c r="J118" s="539"/>
      <c r="K118" s="540"/>
      <c r="L118" s="541"/>
      <c r="M118" s="542"/>
      <c r="N118" s="1063"/>
      <c r="O118" s="1063"/>
      <c r="P118" s="2105"/>
      <c r="Q118" s="460"/>
    </row>
    <row r="119" spans="1:17" ht="15.75" thickBot="1">
      <c r="A119" s="490"/>
      <c r="B119" s="499"/>
      <c r="C119" s="500">
        <v>100</v>
      </c>
      <c r="D119" s="500">
        <f t="shared" ref="D119:M119" si="33">C119-$K40</f>
        <v>99</v>
      </c>
      <c r="E119" s="500">
        <f t="shared" si="33"/>
        <v>98</v>
      </c>
      <c r="F119" s="500">
        <f t="shared" si="33"/>
        <v>97</v>
      </c>
      <c r="G119" s="500">
        <f t="shared" si="33"/>
        <v>96</v>
      </c>
      <c r="H119" s="500">
        <f t="shared" si="33"/>
        <v>95</v>
      </c>
      <c r="I119" s="500">
        <f t="shared" si="33"/>
        <v>94</v>
      </c>
      <c r="J119" s="500">
        <f t="shared" si="33"/>
        <v>93</v>
      </c>
      <c r="K119" s="500">
        <f t="shared" si="33"/>
        <v>92</v>
      </c>
      <c r="L119" s="500">
        <f t="shared" si="33"/>
        <v>91</v>
      </c>
      <c r="M119" s="500">
        <f t="shared" si="33"/>
        <v>90</v>
      </c>
      <c r="N119" s="1064"/>
      <c r="O119" s="1064"/>
      <c r="P119" s="2105"/>
      <c r="Q119" s="460"/>
    </row>
    <row r="120" spans="1:17" s="429" customFormat="1" ht="28.5" thickTop="1">
      <c r="A120" s="549"/>
      <c r="B120" s="494" t="s">
        <v>2393</v>
      </c>
      <c r="C120" s="510" t="s">
        <v>4714</v>
      </c>
      <c r="D120" s="510" t="str">
        <f>E41</f>
        <v>115-143</v>
      </c>
      <c r="E120" s="510" t="str">
        <f>G41</f>
        <v>143-170</v>
      </c>
      <c r="F120" s="510" t="str">
        <f>I41</f>
        <v>120-168</v>
      </c>
      <c r="G120" s="510"/>
      <c r="H120" s="510"/>
      <c r="I120" s="510"/>
      <c r="J120" s="510"/>
      <c r="K120" s="510"/>
      <c r="L120" s="536"/>
      <c r="M120" s="537"/>
      <c r="N120" s="1065"/>
      <c r="O120" s="1065"/>
      <c r="P120" s="2106"/>
      <c r="Q120" s="515"/>
    </row>
    <row r="121" spans="1:17" s="429" customFormat="1" ht="15.75" thickBot="1">
      <c r="A121" s="509"/>
      <c r="B121" s="491"/>
      <c r="C121" s="516">
        <v>100</v>
      </c>
      <c r="D121" s="492">
        <v>99</v>
      </c>
      <c r="E121" s="492">
        <v>98</v>
      </c>
      <c r="F121" s="492">
        <v>98</v>
      </c>
      <c r="G121" s="492"/>
      <c r="H121" s="492"/>
      <c r="I121" s="492"/>
      <c r="J121" s="492"/>
      <c r="K121" s="492"/>
      <c r="L121" s="492"/>
      <c r="M121" s="492"/>
      <c r="N121" s="1065"/>
      <c r="O121" s="1065"/>
      <c r="P121" s="2106"/>
      <c r="Q121" s="515"/>
    </row>
    <row r="122" spans="1:17" ht="15" thickTop="1">
      <c r="A122" s="555"/>
      <c r="B122" s="494" t="s">
        <v>2439</v>
      </c>
      <c r="C122" s="3069" t="s">
        <v>4707</v>
      </c>
      <c r="D122" s="3069" t="s">
        <v>4716</v>
      </c>
      <c r="E122" s="3069" t="s">
        <v>4717</v>
      </c>
      <c r="F122" s="3070" t="s">
        <v>4719</v>
      </c>
      <c r="G122" s="539"/>
      <c r="H122" s="539"/>
      <c r="I122" s="539"/>
      <c r="J122" s="539"/>
      <c r="K122" s="540"/>
      <c r="L122" s="541"/>
      <c r="M122" s="542"/>
      <c r="N122" s="1063"/>
      <c r="O122" s="1063"/>
      <c r="P122" s="2105"/>
      <c r="Q122" s="460"/>
    </row>
    <row r="123" spans="1:17" ht="15.75" thickBot="1">
      <c r="A123" s="490"/>
      <c r="B123" s="499"/>
      <c r="C123" s="500">
        <v>100</v>
      </c>
      <c r="D123" s="500">
        <f t="shared" ref="D123:M123" si="34">C123-$K42</f>
        <v>97</v>
      </c>
      <c r="E123" s="500">
        <f t="shared" si="34"/>
        <v>94</v>
      </c>
      <c r="F123" s="500">
        <f t="shared" si="34"/>
        <v>91</v>
      </c>
      <c r="G123" s="500">
        <f t="shared" si="34"/>
        <v>88</v>
      </c>
      <c r="H123" s="500">
        <f t="shared" si="34"/>
        <v>85</v>
      </c>
      <c r="I123" s="500">
        <f t="shared" si="34"/>
        <v>82</v>
      </c>
      <c r="J123" s="500">
        <f t="shared" si="34"/>
        <v>79</v>
      </c>
      <c r="K123" s="500">
        <f t="shared" si="34"/>
        <v>76</v>
      </c>
      <c r="L123" s="500">
        <f t="shared" si="34"/>
        <v>73</v>
      </c>
      <c r="M123" s="500">
        <f t="shared" si="34"/>
        <v>70</v>
      </c>
      <c r="N123" s="1064"/>
      <c r="O123" s="1064"/>
      <c r="P123" s="2105"/>
      <c r="Q123" s="460"/>
    </row>
    <row r="124" spans="1:17" ht="15" thickTop="1">
      <c r="A124" s="555"/>
      <c r="B124" s="494" t="s">
        <v>2440</v>
      </c>
      <c r="C124" s="534" t="s">
        <v>2416</v>
      </c>
      <c r="D124" s="534" t="s">
        <v>2417</v>
      </c>
      <c r="E124" s="534" t="s">
        <v>2418</v>
      </c>
      <c r="F124" s="534" t="s">
        <v>2419</v>
      </c>
      <c r="G124" s="534" t="s">
        <v>2420</v>
      </c>
      <c r="H124" s="495"/>
      <c r="I124" s="495"/>
      <c r="J124" s="495"/>
      <c r="K124" s="496"/>
      <c r="L124" s="497"/>
      <c r="M124" s="498"/>
      <c r="N124" s="1063"/>
      <c r="O124" s="1063"/>
      <c r="P124" s="2106"/>
      <c r="Q124" s="460"/>
    </row>
    <row r="125" spans="1:17" ht="15.75" thickBot="1">
      <c r="A125" s="490"/>
      <c r="B125" s="499"/>
      <c r="C125" s="500">
        <v>100</v>
      </c>
      <c r="D125" s="500">
        <f>C125-$K43</f>
        <v>99</v>
      </c>
      <c r="E125" s="500">
        <f>D125-$K43</f>
        <v>98</v>
      </c>
      <c r="F125" s="500">
        <f>E125-$K43</f>
        <v>97</v>
      </c>
      <c r="G125" s="500">
        <f>F125-$K43</f>
        <v>96</v>
      </c>
      <c r="H125" s="500"/>
      <c r="I125" s="500"/>
      <c r="J125" s="500"/>
      <c r="K125" s="500"/>
      <c r="L125" s="500"/>
      <c r="M125" s="501"/>
      <c r="N125" s="1064"/>
      <c r="O125" s="1064"/>
      <c r="P125" s="2105"/>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6"/>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6"/>
      <c r="Q127" s="515"/>
    </row>
    <row r="128" spans="1:17" ht="15" thickTop="1">
      <c r="A128" s="555"/>
      <c r="B128" s="494">
        <f>B45</f>
        <v>111</v>
      </c>
      <c r="C128" s="510"/>
      <c r="D128" s="510"/>
      <c r="E128" s="510"/>
      <c r="F128" s="510"/>
      <c r="G128" s="539"/>
      <c r="H128" s="539"/>
      <c r="I128" s="539"/>
      <c r="J128" s="539"/>
      <c r="K128" s="540"/>
      <c r="L128" s="541"/>
      <c r="M128" s="542"/>
      <c r="N128" s="1063"/>
      <c r="O128" s="1063"/>
      <c r="P128" s="2105"/>
      <c r="Q128" s="460"/>
    </row>
    <row r="129" spans="1:17" ht="15.75" thickBot="1">
      <c r="A129" s="490"/>
      <c r="B129" s="499"/>
      <c r="C129" s="516"/>
      <c r="D129" s="516"/>
      <c r="E129" s="516"/>
      <c r="F129" s="516"/>
      <c r="G129" s="492"/>
      <c r="H129" s="492"/>
      <c r="I129" s="492"/>
      <c r="J129" s="492"/>
      <c r="K129" s="492"/>
      <c r="L129" s="492"/>
      <c r="M129" s="493"/>
      <c r="N129" s="1064"/>
      <c r="O129" s="1064"/>
      <c r="P129" s="2105"/>
      <c r="Q129" s="460"/>
    </row>
    <row r="130" spans="1:17" ht="15" thickTop="1">
      <c r="A130" s="555"/>
      <c r="B130" s="502">
        <f>B46</f>
        <v>111</v>
      </c>
      <c r="C130" s="510"/>
      <c r="D130" s="510"/>
      <c r="E130" s="510"/>
      <c r="F130" s="510"/>
      <c r="G130" s="543"/>
      <c r="H130" s="543"/>
      <c r="I130" s="543"/>
      <c r="J130" s="543"/>
      <c r="K130" s="479"/>
      <c r="L130" s="480"/>
      <c r="M130" s="546"/>
      <c r="N130" s="1063"/>
      <c r="O130" s="1063"/>
      <c r="P130" s="2105"/>
      <c r="Q130" s="460"/>
    </row>
    <row r="131" spans="1:17" ht="15.75" thickBot="1">
      <c r="A131" s="2111"/>
      <c r="B131" s="525"/>
      <c r="C131" s="526"/>
      <c r="D131" s="526"/>
      <c r="E131" s="526"/>
      <c r="F131" s="526"/>
      <c r="G131" s="547"/>
      <c r="H131" s="547"/>
      <c r="I131" s="547"/>
      <c r="J131" s="547"/>
      <c r="K131" s="547"/>
      <c r="L131" s="547"/>
      <c r="M131" s="548"/>
      <c r="N131" s="1064"/>
      <c r="O131" s="1064"/>
      <c r="P131" s="2105"/>
      <c r="Q131" s="460"/>
    </row>
    <row r="136" spans="1:17" ht="15" thickBot="1">
      <c r="B136" s="2112" t="s">
        <v>2441</v>
      </c>
    </row>
    <row r="137" spans="1:17" ht="15">
      <c r="B137" s="2113" t="s">
        <v>2442</v>
      </c>
      <c r="C137" s="2114"/>
      <c r="D137" s="2114"/>
      <c r="E137" s="2114"/>
      <c r="F137" s="2114"/>
      <c r="G137" s="2115"/>
      <c r="H137" s="2116"/>
      <c r="I137" s="2117" t="s">
        <v>2443</v>
      </c>
      <c r="J137" s="2114"/>
      <c r="K137" s="2118"/>
    </row>
    <row r="138" spans="1:17" ht="15">
      <c r="B138" s="2119"/>
      <c r="C138" s="141" t="s">
        <v>2444</v>
      </c>
      <c r="D138" s="141" t="s">
        <v>2445</v>
      </c>
      <c r="E138" s="2120" t="s">
        <v>2446</v>
      </c>
      <c r="F138" s="2121" t="s">
        <v>2447</v>
      </c>
      <c r="G138" s="141" t="s">
        <v>2445</v>
      </c>
      <c r="H138" s="142" t="s">
        <v>2446</v>
      </c>
      <c r="I138" s="2122"/>
      <c r="J138" s="141" t="s">
        <v>2448</v>
      </c>
      <c r="K138" s="142" t="s">
        <v>2449</v>
      </c>
    </row>
    <row r="139" spans="1:17" ht="15">
      <c r="B139" s="997">
        <v>6</v>
      </c>
      <c r="C139" s="998">
        <v>96</v>
      </c>
      <c r="D139" s="2123" t="s">
        <v>2450</v>
      </c>
      <c r="E139" s="999">
        <v>100</v>
      </c>
      <c r="F139" s="1000">
        <v>102.5</v>
      </c>
      <c r="G139" s="2123" t="s">
        <v>2450</v>
      </c>
      <c r="H139" s="1001">
        <v>105</v>
      </c>
      <c r="I139" s="2124" t="s">
        <v>2451</v>
      </c>
      <c r="J139" s="998">
        <v>20</v>
      </c>
      <c r="K139" s="1002">
        <f>C145/(J139-2)</f>
        <v>4.0555555555555553E-3</v>
      </c>
    </row>
    <row r="140" spans="1:17" ht="15">
      <c r="B140" s="1003">
        <v>5</v>
      </c>
      <c r="C140" s="1004">
        <v>100</v>
      </c>
      <c r="D140" s="1004"/>
      <c r="E140" s="1005"/>
      <c r="F140" s="1006">
        <v>102</v>
      </c>
      <c r="G140" s="1004"/>
      <c r="H140" s="1007"/>
      <c r="I140" s="2125" t="s">
        <v>2452</v>
      </c>
      <c r="J140" s="276">
        <f>ROUNDUP((J139-1)/2,0)</f>
        <v>10</v>
      </c>
      <c r="K140" s="1008">
        <v>100</v>
      </c>
    </row>
    <row r="141" spans="1:17" ht="15">
      <c r="B141" s="1003">
        <v>4</v>
      </c>
      <c r="C141" s="1004">
        <v>102</v>
      </c>
      <c r="D141" s="1004"/>
      <c r="E141" s="1005"/>
      <c r="F141" s="1006">
        <v>101.5</v>
      </c>
      <c r="G141" s="1004"/>
      <c r="H141" s="1007"/>
      <c r="I141" s="2125" t="s">
        <v>2453</v>
      </c>
      <c r="J141" s="276">
        <v>1</v>
      </c>
      <c r="K141" s="1009">
        <f>ROUND(100+(J141-J140)*K139*100,1)</f>
        <v>96.4</v>
      </c>
    </row>
    <row r="142" spans="1:17" ht="15">
      <c r="B142" s="1003">
        <v>3</v>
      </c>
      <c r="C142" s="1004">
        <v>103</v>
      </c>
      <c r="D142" s="1004"/>
      <c r="E142" s="1005"/>
      <c r="F142" s="1006">
        <v>101</v>
      </c>
      <c r="G142" s="1004"/>
      <c r="H142" s="1007"/>
      <c r="I142" s="2125" t="s">
        <v>2454</v>
      </c>
      <c r="J142" s="276">
        <f>J139</f>
        <v>20</v>
      </c>
      <c r="K142" s="1010">
        <v>95</v>
      </c>
    </row>
    <row r="143" spans="1:17" ht="15">
      <c r="B143" s="1003">
        <v>2</v>
      </c>
      <c r="C143" s="1004">
        <v>100</v>
      </c>
      <c r="D143" s="1004"/>
      <c r="E143" s="1005"/>
      <c r="F143" s="1006">
        <v>100.5</v>
      </c>
      <c r="G143" s="1004"/>
      <c r="H143" s="1007"/>
      <c r="I143" s="2125" t="s">
        <v>2455</v>
      </c>
      <c r="J143" s="1004">
        <v>15</v>
      </c>
      <c r="K143" s="1009">
        <f>ROUND(100+(J143-J140)*K139*100,1)</f>
        <v>102</v>
      </c>
    </row>
    <row r="144" spans="1:17" ht="15">
      <c r="B144" s="1003">
        <v>1</v>
      </c>
      <c r="C144" s="1004">
        <v>98</v>
      </c>
      <c r="D144" s="2126" t="s">
        <v>2456</v>
      </c>
      <c r="E144" s="1005">
        <v>102</v>
      </c>
      <c r="F144" s="1011">
        <v>100</v>
      </c>
      <c r="G144" s="2126" t="s">
        <v>2456</v>
      </c>
      <c r="H144" s="1007">
        <v>105</v>
      </c>
      <c r="I144" s="2125" t="s">
        <v>2455</v>
      </c>
      <c r="J144" s="1004">
        <v>18</v>
      </c>
      <c r="K144" s="1009">
        <f>ROUND(100+(J144-J140)*K139*100,1)</f>
        <v>103.2</v>
      </c>
    </row>
    <row r="145" spans="2:11" ht="15.75" thickBot="1">
      <c r="B145" s="2127" t="s">
        <v>2457</v>
      </c>
      <c r="C145" s="1012">
        <f>ROUND(MAX(C139:C144)/MIN(C139:C144)-1,3)</f>
        <v>7.2999999999999995E-2</v>
      </c>
      <c r="D145" s="1013"/>
      <c r="E145" s="1013"/>
      <c r="F145" s="2128" t="s">
        <v>2458</v>
      </c>
      <c r="G145" s="2129"/>
      <c r="H145" s="2130"/>
      <c r="I145" s="2131" t="s">
        <v>2455</v>
      </c>
      <c r="J145" s="1014">
        <v>8</v>
      </c>
      <c r="K145" s="1015">
        <f>ROUND(100+(J145-J140)*K139*100,1)</f>
        <v>99.2</v>
      </c>
    </row>
    <row r="147" spans="2:11">
      <c r="B147" s="2112" t="s">
        <v>2459</v>
      </c>
    </row>
    <row r="148" spans="2:11">
      <c r="B148" s="2112"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4745</v>
      </c>
      <c r="D1" s="1545" t="s">
        <v>4746</v>
      </c>
      <c r="E1" s="1546" t="s">
        <v>1352</v>
      </c>
      <c r="F1" s="1192">
        <f ca="1">J53</f>
        <v>37.589999999999996</v>
      </c>
      <c r="G1" s="1561">
        <f>MATCH(C1,'数据-取费表'!A6:A16,0)+5</f>
        <v>10</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1117</v>
      </c>
      <c r="C2" s="1570" t="s">
        <v>1481</v>
      </c>
      <c r="D2" s="1570"/>
      <c r="E2" s="1571"/>
      <c r="F2" s="1572"/>
      <c r="G2" s="2932"/>
      <c r="H2" s="2921"/>
      <c r="I2" s="2921"/>
      <c r="J2" s="2921"/>
      <c r="K2" s="2922"/>
      <c r="L2" s="2921"/>
      <c r="M2" s="2921"/>
    </row>
    <row r="3" spans="1:37" ht="18" customHeight="1" thickBot="1">
      <c r="A3" s="1573" t="s">
        <v>1482</v>
      </c>
      <c r="B3" s="1574">
        <f ca="1">IF(ISERROR(B2*10000/F43),0,ROUND(B2*10000/F43,0))</f>
        <v>9135</v>
      </c>
      <c r="C3" s="1570" t="s">
        <v>1483</v>
      </c>
      <c r="D3" s="1570"/>
      <c r="E3" s="1571"/>
      <c r="F3" s="1572"/>
      <c r="G3" s="2932"/>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1">
        <f ca="1">C6+C10+C12</f>
        <v>57</v>
      </c>
      <c r="D5" s="1547" t="s">
        <v>1367</v>
      </c>
      <c r="E5" s="1202"/>
      <c r="F5" s="1203"/>
      <c r="G5" s="1567"/>
      <c r="H5" s="304">
        <v>1</v>
      </c>
      <c r="I5" s="305" t="s">
        <v>1366</v>
      </c>
      <c r="J5" s="1201">
        <f ca="1">J6+J10+J12</f>
        <v>0</v>
      </c>
      <c r="K5" s="1547" t="s">
        <v>1367</v>
      </c>
      <c r="L5" s="1202"/>
      <c r="M5" s="1203"/>
    </row>
    <row r="6" spans="1:37" ht="18" customHeight="1">
      <c r="A6" s="1200" t="s">
        <v>1003</v>
      </c>
      <c r="B6" s="3346" t="s">
        <v>1368</v>
      </c>
      <c r="C6" s="1205">
        <f ca="1">ROUND(F6*F8*F7*(1-F9)/10000,0)</f>
        <v>57</v>
      </c>
      <c r="D6" s="159" t="s">
        <v>2849</v>
      </c>
      <c r="E6" s="307" t="s">
        <v>1370</v>
      </c>
      <c r="F6" s="308">
        <f ca="1">INDIRECT("'数据-取费表'!u"&amp;$G$1)</f>
        <v>1.5</v>
      </c>
      <c r="G6" s="1567"/>
      <c r="H6" s="1200" t="s">
        <v>1003</v>
      </c>
      <c r="I6" s="3346" t="s">
        <v>1368</v>
      </c>
      <c r="J6" s="306">
        <f ca="1">ROUND(M6*M8*M7*(1-M9)/10000,0)</f>
        <v>0</v>
      </c>
      <c r="K6" s="159" t="s">
        <v>2848</v>
      </c>
      <c r="L6" s="307" t="s">
        <v>1370</v>
      </c>
      <c r="M6" s="308">
        <f ca="1">INDIRECT("'数据-取费表'!z"&amp;$G$1)</f>
        <v>0</v>
      </c>
    </row>
    <row r="7" spans="1:37" ht="18" customHeight="1">
      <c r="A7" s="1204"/>
      <c r="B7" s="3347"/>
      <c r="C7" s="1206"/>
      <c r="D7" s="312"/>
      <c r="E7" s="1207" t="s">
        <v>1371</v>
      </c>
      <c r="F7" s="308">
        <f ca="1">IF(INDIRECT("'数据-取费表'!ah"&amp;$G$1)="",INDIRECT("'数据-取费表'!k"&amp;$G$1),INDIRECT("'数据-取费表'!ah"&amp;$G$1))</f>
        <v>1222.7700000000002</v>
      </c>
      <c r="G7" s="1567"/>
      <c r="H7" s="309"/>
      <c r="I7" s="3347"/>
      <c r="J7" s="311"/>
      <c r="K7" s="312"/>
      <c r="L7" s="307" t="s">
        <v>1371</v>
      </c>
      <c r="M7" s="308">
        <f ca="1">F7</f>
        <v>1222.7700000000002</v>
      </c>
    </row>
    <row r="8" spans="1:37" ht="18" customHeight="1">
      <c r="A8" s="309"/>
      <c r="B8" s="3347"/>
      <c r="C8" s="311"/>
      <c r="D8" s="312"/>
      <c r="E8" s="307" t="s">
        <v>1372</v>
      </c>
      <c r="F8" s="308">
        <f ca="1">INDIRECT("'数据-取费表'!ai"&amp;$G$1)</f>
        <v>365</v>
      </c>
      <c r="G8" s="1567"/>
      <c r="H8" s="309"/>
      <c r="I8" s="3347"/>
      <c r="J8" s="311"/>
      <c r="K8" s="312"/>
      <c r="L8" s="307" t="s">
        <v>1372</v>
      </c>
      <c r="M8" s="308">
        <f ca="1">INDIRECT("'数据-取费表'!ai"&amp;$G$1)</f>
        <v>365</v>
      </c>
    </row>
    <row r="9" spans="1:37" ht="18" customHeight="1">
      <c r="A9" s="309"/>
      <c r="B9" s="3348"/>
      <c r="C9" s="311"/>
      <c r="D9" s="312"/>
      <c r="E9" s="307" t="s">
        <v>1373</v>
      </c>
      <c r="F9" s="317">
        <f ca="1">INDIRECT("'数据-取费表'!w"&amp;$G$1)</f>
        <v>0.15</v>
      </c>
      <c r="G9" s="1567"/>
      <c r="H9" s="309"/>
      <c r="I9" s="3348"/>
      <c r="J9" s="311"/>
      <c r="K9" s="312"/>
      <c r="L9" s="318" t="s">
        <v>1373</v>
      </c>
      <c r="M9" s="319">
        <f ca="1">INDIRECT("'数据-取费表'!ab"&amp;$G$1)</f>
        <v>0</v>
      </c>
    </row>
    <row r="10" spans="1:37" ht="18" customHeight="1">
      <c r="A10" s="1200" t="s">
        <v>1007</v>
      </c>
      <c r="B10" s="1548" t="s">
        <v>1374</v>
      </c>
      <c r="C10" s="321">
        <f ca="1">ROUND(IF(F10="押一",C6/12*F11,IF(F10="押二",C6/12*2*F11,IF(F10="押三",C6/12*3*F11,C11*F11))),0)</f>
        <v>0</v>
      </c>
      <c r="D10" s="1549" t="s">
        <v>2857</v>
      </c>
      <c r="E10" s="318" t="s">
        <v>1375</v>
      </c>
      <c r="F10" s="1275" t="s">
        <v>4747</v>
      </c>
      <c r="G10" s="1567"/>
      <c r="H10" s="1200" t="s">
        <v>1007</v>
      </c>
      <c r="I10" s="1548" t="s">
        <v>1374</v>
      </c>
      <c r="J10" s="306">
        <f ca="1">ROUND(IF(M10="押一",J6/12*M11,IF(M10="押二",J6/12*2*M11,IF(M10="押三",J6/12*3*M11,J11*M11))),0)</f>
        <v>0</v>
      </c>
      <c r="K10" s="1549" t="s">
        <v>2856</v>
      </c>
      <c r="L10" s="318" t="s">
        <v>1375</v>
      </c>
      <c r="M10" s="1275" t="s">
        <v>1376</v>
      </c>
    </row>
    <row r="11" spans="1:37" ht="18" customHeight="1">
      <c r="A11" s="313"/>
      <c r="B11" s="1550" t="s">
        <v>1353</v>
      </c>
      <c r="C11" s="1089"/>
      <c r="D11" s="1551"/>
      <c r="E11" s="318" t="s">
        <v>1377</v>
      </c>
      <c r="F11" s="319">
        <f ca="1">'数据-取费表'!B39</f>
        <v>1.4999999999999999E-2</v>
      </c>
      <c r="G11" s="1567"/>
      <c r="H11" s="1208"/>
      <c r="I11" s="1550" t="s">
        <v>1353</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885</v>
      </c>
      <c r="D13" s="1240" t="s">
        <v>1380</v>
      </c>
      <c r="E13" s="1240" t="s">
        <v>1381</v>
      </c>
      <c r="F13" s="1241">
        <f ca="1">INDIRECT("'数据-取费表'!y"&amp;$G$1)</f>
        <v>1</v>
      </c>
      <c r="G13" s="1567"/>
      <c r="H13" s="1238">
        <v>2</v>
      </c>
      <c r="I13" s="1239" t="s">
        <v>1379</v>
      </c>
      <c r="J13" s="1199">
        <f ca="1">ROUND(J14*J15,0)</f>
        <v>0</v>
      </c>
      <c r="K13" s="1246" t="s">
        <v>1380</v>
      </c>
      <c r="L13" s="1575"/>
      <c r="M13" s="1576"/>
    </row>
    <row r="14" spans="1:37" ht="18" customHeight="1">
      <c r="A14" s="1112" t="s">
        <v>1002</v>
      </c>
      <c r="B14" s="307" t="s">
        <v>1382</v>
      </c>
      <c r="C14" s="323">
        <f ca="1">INDIRECT("'数据-取费表'!m"&amp;$G$1)+INDIRECT("'数据-取费表'!t"&amp;$G$1)</f>
        <v>611</v>
      </c>
      <c r="D14" s="1528" t="s">
        <v>1383</v>
      </c>
      <c r="E14" s="1525"/>
      <c r="F14" s="324"/>
      <c r="G14" s="1567"/>
      <c r="H14" s="1112" t="s">
        <v>1003</v>
      </c>
      <c r="I14" s="307" t="s">
        <v>1384</v>
      </c>
      <c r="J14" s="24">
        <f ca="1">C29</f>
        <v>885</v>
      </c>
      <c r="K14" s="15"/>
      <c r="L14" s="915"/>
      <c r="M14" s="916"/>
    </row>
    <row r="15" spans="1:37" s="1580" customFormat="1" ht="18" customHeight="1" thickBot="1">
      <c r="A15" s="1112" t="s">
        <v>1004</v>
      </c>
      <c r="B15" s="307" t="s">
        <v>1385</v>
      </c>
      <c r="C15" s="24">
        <f ca="1">ROUND(C14*F15,0)</f>
        <v>18</v>
      </c>
      <c r="D15" s="325" t="s">
        <v>1386</v>
      </c>
      <c r="E15" s="325" t="s">
        <v>1387</v>
      </c>
      <c r="F15" s="326">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7"/>
      <c r="H16" s="1238" t="s">
        <v>998</v>
      </c>
      <c r="I16" s="1239" t="s">
        <v>1389</v>
      </c>
      <c r="J16" s="315">
        <f ca="1">ROUND(J17+J22+J23+J24,0)</f>
        <v>0</v>
      </c>
      <c r="K16" s="1246" t="s">
        <v>1390</v>
      </c>
      <c r="L16" s="1247"/>
      <c r="M16" s="1203"/>
    </row>
    <row r="17" spans="1:37" s="1580" customFormat="1" ht="18" customHeight="1">
      <c r="A17" s="1112" t="s">
        <v>1355</v>
      </c>
      <c r="B17" s="307" t="s">
        <v>1391</v>
      </c>
      <c r="C17" s="24">
        <f ca="1">ROUND(F17*(F43+INDIRECT("'数据-取费表'!S"&amp;$G$1))/10000,0)</f>
        <v>24</v>
      </c>
      <c r="D17" s="307" t="s">
        <v>1392</v>
      </c>
      <c r="E17" s="307" t="s">
        <v>1393</v>
      </c>
      <c r="F17" s="26">
        <f>'数据-取费表'!B35</f>
        <v>200</v>
      </c>
      <c r="G17" s="1579"/>
      <c r="H17" s="1112" t="s">
        <v>1003</v>
      </c>
      <c r="I17" s="307" t="s">
        <v>1394</v>
      </c>
      <c r="J17" s="2531">
        <f ca="1">ROUND(IF(AND(项目基本情况!B11="自然人",项目基本情况!B10="北京市"),J6*M17/(1+'数据-取费表'!C42),J18+J19+J20),0)</f>
        <v>0</v>
      </c>
      <c r="K17" s="1528" t="s">
        <v>1395</v>
      </c>
      <c r="L17" s="1527" t="s">
        <v>1396</v>
      </c>
      <c r="M17" s="2530">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9</v>
      </c>
      <c r="D18" s="307" t="s">
        <v>1386</v>
      </c>
      <c r="E18" s="307" t="s">
        <v>1387</v>
      </c>
      <c r="F18" s="327">
        <f>'数据-取费表'!B36</f>
        <v>1.4999999999999999E-2</v>
      </c>
      <c r="G18" s="1579"/>
      <c r="H18" s="1112" t="s">
        <v>1002</v>
      </c>
      <c r="I18" s="307" t="s">
        <v>1398</v>
      </c>
      <c r="J18" s="24">
        <f ca="1">ROUND(J6*M18/(1+'数据-取费表'!C42),2)</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662</v>
      </c>
      <c r="D19" s="135" t="s">
        <v>1401</v>
      </c>
      <c r="E19" s="1543"/>
      <c r="F19" s="26"/>
      <c r="G19" s="1567"/>
      <c r="H19" s="1112" t="s">
        <v>1004</v>
      </c>
      <c r="I19" s="307" t="s">
        <v>1402</v>
      </c>
      <c r="J19" s="24">
        <f ca="1">IF(K19="按租金收入计税",ROUND(J6*M19/(1+'数据-取费表'!C42),2),ROUND(C29*M19*0.7,2))</f>
        <v>0</v>
      </c>
      <c r="K19" s="1553" t="s">
        <v>4748</v>
      </c>
      <c r="L19" s="307" t="s">
        <v>1387</v>
      </c>
      <c r="M19" s="327">
        <f>IF(K19="按租金收入计税",'数据-取费表'!B51,'数据-取费表'!B50)</f>
        <v>0.12</v>
      </c>
    </row>
    <row r="20" spans="1:37" s="1580" customFormat="1" ht="18" customHeight="1">
      <c r="A20" s="1112" t="s">
        <v>1007</v>
      </c>
      <c r="B20" s="307" t="s">
        <v>1404</v>
      </c>
      <c r="C20" s="24">
        <f ca="1">ROUND(C19*F20,0)</f>
        <v>13</v>
      </c>
      <c r="D20" s="328" t="s">
        <v>1405</v>
      </c>
      <c r="E20" s="307" t="s">
        <v>1387</v>
      </c>
      <c r="F20" s="327">
        <f>'数据-取费表'!B37</f>
        <v>0.02</v>
      </c>
      <c r="G20" s="1579"/>
      <c r="H20" s="1112" t="s">
        <v>1354</v>
      </c>
      <c r="I20" s="159" t="s">
        <v>1406</v>
      </c>
      <c r="J20" s="25">
        <f ca="1">ROUND(M20*M21/10000,2)</f>
        <v>0.26</v>
      </c>
      <c r="K20" s="329" t="s">
        <v>1407</v>
      </c>
      <c r="L20" s="307" t="s">
        <v>1408</v>
      </c>
      <c r="M20" s="330">
        <f>'数据-取费表'!B52</f>
        <v>6</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18</v>
      </c>
      <c r="D21" s="328" t="s">
        <v>1410</v>
      </c>
      <c r="E21" s="307" t="s">
        <v>1411</v>
      </c>
      <c r="F21" s="327">
        <f>'数据-取费表'!B38</f>
        <v>0.03</v>
      </c>
      <c r="G21" s="1579"/>
      <c r="H21" s="331"/>
      <c r="I21" s="316"/>
      <c r="J21" s="29"/>
      <c r="K21" s="332"/>
      <c r="L21" s="307" t="s">
        <v>1412</v>
      </c>
      <c r="M21" s="308">
        <f ca="1">INDIRECT("'数据-取费表'!r"&amp;$G$1)</f>
        <v>441.56</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3"/>
      <c r="F22" s="26"/>
      <c r="G22" s="1567"/>
      <c r="H22" s="1112" t="s">
        <v>1007</v>
      </c>
      <c r="I22" s="307" t="s">
        <v>1414</v>
      </c>
      <c r="J22" s="24">
        <f ca="1">ROUND(J14*M22,1)</f>
        <v>0</v>
      </c>
      <c r="K22" s="1527" t="s">
        <v>1415</v>
      </c>
      <c r="L22" s="307" t="s">
        <v>1387</v>
      </c>
      <c r="M22" s="333">
        <f ca="1">INDIRECT("'数据-取费表'!Ak"&amp;$G$1)</f>
        <v>0</v>
      </c>
    </row>
    <row r="23" spans="1:37" s="1580" customFormat="1" ht="18" customHeight="1">
      <c r="A23" s="1112" t="s">
        <v>1002</v>
      </c>
      <c r="B23" s="307" t="s">
        <v>1416</v>
      </c>
      <c r="C23" s="24">
        <f ca="1">IF('数据-取费表'!B22&lt;=1,ROUND(C19*F24*F23/2,0)+ROUND(C20*F24*F23/2,0),ROUND(C19*(POWER((1+F24),F23/2)-1),0)+ROUND(C20*(POWER((1+F24),F23/2)-1),0))</f>
        <v>30</v>
      </c>
      <c r="D23" s="334" t="str">
        <f>IF(F23&lt;=1,"(建造成本+管理费用)×利率×(建设周期÷2)","(建造成本+管理费用)×((1+利率)^(建设周期÷2)-1)")</f>
        <v>(建造成本+管理费用)×((1+利率)^(建设周期÷2)-1)</v>
      </c>
      <c r="E23" s="307" t="s">
        <v>1417</v>
      </c>
      <c r="F23" s="330">
        <f>'数据-取费表'!B20</f>
        <v>2</v>
      </c>
      <c r="G23" s="1579"/>
      <c r="H23" s="1112" t="s">
        <v>1043</v>
      </c>
      <c r="I23" s="307" t="s">
        <v>1418</v>
      </c>
      <c r="J23" s="24">
        <f ca="1">ROUND(J13*M23,1)</f>
        <v>0</v>
      </c>
      <c r="K23" s="1527"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9"/>
      <c r="H24" s="1248" t="s">
        <v>1358</v>
      </c>
      <c r="I24" s="1249" t="s">
        <v>1404</v>
      </c>
      <c r="J24" s="1250">
        <f ca="1">ROUND(J5*M24,1)</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7" t="s">
        <v>1426</v>
      </c>
      <c r="C25" s="24"/>
      <c r="D25" s="135" t="s">
        <v>1427</v>
      </c>
      <c r="E25" s="1543"/>
      <c r="F25" s="26"/>
      <c r="G25" s="1567"/>
      <c r="H25" s="1238" t="s">
        <v>999</v>
      </c>
      <c r="I25" s="1253" t="s">
        <v>1428</v>
      </c>
      <c r="J25" s="315">
        <f ca="1">J5-J16</f>
        <v>0</v>
      </c>
      <c r="K25" s="1254" t="s">
        <v>1429</v>
      </c>
      <c r="L25" s="1255"/>
      <c r="M25" s="1256"/>
    </row>
    <row r="26" spans="1:37">
      <c r="A26" s="1112" t="s">
        <v>1002</v>
      </c>
      <c r="B26" s="307" t="s">
        <v>1430</v>
      </c>
      <c r="C26" s="24">
        <f ca="1">ROUND((C19+C20)*F26,0)</f>
        <v>101</v>
      </c>
      <c r="D26" s="328" t="s">
        <v>1431</v>
      </c>
      <c r="E26" s="318" t="s">
        <v>1432</v>
      </c>
      <c r="F26" s="317">
        <f ca="1">INDIRECT("'数据-取费表'!q"&amp;$G$1)</f>
        <v>0.15</v>
      </c>
      <c r="G26" s="1567"/>
      <c r="H26" s="304" t="s">
        <v>1000</v>
      </c>
      <c r="I26" s="305" t="s">
        <v>1433</v>
      </c>
      <c r="J26" s="306">
        <f ca="1">IF(J5&lt;&gt;0,ROUND(J25*(1-((1+M28)/(1+M26))^M27)/(M26-M28),0),0)</f>
        <v>0</v>
      </c>
      <c r="K26" s="329" t="s">
        <v>1434</v>
      </c>
      <c r="L26" s="307" t="s">
        <v>1435</v>
      </c>
      <c r="M26" s="317">
        <f ca="1">INDIRECT("'数据-取费表'!I"&amp;$G$1)</f>
        <v>5.5E-2</v>
      </c>
    </row>
    <row r="27" spans="1:37" ht="18" customHeight="1">
      <c r="A27" s="1112" t="s">
        <v>1004</v>
      </c>
      <c r="B27" s="307" t="s">
        <v>1436</v>
      </c>
      <c r="C27" s="24">
        <f ca="1">ROUND(F21*F26,4)</f>
        <v>4.4999999999999997E-3</v>
      </c>
      <c r="D27" s="328" t="s">
        <v>1437</v>
      </c>
      <c r="E27" s="325"/>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885</v>
      </c>
      <c r="D29" s="1251"/>
      <c r="E29" s="1249"/>
      <c r="F29" s="1252"/>
      <c r="G29" s="1579"/>
      <c r="H29" s="339" t="s">
        <v>1001</v>
      </c>
      <c r="I29" s="340" t="s">
        <v>1444</v>
      </c>
      <c r="J29" s="341">
        <f ca="1">ROUND(J26/(1+F40)^F41,0)</f>
        <v>0</v>
      </c>
      <c r="K29" s="342" t="s">
        <v>1445</v>
      </c>
      <c r="L29" s="343"/>
      <c r="M29" s="344">
        <f ca="1">INDIRECT("'数据-取费表'!k"&amp;$G$1)</f>
        <v>1222.7700000000002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10</v>
      </c>
      <c r="D30" s="1246" t="s">
        <v>1390</v>
      </c>
      <c r="E30" s="1247"/>
      <c r="F30" s="1203"/>
      <c r="G30" s="1567"/>
      <c r="H30" s="2923"/>
      <c r="I30" s="1581"/>
      <c r="J30" s="1582"/>
      <c r="K30" s="2698"/>
      <c r="L30" s="2924"/>
      <c r="M30" s="2925"/>
    </row>
    <row r="31" spans="1:37" ht="18" customHeight="1">
      <c r="A31" s="1112" t="s">
        <v>1003</v>
      </c>
      <c r="B31" s="307" t="s">
        <v>1394</v>
      </c>
      <c r="C31" s="2531">
        <f ca="1">ROUND(IF(AND(项目基本情况!B11="自然人",项目基本情况!B10="北京市"),C6*F31/(1+'数据-取费表'!C42),C32+C33+C34),0)</f>
        <v>10</v>
      </c>
      <c r="D31" s="1528" t="s">
        <v>1395</v>
      </c>
      <c r="E31" s="1527" t="s">
        <v>1446</v>
      </c>
      <c r="F31" s="2530">
        <f ca="1">IF(项目基本情况!B11="企业","——",IF('数据-取费表'!B10="住宅",IF(F6*F7*F8/12/(1+'数据-取费表'!F30)&gt;100000,4%,2.5%),IF(F6*F7*F8/12/(1+'数据-取费表'!F30)&gt;100000,12%,7%)))</f>
        <v>7.0000000000000007E-2</v>
      </c>
      <c r="G31" s="1567"/>
      <c r="H31" s="3036" t="s">
        <v>3047</v>
      </c>
      <c r="I31" s="1581"/>
      <c r="J31" s="1582"/>
      <c r="K31" s="2698"/>
      <c r="L31" s="2924"/>
      <c r="M31" s="2925"/>
    </row>
    <row r="32" spans="1:37" ht="18" customHeight="1">
      <c r="A32" s="1112" t="s">
        <v>1002</v>
      </c>
      <c r="B32" s="307" t="s">
        <v>1398</v>
      </c>
      <c r="C32" s="24">
        <f ca="1">IF(项目基本情况!B11="自然人","——",ROUND(C6*F32/(1+'数据-取费表'!C42),2))</f>
        <v>3.04</v>
      </c>
      <c r="D32" s="1527" t="s">
        <v>1399</v>
      </c>
      <c r="E32" s="307" t="s">
        <v>1387</v>
      </c>
      <c r="F32" s="336">
        <f>'数据-取费表'!B41</f>
        <v>5.6000000000000001E-2</v>
      </c>
      <c r="G32" s="1567"/>
      <c r="H32" s="2923"/>
      <c r="I32" s="1581"/>
      <c r="J32" s="1582"/>
      <c r="K32" s="2698"/>
      <c r="L32" s="2924"/>
      <c r="M32" s="2925"/>
    </row>
    <row r="33" spans="1:18" ht="18" customHeight="1">
      <c r="A33" s="1112" t="s">
        <v>1004</v>
      </c>
      <c r="B33" s="307" t="s">
        <v>1402</v>
      </c>
      <c r="C33" s="24">
        <f ca="1">IF(项目基本情况!B11="自然人","——",IF(D33="按租金收入计税",ROUND(C6*F33/(1+'数据-取费表'!C42),2),IF(D33="按房产原值计税",ROUND(C29*F33*0.7,2),INDIRECT("'数据-取费表'!Aj"&amp;$G$1))))</f>
        <v>6.51</v>
      </c>
      <c r="D33" s="1553" t="s">
        <v>4748</v>
      </c>
      <c r="E33" s="307" t="s">
        <v>1387</v>
      </c>
      <c r="F33" s="327">
        <f>IF(D33="按票据","——",IF(D33="按租金收入计税",'数据-取费表'!B51,'数据-取费表'!B50))</f>
        <v>0.12</v>
      </c>
      <c r="G33" s="1567"/>
      <c r="H33" s="2926"/>
      <c r="I33" s="1581"/>
      <c r="J33" s="1582"/>
      <c r="K33" s="2927"/>
      <c r="L33" s="2926"/>
      <c r="M33" s="2926"/>
    </row>
    <row r="34" spans="1:18" ht="18" customHeight="1">
      <c r="A34" s="1200" t="s">
        <v>1354</v>
      </c>
      <c r="B34" s="159" t="s">
        <v>1406</v>
      </c>
      <c r="C34" s="25">
        <f ca="1">IF(项目基本情况!B11="自然人","——",ROUND(F34*F35/10000,2))</f>
        <v>0.26</v>
      </c>
      <c r="D34" s="329" t="s">
        <v>1407</v>
      </c>
      <c r="E34" s="307" t="s">
        <v>1408</v>
      </c>
      <c r="F34" s="330">
        <f>'数据-取费表'!B52</f>
        <v>6</v>
      </c>
      <c r="G34" s="1567"/>
      <c r="H34" s="2923"/>
      <c r="I34" s="1581"/>
      <c r="J34" s="1582"/>
      <c r="K34" s="2928"/>
      <c r="L34" s="2929"/>
      <c r="M34" s="2929"/>
    </row>
    <row r="35" spans="1:18" ht="18" customHeight="1">
      <c r="A35" s="1262"/>
      <c r="B35" s="1260"/>
      <c r="C35" s="29"/>
      <c r="D35" s="332"/>
      <c r="E35" s="307" t="s">
        <v>1412</v>
      </c>
      <c r="F35" s="308">
        <f ca="1">INDIRECT("'数据-取费表'!r"&amp;$G$1)</f>
        <v>441.56</v>
      </c>
      <c r="G35" s="1567"/>
      <c r="H35" s="2923"/>
      <c r="I35" s="1581"/>
      <c r="J35" s="1582"/>
      <c r="K35" s="2927"/>
      <c r="L35" s="2926"/>
      <c r="M35" s="2926"/>
    </row>
    <row r="36" spans="1:18" ht="18" customHeight="1">
      <c r="A36" s="1261" t="s">
        <v>1007</v>
      </c>
      <c r="B36" s="307" t="s">
        <v>1414</v>
      </c>
      <c r="C36" s="24">
        <f ca="1">ROUND(C29*F36,1)</f>
        <v>0</v>
      </c>
      <c r="D36" s="1527" t="s">
        <v>1447</v>
      </c>
      <c r="E36" s="307" t="s">
        <v>1387</v>
      </c>
      <c r="F36" s="333">
        <f ca="1">INDIRECT("'数据-取费表'!Ak"&amp;$G$1)</f>
        <v>0</v>
      </c>
      <c r="G36" s="1567"/>
      <c r="H36" s="2926"/>
      <c r="I36" s="1581"/>
      <c r="J36" s="1582"/>
      <c r="K36" s="2767"/>
      <c r="L36" s="2926"/>
      <c r="M36" s="2926"/>
    </row>
    <row r="37" spans="1:18" ht="18" customHeight="1">
      <c r="A37" s="1112" t="s">
        <v>1043</v>
      </c>
      <c r="B37" s="307" t="s">
        <v>1418</v>
      </c>
      <c r="C37" s="24">
        <f ca="1">ROUND(C13*F37,1)</f>
        <v>0</v>
      </c>
      <c r="D37" s="1527" t="s">
        <v>1419</v>
      </c>
      <c r="E37" s="307" t="s">
        <v>1420</v>
      </c>
      <c r="F37" s="335">
        <f ca="1">INDIRECT("'数据-取费表'!Al"&amp;$G$1)</f>
        <v>0</v>
      </c>
      <c r="G37" s="1567"/>
      <c r="H37" s="2926"/>
      <c r="I37" s="1581"/>
      <c r="J37" s="1582"/>
      <c r="K37" s="2767"/>
      <c r="L37" s="2926"/>
      <c r="M37" s="2926"/>
    </row>
    <row r="38" spans="1:18" ht="18" customHeight="1" thickBot="1">
      <c r="A38" s="1248" t="s">
        <v>1358</v>
      </c>
      <c r="B38" s="1249" t="s">
        <v>1404</v>
      </c>
      <c r="C38" s="1250">
        <f ca="1">ROUND(C5*F38,1)</f>
        <v>0</v>
      </c>
      <c r="D38" s="1251" t="s">
        <v>1424</v>
      </c>
      <c r="E38" s="1249" t="s">
        <v>1420</v>
      </c>
      <c r="F38" s="1245">
        <f ca="1">INDIRECT("'数据-取费表'!Am"&amp;$G$1)</f>
        <v>0</v>
      </c>
      <c r="G38" s="1567"/>
      <c r="H38" s="2926"/>
      <c r="I38" s="1581"/>
      <c r="J38" s="1582"/>
      <c r="K38" s="2930"/>
      <c r="L38" s="2926"/>
      <c r="M38" s="2926"/>
    </row>
    <row r="39" spans="1:18" ht="24.6" customHeight="1" thickTop="1">
      <c r="A39" s="1238" t="s">
        <v>999</v>
      </c>
      <c r="B39" s="1253" t="s">
        <v>1448</v>
      </c>
      <c r="C39" s="315">
        <f ca="1">C5-C30</f>
        <v>47</v>
      </c>
      <c r="D39" s="1254" t="s">
        <v>1449</v>
      </c>
      <c r="E39" s="1255"/>
      <c r="F39" s="1256"/>
      <c r="G39" s="1567"/>
      <c r="H39" s="2926"/>
      <c r="I39" s="1581"/>
      <c r="J39" s="1582"/>
      <c r="K39" s="2930"/>
      <c r="L39" s="2926"/>
      <c r="M39" s="2926"/>
    </row>
    <row r="40" spans="1:18" ht="18" customHeight="1">
      <c r="A40" s="304" t="s">
        <v>1000</v>
      </c>
      <c r="B40" s="305" t="s">
        <v>1450</v>
      </c>
      <c r="C40" s="306">
        <f ca="1">ROUND(C39*(1-((1+F42)/(1+F40))^F41)/(F40-F42),0)</f>
        <v>1117</v>
      </c>
      <c r="D40" s="329" t="s">
        <v>1434</v>
      </c>
      <c r="E40" s="307" t="s">
        <v>1435</v>
      </c>
      <c r="F40" s="317">
        <f ca="1">INDIRECT("'数据-取费表'!I"&amp;$G$1)</f>
        <v>5.5E-2</v>
      </c>
      <c r="G40" s="1567"/>
      <c r="H40" s="1644"/>
      <c r="I40" s="1581"/>
      <c r="J40" s="1582"/>
      <c r="K40" s="2930"/>
      <c r="L40" s="1644"/>
      <c r="M40" s="1644"/>
    </row>
    <row r="41" spans="1:18" ht="18" customHeight="1">
      <c r="A41" s="309"/>
      <c r="B41" s="310"/>
      <c r="C41" s="311"/>
      <c r="D41" s="337" t="s">
        <v>1451</v>
      </c>
      <c r="E41" s="307" t="s">
        <v>1439</v>
      </c>
      <c r="F41" s="338">
        <f ca="1">IF(INDIRECT("'数据-取费表'!af"&amp;$G$1)=0,INDIRECT("'数据-取费表'!ae"&amp;$G$1),INDIRECT("'数据-取费表'!af"&amp;$G$1))</f>
        <v>37.589999999999996</v>
      </c>
      <c r="G41" s="1567"/>
      <c r="H41" s="1352"/>
      <c r="I41" s="1581"/>
      <c r="J41" s="1582"/>
      <c r="K41" s="2767"/>
      <c r="L41" s="1352"/>
      <c r="M41" s="1352"/>
    </row>
    <row r="42" spans="1:18" ht="18" customHeight="1">
      <c r="A42" s="313"/>
      <c r="B42" s="314"/>
      <c r="C42" s="315"/>
      <c r="D42" s="332"/>
      <c r="E42" s="307" t="s">
        <v>1442</v>
      </c>
      <c r="F42" s="317">
        <f ca="1">INDIRECT("'数据-取费表'!v"&amp;$G$1)</f>
        <v>0.03</v>
      </c>
      <c r="G42" s="1567"/>
      <c r="H42" s="1352"/>
      <c r="I42" s="1581"/>
      <c r="J42" s="1582"/>
      <c r="K42" s="2767"/>
      <c r="L42" s="1352"/>
      <c r="M42" s="1352"/>
    </row>
    <row r="43" spans="1:18" ht="18" customHeight="1" thickBot="1">
      <c r="A43" s="339" t="s">
        <v>1001</v>
      </c>
      <c r="B43" s="340" t="s">
        <v>1452</v>
      </c>
      <c r="C43" s="341">
        <f ca="1">ROUND(C40*10000/F43,0)</f>
        <v>9135</v>
      </c>
      <c r="D43" s="342" t="s">
        <v>1453</v>
      </c>
      <c r="E43" s="343" t="s">
        <v>1454</v>
      </c>
      <c r="F43" s="344">
        <f ca="1">INDIRECT("'数据-取费表'!k"&amp;$G$1)</f>
        <v>1222.7700000000002</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1" t="s">
        <v>1484</v>
      </c>
      <c r="P45" s="1644"/>
      <c r="Q45" s="1644"/>
      <c r="R45" s="1644"/>
    </row>
    <row r="46" spans="1:18" s="1567" customFormat="1" ht="13.5" thickBot="1">
      <c r="A46" s="1587" t="s">
        <v>1485</v>
      </c>
      <c r="C46" s="1588">
        <f ca="1">C68-C40</f>
        <v>-2298</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t="s">
        <v>4695</v>
      </c>
      <c r="K47" s="1599" t="s">
        <v>1492</v>
      </c>
      <c r="L47" s="1600">
        <f ca="1">INDIRECT("'数据-取费表'!d"&amp;$G$1)</f>
        <v>40</v>
      </c>
      <c r="M47" s="1563" t="str">
        <f>IF(ISNUMBER(FIND("住宅",C1)),"住宅","非住宅")</f>
        <v>非住宅</v>
      </c>
      <c r="O47" s="1601" t="s">
        <v>1008</v>
      </c>
      <c r="P47" s="1602" t="s">
        <v>1493</v>
      </c>
      <c r="Q47" s="1603">
        <f ca="1">C40+J29</f>
        <v>1117</v>
      </c>
      <c r="R47" s="1603" t="s">
        <v>1494</v>
      </c>
    </row>
    <row r="48" spans="1:18" s="1567" customFormat="1" ht="28.5" thickBot="1">
      <c r="A48" s="1269" t="s">
        <v>1103</v>
      </c>
      <c r="B48" s="305" t="s">
        <v>1366</v>
      </c>
      <c r="C48" s="1542">
        <f ca="1">C49+C53+C55</f>
        <v>0</v>
      </c>
      <c r="D48" s="1271"/>
      <c r="E48" s="1272"/>
      <c r="F48" s="1092"/>
      <c r="G48" s="730"/>
      <c r="H48" s="731"/>
      <c r="I48" s="1604" t="s">
        <v>1495</v>
      </c>
      <c r="J48" s="1605" t="s">
        <v>4749</v>
      </c>
      <c r="K48" s="1606" t="s">
        <v>1496</v>
      </c>
      <c r="L48" s="1607">
        <f ca="1">INDIRECT("'数据-取费表'!f"&amp;$G$1)</f>
        <v>38.69</v>
      </c>
      <c r="O48" s="1601" t="s">
        <v>1009</v>
      </c>
      <c r="P48" s="1602" t="s">
        <v>1497</v>
      </c>
      <c r="Q48" s="1603" t="str">
        <f ca="1">J60</f>
        <v>0</v>
      </c>
      <c r="R48" s="1603" t="s">
        <v>1498</v>
      </c>
    </row>
    <row r="49" spans="1:18" s="1567" customFormat="1" ht="13.5" thickBot="1">
      <c r="A49" s="1105" t="s">
        <v>1104</v>
      </c>
      <c r="B49" s="1554" t="s">
        <v>1455</v>
      </c>
      <c r="C49" s="1273">
        <f ca="1">ROUND(F49*F51*F50*(1-F52)/10000,0)</f>
        <v>0</v>
      </c>
      <c r="D49" s="1185" t="s">
        <v>2850</v>
      </c>
      <c r="E49" s="1555" t="s">
        <v>1456</v>
      </c>
      <c r="F49" s="1190"/>
      <c r="G49" s="1608"/>
      <c r="H49" s="731"/>
      <c r="I49" s="1604" t="s">
        <v>1499</v>
      </c>
      <c r="J49" s="1609">
        <v>2023</v>
      </c>
      <c r="K49" s="1606" t="s">
        <v>1500</v>
      </c>
      <c r="L49" s="1610"/>
      <c r="O49" s="1611" t="s">
        <v>1010</v>
      </c>
      <c r="P49" s="1602" t="s">
        <v>1501</v>
      </c>
      <c r="Q49" s="1603">
        <f ca="1">C29</f>
        <v>885</v>
      </c>
      <c r="R49" s="1603" t="s">
        <v>1494</v>
      </c>
    </row>
    <row r="50" spans="1:18" s="1567" customFormat="1" ht="13.5" thickBot="1">
      <c r="A50" s="1106"/>
      <c r="B50" s="1109"/>
      <c r="C50" s="1277"/>
      <c r="D50" s="1083"/>
      <c r="E50" s="1186" t="s">
        <v>1371</v>
      </c>
      <c r="F50" s="1187">
        <f ca="1">F7</f>
        <v>1222.7700000000002</v>
      </c>
      <c r="H50" s="731"/>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8">
        <f ca="1">F8</f>
        <v>365</v>
      </c>
      <c r="I51" s="1615" t="s">
        <v>1505</v>
      </c>
      <c r="J51" s="1616">
        <f>IF(J49="",J50,J49+J50-YEAR('数据-取费表'!B2))</f>
        <v>62</v>
      </c>
      <c r="K51" s="1617" t="s">
        <v>1506</v>
      </c>
      <c r="L51" s="1618">
        <f ca="1">ROUND(-PV(INDIRECT("'数据-取费表'!h"&amp;$G$1),J51,(C39-C13*C76),0),0)</f>
        <v>-537</v>
      </c>
      <c r="M51" s="1619"/>
      <c r="O51" s="1611" t="s">
        <v>1012</v>
      </c>
      <c r="P51" s="1602" t="s">
        <v>1507</v>
      </c>
      <c r="Q51" s="1614">
        <f>J52</f>
        <v>0.09</v>
      </c>
      <c r="R51" s="1603"/>
    </row>
    <row r="52" spans="1:18" s="1567" customFormat="1" ht="13.5" thickBot="1">
      <c r="A52" s="1107"/>
      <c r="B52" s="1109"/>
      <c r="C52" s="1110"/>
      <c r="D52" s="1083"/>
      <c r="E52" s="1111" t="s">
        <v>1373</v>
      </c>
      <c r="F52" s="1184"/>
      <c r="I52" s="1620" t="s">
        <v>1508</v>
      </c>
      <c r="J52" s="1621">
        <v>0.09</v>
      </c>
      <c r="K52" s="1620" t="s">
        <v>1509</v>
      </c>
      <c r="L52" s="1621"/>
      <c r="O52" s="1611" t="s">
        <v>1013</v>
      </c>
      <c r="P52" s="1602" t="s">
        <v>1510</v>
      </c>
      <c r="Q52" s="1603">
        <f ca="1">J53</f>
        <v>37.589999999999996</v>
      </c>
      <c r="R52" s="1603" t="s">
        <v>1511</v>
      </c>
    </row>
    <row r="53" spans="1:18" s="1567" customFormat="1" ht="24.75" thickBot="1">
      <c r="A53" s="1313" t="s">
        <v>1105</v>
      </c>
      <c r="B53" s="1556" t="s">
        <v>1374</v>
      </c>
      <c r="C53" s="321">
        <f ca="1">ROUND(IF(F53="押一",C49/12*F11,IF(F53="押二",C49/12*2*F11,IF(F53="押三",C49/12*3*F11,C54*F11))),0)</f>
        <v>0</v>
      </c>
      <c r="D53" s="1549" t="s">
        <v>2856</v>
      </c>
      <c r="E53" s="318" t="s">
        <v>1375</v>
      </c>
      <c r="F53" s="1275"/>
      <c r="I53" s="1622" t="s">
        <v>1512</v>
      </c>
      <c r="J53" s="2383">
        <f ca="1">IF(M47="住宅",IF(D1="——",MAX(J51,L48),MAX(J51,L48-'数据-取费表'!B24)),IF(D1="——",MIN(J51,L48),MIN(J51,L48-'数据-取费表'!B24)))</f>
        <v>37.589999999999996</v>
      </c>
      <c r="K53" s="3344" t="s">
        <v>1513</v>
      </c>
      <c r="L53" s="3345"/>
      <c r="O53" s="1601" t="s">
        <v>1014</v>
      </c>
      <c r="P53" s="1602" t="s">
        <v>1514</v>
      </c>
      <c r="Q53" s="1603">
        <f ca="1">Q47+Q48</f>
        <v>1117</v>
      </c>
      <c r="R53" s="1603" t="s">
        <v>1015</v>
      </c>
    </row>
    <row r="54" spans="1:18" s="1567" customFormat="1" ht="13.5" thickBot="1">
      <c r="A54" s="1314"/>
      <c r="B54" s="1550" t="s">
        <v>1353</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7">
        <v>2</v>
      </c>
      <c r="B56" s="1088" t="s">
        <v>1379</v>
      </c>
      <c r="C56" s="237">
        <f ca="1">C13</f>
        <v>885</v>
      </c>
      <c r="D56" s="1630"/>
      <c r="E56" s="1631"/>
      <c r="F56" s="1623"/>
      <c r="I56" s="1632" t="s">
        <v>1519</v>
      </c>
      <c r="J56" s="1633" t="s">
        <v>4539</v>
      </c>
      <c r="K56" s="1604" t="s">
        <v>1520</v>
      </c>
      <c r="L56" s="1607" t="str">
        <f ca="1">IF(L48&lt;J51,"——",L48-J53)</f>
        <v>——</v>
      </c>
      <c r="O56" s="1601" t="s">
        <v>1008</v>
      </c>
      <c r="P56" s="1602" t="s">
        <v>1493</v>
      </c>
      <c r="Q56" s="1603">
        <f ca="1">C40+J29</f>
        <v>1117</v>
      </c>
      <c r="R56" s="1603" t="s">
        <v>1494</v>
      </c>
    </row>
    <row r="57" spans="1:18" s="1567" customFormat="1" ht="24.75" thickBot="1">
      <c r="A57" s="1634"/>
      <c r="B57" s="1080" t="s">
        <v>1443</v>
      </c>
      <c r="C57" s="243">
        <f ca="1">C29</f>
        <v>885</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8" t="s">
        <v>1389</v>
      </c>
      <c r="C58" s="321">
        <f ca="1">ROUND(C59+C64+C65+C66,0)</f>
        <v>75</v>
      </c>
      <c r="D58" s="1090" t="s">
        <v>1390</v>
      </c>
      <c r="E58" s="1091"/>
      <c r="F58" s="1092"/>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1">
        <f ca="1">ROUND(IF(AND(项目基本情况!B11="自然人",项目基本情况!B10="北京市"),C49*F59/(1+'数据-取费表'!C42),C60+C61+C62),0)</f>
        <v>75</v>
      </c>
      <c r="D59" s="1093" t="s">
        <v>1395</v>
      </c>
      <c r="E59" s="1094" t="s">
        <v>1396</v>
      </c>
      <c r="F59" s="2530">
        <f ca="1">IF(项目基本情况!B11="企业","——",IF('数据-取费表'!B10="住宅",IF(F49*F50*F51/12/(1+'数据-取费表'!F30)&gt;100000,4%,2.5%),IF(F49*F50*F51/12/(1+'数据-取费表'!F30)&gt;100000,12%,7%)))</f>
        <v>7.0000000000000007E-2</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74.34</v>
      </c>
      <c r="D61" s="1553" t="s">
        <v>1403</v>
      </c>
      <c r="E61" s="1080" t="s">
        <v>1459</v>
      </c>
      <c r="F61" s="327">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0.26</v>
      </c>
      <c r="D62" s="1095" t="s">
        <v>1462</v>
      </c>
      <c r="E62" s="1080" t="s">
        <v>1463</v>
      </c>
      <c r="F62" s="330">
        <f t="shared" si="0"/>
        <v>6</v>
      </c>
      <c r="I62" s="1645" t="s">
        <v>1535</v>
      </c>
      <c r="J62" s="1646" t="s">
        <v>1536</v>
      </c>
      <c r="K62" s="1646" t="s">
        <v>1537</v>
      </c>
      <c r="L62" s="1646" t="s">
        <v>1538</v>
      </c>
      <c r="M62" s="1647" t="s">
        <v>1539</v>
      </c>
      <c r="O62" s="1601" t="s">
        <v>1014</v>
      </c>
      <c r="P62" s="1602" t="s">
        <v>1540</v>
      </c>
      <c r="Q62" s="1603">
        <f ca="1">Q56+Q57</f>
        <v>1117</v>
      </c>
      <c r="R62" s="1603" t="s">
        <v>1015</v>
      </c>
    </row>
    <row r="63" spans="1:18" s="1567" customFormat="1" ht="13.5" thickBot="1">
      <c r="A63" s="331"/>
      <c r="B63" s="1086"/>
      <c r="C63" s="29"/>
      <c r="D63" s="1096"/>
      <c r="E63" s="1080" t="s">
        <v>1464</v>
      </c>
      <c r="F63" s="308">
        <f t="shared" ca="1" si="0"/>
        <v>441.56</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0</v>
      </c>
      <c r="D64" s="1094" t="s">
        <v>1467</v>
      </c>
      <c r="E64" s="1080"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0</v>
      </c>
      <c r="D65" s="1094" t="s">
        <v>1419</v>
      </c>
      <c r="E65" s="1080" t="s">
        <v>1420</v>
      </c>
      <c r="F65" s="335">
        <f t="shared" ca="1" si="0"/>
        <v>0</v>
      </c>
      <c r="I65" s="1645" t="s">
        <v>1544</v>
      </c>
      <c r="J65" s="1646">
        <v>40</v>
      </c>
      <c r="K65" s="1646">
        <v>30</v>
      </c>
      <c r="L65" s="1646">
        <v>50</v>
      </c>
      <c r="M65" s="1648">
        <v>0.02</v>
      </c>
      <c r="O65" s="1601" t="s">
        <v>1008</v>
      </c>
      <c r="P65" s="1602" t="s">
        <v>1545</v>
      </c>
      <c r="Q65" s="1603">
        <f ca="1">C40+J29</f>
        <v>1117</v>
      </c>
      <c r="R65" s="1603" t="s">
        <v>1494</v>
      </c>
    </row>
    <row r="66" spans="1:18" s="1567" customFormat="1" ht="16.5" thickBot="1">
      <c r="A66" s="1112" t="s">
        <v>1469</v>
      </c>
      <c r="B66" s="1080" t="s">
        <v>1404</v>
      </c>
      <c r="C66" s="24">
        <f ca="1">ROUND(C48*F66,1)</f>
        <v>0</v>
      </c>
      <c r="D66" s="1094" t="s">
        <v>1470</v>
      </c>
      <c r="E66" s="1080" t="s">
        <v>1387</v>
      </c>
      <c r="F66" s="317">
        <f t="shared" ca="1" si="0"/>
        <v>0</v>
      </c>
      <c r="O66" s="1601" t="s">
        <v>1009</v>
      </c>
      <c r="P66" s="1602" t="s">
        <v>1523</v>
      </c>
      <c r="Q66" s="1603">
        <f ca="1">L60</f>
        <v>0</v>
      </c>
      <c r="R66" s="1603" t="s">
        <v>1546</v>
      </c>
    </row>
    <row r="67" spans="1:18" s="1567" customFormat="1" ht="16.5" thickBot="1">
      <c r="A67" s="1087" t="s">
        <v>999</v>
      </c>
      <c r="B67" s="1097" t="s">
        <v>1428</v>
      </c>
      <c r="C67" s="321">
        <f ca="1">C48-C58</f>
        <v>-75</v>
      </c>
      <c r="D67" s="1093" t="s">
        <v>1429</v>
      </c>
      <c r="E67" s="1098"/>
      <c r="F67" s="1099"/>
      <c r="O67" s="1611" t="s">
        <v>1010</v>
      </c>
      <c r="P67" s="1602" t="s">
        <v>1527</v>
      </c>
      <c r="Q67" s="1649">
        <f ca="1">L51</f>
        <v>-537</v>
      </c>
      <c r="R67" s="1603" t="s">
        <v>1547</v>
      </c>
    </row>
    <row r="68" spans="1:18" s="1567" customFormat="1" ht="16.5" thickBot="1">
      <c r="A68" s="1077" t="s">
        <v>1000</v>
      </c>
      <c r="B68" s="1078" t="s">
        <v>1450</v>
      </c>
      <c r="C68" s="306">
        <f ca="1">ROUND(C67*(1-((1+F70)/(1+F68))^F69)/(F68-F70),0)</f>
        <v>-1181</v>
      </c>
      <c r="D68" s="1095" t="s">
        <v>1434</v>
      </c>
      <c r="E68" s="1080" t="s">
        <v>1435</v>
      </c>
      <c r="F68" s="317">
        <f ca="1">F40</f>
        <v>5.5E-2</v>
      </c>
      <c r="O68" s="1611" t="s">
        <v>1011</v>
      </c>
      <c r="P68" s="1650" t="s">
        <v>1548</v>
      </c>
      <c r="Q68" s="1603">
        <f ca="1">ROUND(Q69-Q70*Q71,0)</f>
        <v>-28</v>
      </c>
      <c r="R68" s="1603" t="s">
        <v>1019</v>
      </c>
    </row>
    <row r="69" spans="1:18" s="1567" customFormat="1" ht="13.5" thickBot="1">
      <c r="A69" s="1081"/>
      <c r="B69" s="1082"/>
      <c r="C69" s="311"/>
      <c r="D69" s="1100" t="s">
        <v>1438</v>
      </c>
      <c r="E69" s="1080" t="s">
        <v>1439</v>
      </c>
      <c r="F69" s="338">
        <f ca="1">F41</f>
        <v>37.589999999999996</v>
      </c>
      <c r="O69" s="1611" t="s">
        <v>1016</v>
      </c>
      <c r="P69" s="1650" t="s">
        <v>1549</v>
      </c>
      <c r="Q69" s="1603">
        <f ca="1">C39</f>
        <v>47</v>
      </c>
      <c r="R69" s="1603" t="s">
        <v>1494</v>
      </c>
    </row>
    <row r="70" spans="1:18" s="1567" customFormat="1" ht="13.5" thickBot="1">
      <c r="A70" s="1084"/>
      <c r="B70" s="1085"/>
      <c r="C70" s="315"/>
      <c r="D70" s="1096"/>
      <c r="E70" s="1080" t="s">
        <v>1442</v>
      </c>
      <c r="F70" s="1184"/>
      <c r="O70" s="1611" t="s">
        <v>1017</v>
      </c>
      <c r="P70" s="1650" t="s">
        <v>1550</v>
      </c>
      <c r="Q70" s="1603">
        <f ca="1">C13</f>
        <v>885</v>
      </c>
      <c r="R70" s="1603" t="s">
        <v>1494</v>
      </c>
    </row>
    <row r="71" spans="1:18" s="1567" customFormat="1" ht="13.5" thickBot="1">
      <c r="A71" s="1101" t="s">
        <v>1001</v>
      </c>
      <c r="B71" s="1102" t="s">
        <v>1452</v>
      </c>
      <c r="C71" s="341">
        <f ca="1">ROUND(C68*10000/F71,0)</f>
        <v>-9658</v>
      </c>
      <c r="D71" s="1103" t="s">
        <v>1453</v>
      </c>
      <c r="E71" s="1104" t="s">
        <v>1454</v>
      </c>
      <c r="F71" s="344">
        <f ca="1">F43</f>
        <v>1222.7700000000002</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5" t="s">
        <v>1471</v>
      </c>
      <c r="C75" s="346">
        <f ca="1">ROUND(C13*C76,0)</f>
        <v>75</v>
      </c>
      <c r="D75" s="1567"/>
      <c r="E75" s="1567"/>
      <c r="F75" s="1567"/>
      <c r="K75" s="1585"/>
      <c r="L75" s="1567"/>
      <c r="O75" s="1601" t="s">
        <v>1014</v>
      </c>
      <c r="P75" s="1602" t="s">
        <v>1514</v>
      </c>
      <c r="Q75" s="1603">
        <f ca="1">Q65+Q66</f>
        <v>1117</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-0.59600000000000009</v>
      </c>
    </row>
    <row r="80" spans="1:18">
      <c r="B80" s="345" t="s">
        <v>1476</v>
      </c>
      <c r="C80" s="279">
        <f ca="1">ROUND(C75/C39,3)</f>
        <v>1.5960000000000001</v>
      </c>
    </row>
    <row r="81" spans="2:3">
      <c r="B81" s="275" t="s">
        <v>1477</v>
      </c>
      <c r="C81" s="243"/>
    </row>
    <row r="82" spans="2:3">
      <c r="B82" s="278" t="s">
        <v>1478</v>
      </c>
      <c r="C82" s="280">
        <f ca="1">1-C83</f>
        <v>0.20799999999999996</v>
      </c>
    </row>
    <row r="83" spans="2:3">
      <c r="B83" s="278" t="s">
        <v>1479</v>
      </c>
      <c r="C83" s="279">
        <f ca="1">ROUND(C13/C40,3)</f>
        <v>0.79200000000000004</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估价对象为房地产，为所有。根据《国有土地使用证》[]，估价对象（分摊）出让国有建设用地使用权面积为42598.89平方米，建筑面积为117964.1平方米。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估价对象为房地产,属开发建设的，该项目尚在开发建设中。根据《国有土地使用证》[]，估价对象（分摊）出让国有建设用地使用权面积为42598.89平方米，规划建筑面积为117964.1平方米。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为估价委托人了解估价对象房地产市场价值提供参考依据。</v>
      </c>
    </row>
    <row r="14" spans="1:1" ht="18.75">
      <c r="A14" s="1669" t="s">
        <v>1583</v>
      </c>
    </row>
    <row r="15" spans="1:1" ht="18">
      <c r="A15" s="1670" t="str">
        <f>TEXT(项目基本情况!D3,"yyyy年m月d日;;")&amp;IF(项目基本情况!D3=项目基本情况!B3,"（评估专业人员实地查勘之日）","")</f>
        <v>2021年10月9日（评估专业人员实地查勘之日）</v>
      </c>
    </row>
    <row r="16" spans="1:1" ht="18.75">
      <c r="A16" s="1669" t="s">
        <v>1584</v>
      </c>
    </row>
    <row r="17" spans="1:1" ht="75">
      <c r="A17" s="1664" t="s">
        <v>1585</v>
      </c>
    </row>
    <row r="18" spans="1:1" ht="72">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9日，估价对象规划用途为，土地取得方式为出让，出让国有建设用地使用权剩余土地使用年限为住宅68.7年、商业38.7年，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住宅68.7年、商业38.7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本次评估采用的主估价方法为成本法和假设开发法。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c r="D1" s="1545"/>
      <c r="E1" s="1546" t="s">
        <v>1352</v>
      </c>
      <c r="F1" s="1192" t="e">
        <f ca="1">J53</f>
        <v>#N/A</v>
      </c>
      <c r="G1" s="1561" t="e">
        <f>MATCH(C1,'数据-取费表'!A6:A16,0)+5</f>
        <v>#N/A</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t="e">
        <f ca="1">ROUND(D2/10000,0)</f>
        <v>#N/A</v>
      </c>
      <c r="C2" s="1570" t="s">
        <v>1556</v>
      </c>
      <c r="D2" s="1654" t="e">
        <f ca="1">C40+J29+L46</f>
        <v>#N/A</v>
      </c>
      <c r="E2" s="1571" t="s">
        <v>1557</v>
      </c>
      <c r="F2" s="1572"/>
      <c r="G2" s="2932"/>
      <c r="H2" s="2921"/>
      <c r="I2" s="2921"/>
      <c r="J2" s="2921"/>
      <c r="K2" s="2922"/>
      <c r="L2" s="2921"/>
      <c r="M2" s="2921"/>
    </row>
    <row r="3" spans="1:37" ht="18" customHeight="1" thickBot="1">
      <c r="A3" s="1573" t="s">
        <v>1558</v>
      </c>
      <c r="B3" s="1574">
        <f ca="1">IF(ISERROR(D2/F43),0,ROUND(D2/F43,0))</f>
        <v>0</v>
      </c>
      <c r="C3" s="1570" t="s">
        <v>1559</v>
      </c>
      <c r="D3" s="1570"/>
      <c r="E3" s="1571"/>
      <c r="F3" s="1572"/>
      <c r="G3" s="2932"/>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1" t="e">
        <f ca="1">C6+C10+C12</f>
        <v>#N/A</v>
      </c>
      <c r="D5" s="1547" t="s">
        <v>1566</v>
      </c>
      <c r="E5" s="1202"/>
      <c r="F5" s="1203"/>
      <c r="G5" s="1567"/>
      <c r="H5" s="304">
        <v>1</v>
      </c>
      <c r="I5" s="305" t="s">
        <v>1565</v>
      </c>
      <c r="J5" s="1201" t="e">
        <f ca="1">J6+J10+J12</f>
        <v>#N/A</v>
      </c>
      <c r="K5" s="1547" t="s">
        <v>1566</v>
      </c>
      <c r="L5" s="1202"/>
      <c r="M5" s="1203"/>
    </row>
    <row r="6" spans="1:37" ht="18" customHeight="1">
      <c r="A6" s="1200" t="s">
        <v>1003</v>
      </c>
      <c r="B6" s="3346" t="s">
        <v>1368</v>
      </c>
      <c r="C6" s="1205" t="e">
        <f ca="1">ROUND(F6*F8*F7*(1-F9),0)</f>
        <v>#N/A</v>
      </c>
      <c r="D6" s="159" t="s">
        <v>2846</v>
      </c>
      <c r="E6" s="307" t="s">
        <v>1370</v>
      </c>
      <c r="F6" s="308" t="e">
        <f ca="1">INDIRECT("'数据-取费表'!u"&amp;$G$1)</f>
        <v>#N/A</v>
      </c>
      <c r="G6" s="1567"/>
      <c r="H6" s="1200" t="s">
        <v>1003</v>
      </c>
      <c r="I6" s="3346" t="s">
        <v>1368</v>
      </c>
      <c r="J6" s="306" t="e">
        <f ca="1">ROUND(M6*M8*M7*(1-M9),0)</f>
        <v>#N/A</v>
      </c>
      <c r="K6" s="1559" t="s">
        <v>2847</v>
      </c>
      <c r="L6" s="307" t="s">
        <v>1370</v>
      </c>
      <c r="M6" s="308" t="e">
        <f ca="1">INDIRECT("'数据-取费表'!z"&amp;$G$1)</f>
        <v>#N/A</v>
      </c>
    </row>
    <row r="7" spans="1:37" ht="18" customHeight="1">
      <c r="A7" s="1204"/>
      <c r="B7" s="3347"/>
      <c r="C7" s="1206"/>
      <c r="D7" s="312"/>
      <c r="E7" s="1207" t="s">
        <v>1371</v>
      </c>
      <c r="F7" s="308" t="e">
        <f ca="1">IF(INDIRECT("'数据-取费表'!ah"&amp;$G$1)="",INDIRECT("'数据-取费表'!k"&amp;$G$1),INDIRECT("'数据-取费表'!ah"&amp;$G$1))</f>
        <v>#N/A</v>
      </c>
      <c r="G7" s="1567"/>
      <c r="H7" s="309"/>
      <c r="I7" s="3347"/>
      <c r="J7" s="311"/>
      <c r="K7" s="312"/>
      <c r="L7" s="307" t="s">
        <v>1371</v>
      </c>
      <c r="M7" s="308" t="e">
        <f ca="1">F7</f>
        <v>#N/A</v>
      </c>
    </row>
    <row r="8" spans="1:37" ht="18" customHeight="1">
      <c r="A8" s="309"/>
      <c r="B8" s="3347"/>
      <c r="C8" s="311"/>
      <c r="D8" s="312"/>
      <c r="E8" s="307" t="s">
        <v>1372</v>
      </c>
      <c r="F8" s="308" t="e">
        <f ca="1">INDIRECT("'数据-取费表'!ai"&amp;$G$1)</f>
        <v>#N/A</v>
      </c>
      <c r="G8" s="1567"/>
      <c r="H8" s="309"/>
      <c r="I8" s="3347"/>
      <c r="J8" s="311"/>
      <c r="K8" s="312"/>
      <c r="L8" s="307" t="s">
        <v>1372</v>
      </c>
      <c r="M8" s="308" t="e">
        <f ca="1">INDIRECT("'数据-取费表'!ai"&amp;$G$1)</f>
        <v>#N/A</v>
      </c>
    </row>
    <row r="9" spans="1:37" ht="18" customHeight="1">
      <c r="A9" s="309"/>
      <c r="B9" s="3348"/>
      <c r="C9" s="311"/>
      <c r="D9" s="312"/>
      <c r="E9" s="307" t="s">
        <v>1373</v>
      </c>
      <c r="F9" s="317" t="e">
        <f ca="1">INDIRECT("'数据-取费表'!w"&amp;$G$1)</f>
        <v>#N/A</v>
      </c>
      <c r="G9" s="1567"/>
      <c r="H9" s="309"/>
      <c r="I9" s="3348"/>
      <c r="J9" s="311"/>
      <c r="K9" s="312"/>
      <c r="L9" s="318" t="s">
        <v>1373</v>
      </c>
      <c r="M9" s="319" t="e">
        <f ca="1">INDIRECT("'数据-取费表'!ab"&amp;$G$1)</f>
        <v>#N/A</v>
      </c>
    </row>
    <row r="10" spans="1:37" ht="18" customHeight="1">
      <c r="A10" s="1200" t="s">
        <v>1007</v>
      </c>
      <c r="B10" s="1548" t="s">
        <v>1374</v>
      </c>
      <c r="C10" s="321">
        <f ca="1">ROUND(IF(F10="押一",C6/12*F11,IF(F10="押二",C6/12*2*F11,IF(F10="押三",C6/12*3*F11,C11*F11))),0)</f>
        <v>0</v>
      </c>
      <c r="D10" s="1549" t="s">
        <v>2856</v>
      </c>
      <c r="E10" s="318" t="s">
        <v>1375</v>
      </c>
      <c r="F10" s="1275"/>
      <c r="G10" s="1567"/>
      <c r="H10" s="1200" t="s">
        <v>1007</v>
      </c>
      <c r="I10" s="1548" t="s">
        <v>1374</v>
      </c>
      <c r="J10" s="306">
        <f ca="1">ROUND(IF(M10="押一",J6/12*M11,IF(M10="押二",J6/12*2*M11,IF(M10="押三",J6/12*3*M11,J11*M11))),0)</f>
        <v>0</v>
      </c>
      <c r="K10" s="1560" t="s">
        <v>2858</v>
      </c>
      <c r="L10" s="318" t="s">
        <v>1375</v>
      </c>
      <c r="M10" s="1275"/>
    </row>
    <row r="11" spans="1:37" ht="18" customHeight="1">
      <c r="A11" s="313"/>
      <c r="B11" s="1550" t="s">
        <v>1567</v>
      </c>
      <c r="C11" s="1089"/>
      <c r="D11" s="312"/>
      <c r="E11" s="318" t="s">
        <v>1377</v>
      </c>
      <c r="F11" s="319">
        <f ca="1">'数据-取费表'!B39</f>
        <v>1.4999999999999999E-2</v>
      </c>
      <c r="G11" s="1567"/>
      <c r="H11" s="1208"/>
      <c r="I11" s="1550" t="s">
        <v>1568</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t="e">
        <f ca="1">ROUND(C29*F13,0)</f>
        <v>#N/A</v>
      </c>
      <c r="D13" s="1240" t="s">
        <v>1380</v>
      </c>
      <c r="E13" s="1240" t="s">
        <v>1381</v>
      </c>
      <c r="F13" s="1241" t="e">
        <f ca="1">INDIRECT("'数据-取费表'!y"&amp;$G$1)</f>
        <v>#N/A</v>
      </c>
      <c r="G13" s="1567"/>
      <c r="H13" s="1238">
        <v>2</v>
      </c>
      <c r="I13" s="1239" t="s">
        <v>1379</v>
      </c>
      <c r="J13" s="1199" t="e">
        <f ca="1">ROUND(J14*J15,0)</f>
        <v>#N/A</v>
      </c>
      <c r="K13" s="1246" t="s">
        <v>1380</v>
      </c>
      <c r="L13" s="1575"/>
      <c r="M13" s="1576"/>
    </row>
    <row r="14" spans="1:37" ht="18" customHeight="1">
      <c r="A14" s="1112" t="s">
        <v>1002</v>
      </c>
      <c r="B14" s="307" t="s">
        <v>1382</v>
      </c>
      <c r="C14" s="323" t="e">
        <f ca="1">ROUND(INDIRECT("'数据-取费表'!l"&amp;$G$1)*F43+'数据-取费表'!L14*INDIRECT("'数据-取费表'!S"&amp;$G$1),0)</f>
        <v>#N/A</v>
      </c>
      <c r="D14" s="1528" t="s">
        <v>1383</v>
      </c>
      <c r="E14" s="1525"/>
      <c r="F14" s="324"/>
      <c r="G14" s="1567"/>
      <c r="H14" s="1112" t="s">
        <v>1003</v>
      </c>
      <c r="I14" s="307" t="s">
        <v>1384</v>
      </c>
      <c r="J14" s="24" t="e">
        <f ca="1">C29</f>
        <v>#N/A</v>
      </c>
      <c r="K14" s="15"/>
      <c r="L14" s="915"/>
      <c r="M14" s="916"/>
    </row>
    <row r="15" spans="1:37" s="1580" customFormat="1" ht="18" customHeight="1" thickBot="1">
      <c r="A15" s="1112" t="s">
        <v>1004</v>
      </c>
      <c r="B15" s="307" t="s">
        <v>1385</v>
      </c>
      <c r="C15" s="24" t="e">
        <f ca="1">ROUND(C14*F15,0)</f>
        <v>#N/A</v>
      </c>
      <c r="D15" s="325" t="s">
        <v>1386</v>
      </c>
      <c r="E15" s="325" t="s">
        <v>1387</v>
      </c>
      <c r="F15" s="326">
        <f>'数据-取费表'!B33</f>
        <v>0.03</v>
      </c>
      <c r="G15" s="1579"/>
      <c r="H15" s="1248" t="s">
        <v>1007</v>
      </c>
      <c r="I15" s="1249" t="s">
        <v>1381</v>
      </c>
      <c r="J15" s="1258" t="e">
        <f ca="1">INDIRECT("'数据-取费表'!ad"&amp;$G$1)</f>
        <v>#N/A</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t="e">
        <f ca="1">ROUND(INDIRECT("'数据-取费表'!l"&amp;$G$1)*F43*F16,0)</f>
        <v>#N/A</v>
      </c>
      <c r="D16" s="307" t="s">
        <v>1386</v>
      </c>
      <c r="E16" s="307" t="s">
        <v>1387</v>
      </c>
      <c r="F16" s="327" t="e">
        <f ca="1">IF(INDIRECT("'数据-取费表'!c"&amp;$G$1)="住宅",'数据-取费表'!B34,0)</f>
        <v>#N/A</v>
      </c>
      <c r="G16" s="1567"/>
      <c r="H16" s="1238" t="s">
        <v>998</v>
      </c>
      <c r="I16" s="1239" t="s">
        <v>1389</v>
      </c>
      <c r="J16" s="315" t="e">
        <f ca="1">ROUND(J17+J22+J23+J24,0)</f>
        <v>#N/A</v>
      </c>
      <c r="K16" s="1246" t="s">
        <v>1390</v>
      </c>
      <c r="L16" s="1247"/>
      <c r="M16" s="1203"/>
    </row>
    <row r="17" spans="1:37" s="1580" customFormat="1" ht="18" customHeight="1">
      <c r="A17" s="1112" t="s">
        <v>1355</v>
      </c>
      <c r="B17" s="307" t="s">
        <v>1391</v>
      </c>
      <c r="C17" s="24" t="e">
        <f ca="1">ROUND(F17*(F43+INDIRECT("'数据-取费表'!S"&amp;$G$1)),0)</f>
        <v>#N/A</v>
      </c>
      <c r="D17" s="307" t="s">
        <v>1392</v>
      </c>
      <c r="E17" s="307" t="s">
        <v>1393</v>
      </c>
      <c r="F17" s="26">
        <f>'数据-取费表'!B35</f>
        <v>200</v>
      </c>
      <c r="G17" s="1579"/>
      <c r="H17" s="1112" t="s">
        <v>1003</v>
      </c>
      <c r="I17" s="307" t="s">
        <v>1394</v>
      </c>
      <c r="J17" s="2531" t="e">
        <f ca="1">ROUND(IF(AND(项目基本情况!B11="自然人",项目基本情况!B10="北京市"),J6*M17/(1+'数据-取费表'!C42),J18+J19+J20),0)</f>
        <v>#N/A</v>
      </c>
      <c r="K17" s="1528" t="s">
        <v>1395</v>
      </c>
      <c r="L17" s="1527" t="s">
        <v>1396</v>
      </c>
      <c r="M17" s="2530" t="e">
        <f ca="1">IF(项目基本情况!B11="企业","",IF('数据-取费表'!B10="住宅",IF(M6*M7*M8/12/(1+'数据-取费表'!F30)&gt;100000,4%,2.5%),IF(M6*M7*M8/12/(1+'数据-取费表'!F30)&gt;100000,12%,7%)))</f>
        <v>#N/A</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t="e">
        <f ca="1">ROUND(C14*F18,0)</f>
        <v>#N/A</v>
      </c>
      <c r="D18" s="307" t="s">
        <v>1386</v>
      </c>
      <c r="E18" s="307" t="s">
        <v>1387</v>
      </c>
      <c r="F18" s="327">
        <f>'数据-取费表'!B36</f>
        <v>1.4999999999999999E-2</v>
      </c>
      <c r="G18" s="1579"/>
      <c r="H18" s="1112" t="s">
        <v>1002</v>
      </c>
      <c r="I18" s="307" t="s">
        <v>1398</v>
      </c>
      <c r="J18" s="24" t="e">
        <f ca="1">ROUND(J6*M18/(1+'数据-取费表'!C42),0)</f>
        <v>#N/A</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t="e">
        <f ca="1">SUM(C14:C18)</f>
        <v>#N/A</v>
      </c>
      <c r="D19" s="135" t="s">
        <v>1401</v>
      </c>
      <c r="E19" s="1543"/>
      <c r="F19" s="26"/>
      <c r="G19" s="1567"/>
      <c r="H19" s="1112" t="s">
        <v>1004</v>
      </c>
      <c r="I19" s="307" t="s">
        <v>1402</v>
      </c>
      <c r="J19" s="24" t="e">
        <f ca="1">IF(K19="按租金收入计税",ROUND(J6*M19/(1+'数据-取费表'!C42),0),ROUND(C29*M19*0.7,0))</f>
        <v>#N/A</v>
      </c>
      <c r="K19" s="1553" t="s">
        <v>1403</v>
      </c>
      <c r="L19" s="307" t="s">
        <v>1387</v>
      </c>
      <c r="M19" s="327">
        <f>IF(K19="按租金收入计税",'数据-取费表'!B51,'数据-取费表'!B50)</f>
        <v>1.2E-2</v>
      </c>
    </row>
    <row r="20" spans="1:37" s="1580" customFormat="1" ht="18" customHeight="1">
      <c r="A20" s="1112" t="s">
        <v>1007</v>
      </c>
      <c r="B20" s="307" t="s">
        <v>1404</v>
      </c>
      <c r="C20" s="24" t="e">
        <f ca="1">ROUND(C19*F20,0)</f>
        <v>#N/A</v>
      </c>
      <c r="D20" s="328" t="s">
        <v>1405</v>
      </c>
      <c r="E20" s="307" t="s">
        <v>1387</v>
      </c>
      <c r="F20" s="327">
        <f>'数据-取费表'!B37</f>
        <v>0.02</v>
      </c>
      <c r="G20" s="1579"/>
      <c r="H20" s="1112" t="s">
        <v>1354</v>
      </c>
      <c r="I20" s="159" t="s">
        <v>1406</v>
      </c>
      <c r="J20" s="25" t="e">
        <f ca="1">ROUND(M20*M21,0)</f>
        <v>#N/A</v>
      </c>
      <c r="K20" s="329" t="s">
        <v>1407</v>
      </c>
      <c r="L20" s="307" t="s">
        <v>1408</v>
      </c>
      <c r="M20" s="330">
        <f>'数据-取费表'!B52</f>
        <v>6</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v>
      </c>
      <c r="D21" s="328" t="s">
        <v>1410</v>
      </c>
      <c r="E21" s="307" t="s">
        <v>1411</v>
      </c>
      <c r="F21" s="327">
        <f>'数据-取费表'!B38</f>
        <v>0.03</v>
      </c>
      <c r="G21" s="1579"/>
      <c r="H21" s="331"/>
      <c r="I21" s="316"/>
      <c r="J21" s="29"/>
      <c r="K21" s="332"/>
      <c r="L21" s="307" t="s">
        <v>1412</v>
      </c>
      <c r="M21" s="308" t="e">
        <f ca="1">INDIRECT("'数据-取费表'!r"&amp;$G$1)</f>
        <v>#N/A</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3"/>
      <c r="F22" s="26"/>
      <c r="G22" s="1567"/>
      <c r="H22" s="1112" t="s">
        <v>1007</v>
      </c>
      <c r="I22" s="307" t="s">
        <v>1414</v>
      </c>
      <c r="J22" s="24" t="e">
        <f ca="1">ROUND(J14*M22,0)</f>
        <v>#N/A</v>
      </c>
      <c r="K22" s="1527" t="s">
        <v>1415</v>
      </c>
      <c r="L22" s="307" t="s">
        <v>1387</v>
      </c>
      <c r="M22" s="333" t="e">
        <f ca="1">INDIRECT("'数据-取费表'!Ak"&amp;$G$1)</f>
        <v>#N/A</v>
      </c>
    </row>
    <row r="23" spans="1:37" s="1580" customFormat="1" ht="18" customHeight="1">
      <c r="A23" s="1112" t="s">
        <v>1002</v>
      </c>
      <c r="B23" s="307" t="s">
        <v>1416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1417</v>
      </c>
      <c r="F23" s="330">
        <f>'数据-取费表'!B20</f>
        <v>2</v>
      </c>
      <c r="G23" s="1579"/>
      <c r="H23" s="1112" t="s">
        <v>1043</v>
      </c>
      <c r="I23" s="307" t="s">
        <v>1418</v>
      </c>
      <c r="J23" s="24" t="e">
        <f ca="1">ROUND(J13*M23,0)</f>
        <v>#N/A</v>
      </c>
      <c r="K23" s="1527" t="s">
        <v>1419</v>
      </c>
      <c r="L23" s="307" t="s">
        <v>1420</v>
      </c>
      <c r="M23" s="335" t="e">
        <f ca="1">INDIRECT("'数据-取费表'!Al"&amp;$G$1)</f>
        <v>#N/A</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9"/>
      <c r="H24" s="1248" t="s">
        <v>1358</v>
      </c>
      <c r="I24" s="1249" t="s">
        <v>1404</v>
      </c>
      <c r="J24" s="1250" t="e">
        <f ca="1">ROUND(J5*M24,0)</f>
        <v>#N/A</v>
      </c>
      <c r="K24" s="1251" t="s">
        <v>1424</v>
      </c>
      <c r="L24" s="1249" t="s">
        <v>1420</v>
      </c>
      <c r="M24" s="1245" t="e">
        <f ca="1">INDIRECT("'数据-取费表'!Am"&amp;$G$1)</f>
        <v>#N/A</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2" t="s">
        <v>1425</v>
      </c>
      <c r="B25" s="307" t="s">
        <v>1426</v>
      </c>
      <c r="C25" s="24"/>
      <c r="D25" s="135" t="s">
        <v>1427</v>
      </c>
      <c r="E25" s="1543"/>
      <c r="F25" s="26"/>
      <c r="G25" s="1567"/>
      <c r="H25" s="1238" t="s">
        <v>999</v>
      </c>
      <c r="I25" s="1253" t="s">
        <v>1428</v>
      </c>
      <c r="J25" s="315" t="e">
        <f ca="1">J5-J16</f>
        <v>#N/A</v>
      </c>
      <c r="K25" s="1254" t="s">
        <v>1429</v>
      </c>
      <c r="L25" s="1255"/>
      <c r="M25" s="1256"/>
    </row>
    <row r="26" spans="1:37" ht="18" customHeight="1">
      <c r="A26" s="1112" t="s">
        <v>1002</v>
      </c>
      <c r="B26" s="307" t="s">
        <v>1430</v>
      </c>
      <c r="C26" s="24" t="e">
        <f ca="1">ROUND((C19+C20)*F26,0)</f>
        <v>#N/A</v>
      </c>
      <c r="D26" s="328" t="s">
        <v>1431</v>
      </c>
      <c r="E26" s="318" t="s">
        <v>1432</v>
      </c>
      <c r="F26" s="317" t="e">
        <f ca="1">INDIRECT("'数据-取费表'!q"&amp;$G$1)</f>
        <v>#N/A</v>
      </c>
      <c r="G26" s="1567"/>
      <c r="H26" s="304" t="s">
        <v>1000</v>
      </c>
      <c r="I26" s="305" t="s">
        <v>1433</v>
      </c>
      <c r="J26" s="306" t="e">
        <f ca="1">IF(J5&lt;&gt;0,ROUND(J25*(1-((1+M28)/(1+M26))^M27)/(M26-M28),0),0)</f>
        <v>#N/A</v>
      </c>
      <c r="K26" s="329" t="s">
        <v>1434</v>
      </c>
      <c r="L26" s="307" t="s">
        <v>1435</v>
      </c>
      <c r="M26" s="317" t="e">
        <f ca="1">INDIRECT("'数据-取费表'!I"&amp;$G$1)</f>
        <v>#N/A</v>
      </c>
    </row>
    <row r="27" spans="1:37" ht="18" customHeight="1">
      <c r="A27" s="1112" t="s">
        <v>1004</v>
      </c>
      <c r="B27" s="307" t="s">
        <v>1436</v>
      </c>
      <c r="C27" s="24" t="e">
        <f ca="1">ROUND(F21*F26,4)</f>
        <v>#N/A</v>
      </c>
      <c r="D27" s="328" t="s">
        <v>1437</v>
      </c>
      <c r="E27" s="325"/>
      <c r="F27" s="326"/>
      <c r="G27" s="1567"/>
      <c r="H27" s="309"/>
      <c r="I27" s="310"/>
      <c r="J27" s="311"/>
      <c r="K27" s="337" t="s">
        <v>1438</v>
      </c>
      <c r="L27" s="307" t="s">
        <v>1439</v>
      </c>
      <c r="M27" s="338" t="e">
        <f ca="1">INDIRECT("'数据-取费表'!ag"&amp;$G$1)</f>
        <v>#N/A</v>
      </c>
    </row>
    <row r="28" spans="1:37" s="1580" customFormat="1" ht="18" customHeight="1">
      <c r="A28" s="1112"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t="e">
        <f ca="1">INDIRECT("'数据-取费表'!aa"&amp;$G$1)</f>
        <v>#N/A</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t="e">
        <f ca="1">ROUND((C19+C20+C23+C26)/(1-F21-C24-C27-C28),0)</f>
        <v>#N/A</v>
      </c>
      <c r="D29" s="1251"/>
      <c r="E29" s="1249"/>
      <c r="F29" s="1252"/>
      <c r="G29" s="1579"/>
      <c r="H29" s="339" t="s">
        <v>1001</v>
      </c>
      <c r="I29" s="340" t="s">
        <v>1444</v>
      </c>
      <c r="J29" s="341" t="e">
        <f ca="1">ROUND(J26/(1+F40)^F41,0)</f>
        <v>#N/A</v>
      </c>
      <c r="K29" s="342" t="s">
        <v>1445</v>
      </c>
      <c r="L29" s="343"/>
      <c r="M29" s="344" t="e">
        <f ca="1">INDIRECT("'数据-取费表'!k"&amp;$G$1)</f>
        <v>#N/A</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t="e">
        <f ca="1">ROUND(C31+C36+C37+C38,0)</f>
        <v>#N/A</v>
      </c>
      <c r="D30" s="1246" t="s">
        <v>1390</v>
      </c>
      <c r="E30" s="1247"/>
      <c r="F30" s="1203"/>
      <c r="G30" s="1567"/>
      <c r="H30" s="2923"/>
      <c r="I30" s="1581"/>
      <c r="J30" s="1582"/>
      <c r="K30" s="2698"/>
      <c r="L30" s="2924"/>
      <c r="M30" s="2925"/>
    </row>
    <row r="31" spans="1:37" ht="18" customHeight="1">
      <c r="A31" s="1112" t="s">
        <v>1003</v>
      </c>
      <c r="B31" s="307" t="s">
        <v>1394</v>
      </c>
      <c r="C31" s="2531" t="e">
        <f ca="1">ROUND(IF(AND(项目基本情况!B11="自然人",项目基本情况!B10="北京市"),C6*F31/(1+'数据-取费表'!C42),C32+C33+C34),0)</f>
        <v>#N/A</v>
      </c>
      <c r="D31" s="1528" t="s">
        <v>1395</v>
      </c>
      <c r="E31" s="1527" t="s">
        <v>1446</v>
      </c>
      <c r="F31" s="2530" t="e">
        <f ca="1">IF(项目基本情况!B11="企业","——",IF('数据-取费表'!B10="住宅",IF(F6*F7*F8/12/(1+'数据-取费表'!F30)&gt;100000,4%,2.5%),IF(F6*F7*F8/12/(1+'数据-取费表'!F30)&gt;100000,12%,7%)))</f>
        <v>#N/A</v>
      </c>
      <c r="G31" s="1567"/>
      <c r="H31" s="3036" t="s">
        <v>3047</v>
      </c>
      <c r="I31" s="1581"/>
      <c r="J31" s="1582"/>
      <c r="K31" s="2698"/>
      <c r="L31" s="2924"/>
      <c r="M31" s="2925"/>
    </row>
    <row r="32" spans="1:37" ht="18" customHeight="1">
      <c r="A32" s="1112" t="s">
        <v>1002</v>
      </c>
      <c r="B32" s="307" t="s">
        <v>1398</v>
      </c>
      <c r="C32" s="24" t="e">
        <f ca="1">IF(项目基本情况!B11="自然人","——",ROUND(C6*F32/(1+'数据-取费表'!C42),0))</f>
        <v>#N/A</v>
      </c>
      <c r="D32" s="1527" t="s">
        <v>1399</v>
      </c>
      <c r="E32" s="307" t="s">
        <v>1387</v>
      </c>
      <c r="F32" s="336">
        <f>'数据-取费表'!B41</f>
        <v>5.6000000000000001E-2</v>
      </c>
      <c r="G32" s="1567"/>
      <c r="H32" s="2923"/>
      <c r="I32" s="1581"/>
      <c r="J32" s="1582"/>
      <c r="K32" s="2698"/>
      <c r="L32" s="2924"/>
      <c r="M32" s="2925"/>
    </row>
    <row r="33" spans="1:18" ht="18" customHeight="1">
      <c r="A33" s="1112" t="s">
        <v>1004</v>
      </c>
      <c r="B33" s="307" t="s">
        <v>1402</v>
      </c>
      <c r="C33" s="24" t="e">
        <f ca="1">IF(项目基本情况!B11="自然人","——",IF(D33="按租金收入计税",ROUND(C6*F33/(1+'数据-取费表'!C42),0),IF(D33="按房产原值计税",ROUND(C29*F33*0.7,0),INDIRECT("'数据-取费表'!Aj"&amp;$G$1))))</f>
        <v>#N/A</v>
      </c>
      <c r="D33" s="1553" t="s">
        <v>1403</v>
      </c>
      <c r="E33" s="307" t="s">
        <v>1387</v>
      </c>
      <c r="F33" s="327">
        <f>IF(D33="按票据","——",IF(D33="按租金收入计税",'数据-取费表'!B51,'数据-取费表'!B50))</f>
        <v>1.2E-2</v>
      </c>
      <c r="G33" s="1567"/>
      <c r="H33" s="2926"/>
      <c r="I33" s="1581"/>
      <c r="J33" s="1582"/>
      <c r="K33" s="2927"/>
      <c r="L33" s="2926"/>
      <c r="M33" s="2926"/>
    </row>
    <row r="34" spans="1:18" ht="18" customHeight="1">
      <c r="A34" s="1200" t="s">
        <v>1354</v>
      </c>
      <c r="B34" s="159" t="s">
        <v>1406</v>
      </c>
      <c r="C34" s="25" t="e">
        <f ca="1">IF(项目基本情况!B11="自然人","——",ROUND(F34*F35,))</f>
        <v>#N/A</v>
      </c>
      <c r="D34" s="329" t="s">
        <v>1407</v>
      </c>
      <c r="E34" s="307" t="s">
        <v>1408</v>
      </c>
      <c r="F34" s="330">
        <f>'数据-取费表'!B52</f>
        <v>6</v>
      </c>
      <c r="G34" s="1567"/>
      <c r="H34" s="2923"/>
      <c r="I34" s="1581"/>
      <c r="J34" s="1582"/>
      <c r="K34" s="2928"/>
      <c r="L34" s="2929"/>
      <c r="M34" s="2929"/>
    </row>
    <row r="35" spans="1:18" ht="18" customHeight="1">
      <c r="A35" s="1262"/>
      <c r="B35" s="1260"/>
      <c r="C35" s="29"/>
      <c r="D35" s="332"/>
      <c r="E35" s="307" t="s">
        <v>1412</v>
      </c>
      <c r="F35" s="308" t="e">
        <f ca="1">INDIRECT("'数据-取费表'!r"&amp;$G$1)</f>
        <v>#N/A</v>
      </c>
      <c r="G35" s="1567"/>
      <c r="H35" s="2923"/>
      <c r="I35" s="1581"/>
      <c r="J35" s="1582"/>
      <c r="K35" s="2927"/>
      <c r="L35" s="2926"/>
      <c r="M35" s="2926"/>
    </row>
    <row r="36" spans="1:18" ht="18" customHeight="1">
      <c r="A36" s="1261" t="s">
        <v>1007</v>
      </c>
      <c r="B36" s="307" t="s">
        <v>1414</v>
      </c>
      <c r="C36" s="24" t="e">
        <f ca="1">ROUND(C29*F36,0)</f>
        <v>#N/A</v>
      </c>
      <c r="D36" s="1527" t="s">
        <v>1447</v>
      </c>
      <c r="E36" s="307" t="s">
        <v>1387</v>
      </c>
      <c r="F36" s="333" t="e">
        <f ca="1">INDIRECT("'数据-取费表'!Ak"&amp;$G$1)</f>
        <v>#N/A</v>
      </c>
      <c r="G36" s="1567"/>
      <c r="H36" s="2926"/>
      <c r="I36" s="1581"/>
      <c r="J36" s="1582"/>
      <c r="K36" s="2767"/>
      <c r="L36" s="2926"/>
      <c r="M36" s="2926"/>
    </row>
    <row r="37" spans="1:18" ht="18" customHeight="1">
      <c r="A37" s="1112" t="s">
        <v>1043</v>
      </c>
      <c r="B37" s="307" t="s">
        <v>1418</v>
      </c>
      <c r="C37" s="24" t="e">
        <f ca="1">ROUND(C13*F37,0)</f>
        <v>#N/A</v>
      </c>
      <c r="D37" s="1527" t="s">
        <v>1419</v>
      </c>
      <c r="E37" s="307" t="s">
        <v>1420</v>
      </c>
      <c r="F37" s="335" t="e">
        <f ca="1">INDIRECT("'数据-取费表'!Al"&amp;$G$1)</f>
        <v>#N/A</v>
      </c>
      <c r="G37" s="1567"/>
      <c r="H37" s="2926"/>
      <c r="I37" s="1581"/>
      <c r="J37" s="1582"/>
      <c r="K37" s="2767"/>
      <c r="L37" s="2926"/>
      <c r="M37" s="2926"/>
    </row>
    <row r="38" spans="1:18" ht="18" customHeight="1" thickBot="1">
      <c r="A38" s="1248" t="s">
        <v>1358</v>
      </c>
      <c r="B38" s="1249" t="s">
        <v>1404</v>
      </c>
      <c r="C38" s="1250" t="e">
        <f ca="1">ROUND(C5*F38,1)</f>
        <v>#N/A</v>
      </c>
      <c r="D38" s="1251" t="s">
        <v>1424</v>
      </c>
      <c r="E38" s="1249" t="s">
        <v>1420</v>
      </c>
      <c r="F38" s="1245" t="e">
        <f ca="1">INDIRECT("'数据-取费表'!Am"&amp;$G$1)</f>
        <v>#N/A</v>
      </c>
      <c r="G38" s="1567"/>
      <c r="H38" s="2926"/>
      <c r="I38" s="1581"/>
      <c r="J38" s="1582"/>
      <c r="K38" s="2930"/>
      <c r="L38" s="2926"/>
      <c r="M38" s="2926"/>
    </row>
    <row r="39" spans="1:18" ht="24.6" customHeight="1" thickTop="1">
      <c r="A39" s="1238" t="s">
        <v>999</v>
      </c>
      <c r="B39" s="1253" t="s">
        <v>1448</v>
      </c>
      <c r="C39" s="315" t="e">
        <f ca="1">C5-C30</f>
        <v>#N/A</v>
      </c>
      <c r="D39" s="1254" t="s">
        <v>1449</v>
      </c>
      <c r="E39" s="1255"/>
      <c r="F39" s="1256"/>
      <c r="G39" s="1567"/>
      <c r="H39" s="2926"/>
      <c r="I39" s="1581"/>
      <c r="J39" s="1582"/>
      <c r="K39" s="2930"/>
      <c r="L39" s="2926"/>
      <c r="M39" s="2926"/>
    </row>
    <row r="40" spans="1:18" ht="18" customHeight="1">
      <c r="A40" s="304" t="s">
        <v>1000</v>
      </c>
      <c r="B40" s="305" t="s">
        <v>1450</v>
      </c>
      <c r="C40" s="306" t="e">
        <f ca="1">ROUND(C39*(1-((1+F42)/(1+F40))^F41)/(F40-F42),0)</f>
        <v>#N/A</v>
      </c>
      <c r="D40" s="329" t="s">
        <v>1434</v>
      </c>
      <c r="E40" s="307" t="s">
        <v>1435</v>
      </c>
      <c r="F40" s="317" t="e">
        <f ca="1">INDIRECT("'数据-取费表'!I"&amp;$G$1)</f>
        <v>#N/A</v>
      </c>
      <c r="G40" s="1567"/>
      <c r="H40" s="1644"/>
      <c r="I40" s="1581"/>
      <c r="J40" s="1582"/>
      <c r="K40" s="2930"/>
      <c r="L40" s="1644"/>
      <c r="M40" s="1644"/>
    </row>
    <row r="41" spans="1:18" ht="18" customHeight="1">
      <c r="A41" s="309"/>
      <c r="B41" s="310"/>
      <c r="C41" s="311"/>
      <c r="D41" s="337" t="s">
        <v>1451</v>
      </c>
      <c r="E41" s="307" t="s">
        <v>1439</v>
      </c>
      <c r="F41" s="338" t="e">
        <f ca="1">IF(INDIRECT("'数据-取费表'!af"&amp;$G$1)=0,INDIRECT("'数据-取费表'!ae"&amp;$G$1),INDIRECT("'数据-取费表'!af"&amp;$G$1))</f>
        <v>#N/A</v>
      </c>
      <c r="G41" s="1567"/>
      <c r="H41" s="1352"/>
      <c r="I41" s="1581"/>
      <c r="J41" s="1582"/>
      <c r="K41" s="2767"/>
      <c r="L41" s="1352"/>
      <c r="M41" s="1352"/>
    </row>
    <row r="42" spans="1:18" ht="18" customHeight="1">
      <c r="A42" s="313"/>
      <c r="B42" s="314"/>
      <c r="C42" s="315"/>
      <c r="D42" s="332"/>
      <c r="E42" s="307" t="s">
        <v>1442</v>
      </c>
      <c r="F42" s="317" t="e">
        <f ca="1">INDIRECT("'数据-取费表'!v"&amp;$G$1)</f>
        <v>#N/A</v>
      </c>
      <c r="G42" s="1567"/>
      <c r="H42" s="1352"/>
      <c r="I42" s="1581"/>
      <c r="J42" s="1582"/>
      <c r="K42" s="2767"/>
      <c r="L42" s="1352"/>
      <c r="M42" s="1352"/>
    </row>
    <row r="43" spans="1:18" ht="18" customHeight="1" thickBot="1">
      <c r="A43" s="339" t="s">
        <v>1001</v>
      </c>
      <c r="B43" s="340" t="s">
        <v>1452</v>
      </c>
      <c r="C43" s="341" t="e">
        <f ca="1">ROUND(C40/F43,0)</f>
        <v>#N/A</v>
      </c>
      <c r="D43" s="342" t="s">
        <v>1453</v>
      </c>
      <c r="E43" s="343" t="s">
        <v>1454</v>
      </c>
      <c r="F43" s="344" t="e">
        <f ca="1">INDIRECT("'数据-取费表'!k"&amp;$G$1)</f>
        <v>#N/A</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#N/A</v>
      </c>
      <c r="D45" s="1656" t="s">
        <v>1569</v>
      </c>
      <c r="E45" s="1583"/>
      <c r="F45" s="1583"/>
      <c r="O45" s="1586" t="s">
        <v>1484</v>
      </c>
      <c r="P45" s="1644"/>
      <c r="Q45" s="1644"/>
      <c r="R45" s="1644"/>
    </row>
    <row r="46" spans="1:18" s="1567" customFormat="1" ht="13.5" thickBot="1">
      <c r="A46" s="1587" t="s">
        <v>1485</v>
      </c>
      <c r="C46" s="1588" t="e">
        <f ca="1">ROUND(C45/10000,0)</f>
        <v>#N/A</v>
      </c>
      <c r="D46" s="1589" t="str">
        <f>C2</f>
        <v>万元</v>
      </c>
      <c r="I46" s="1590" t="s">
        <v>1486</v>
      </c>
      <c r="J46" s="1591"/>
      <c r="K46" s="1592"/>
      <c r="L46" s="1593" t="e">
        <f ca="1">IF(M47="住宅",0,IF(L48&gt;J51,L60,J60))</f>
        <v>#N/A</v>
      </c>
      <c r="O46" s="1594" t="s">
        <v>1487</v>
      </c>
      <c r="P46" s="1595" t="s">
        <v>1488</v>
      </c>
      <c r="Q46" s="1596" t="s">
        <v>1489</v>
      </c>
      <c r="R46" s="1596" t="s">
        <v>1490</v>
      </c>
    </row>
    <row r="47" spans="1:18" s="1567" customFormat="1" ht="13.5" thickBot="1">
      <c r="A47" s="1076" t="s">
        <v>1361</v>
      </c>
      <c r="B47" s="1108" t="s">
        <v>1362</v>
      </c>
      <c r="C47" s="1108" t="s">
        <v>1363</v>
      </c>
      <c r="D47" s="1108" t="s">
        <v>1364</v>
      </c>
      <c r="E47" s="1188" t="s">
        <v>1365</v>
      </c>
      <c r="F47" s="1189"/>
      <c r="G47" s="730"/>
      <c r="I47" s="1597" t="s">
        <v>1491</v>
      </c>
      <c r="J47" s="1598"/>
      <c r="K47" s="1599" t="s">
        <v>1492</v>
      </c>
      <c r="L47" s="1600" t="e">
        <f ca="1">INDIRECT("'数据-取费表'!d"&amp;$G$1)</f>
        <v>#N/A</v>
      </c>
      <c r="M47" s="1563" t="str">
        <f>IF(ISNUMBER(FIND("住宅",C1)),"住宅","非住宅")</f>
        <v>非住宅</v>
      </c>
      <c r="O47" s="1601" t="s">
        <v>1008</v>
      </c>
      <c r="P47" s="1602" t="s">
        <v>1493</v>
      </c>
      <c r="Q47" s="1603" t="e">
        <f ca="1">C40+J29</f>
        <v>#N/A</v>
      </c>
      <c r="R47" s="1603" t="s">
        <v>1494</v>
      </c>
    </row>
    <row r="48" spans="1:18" s="1567" customFormat="1" ht="28.5" thickBot="1">
      <c r="A48" s="1269" t="s">
        <v>1103</v>
      </c>
      <c r="B48" s="305" t="s">
        <v>1366</v>
      </c>
      <c r="C48" s="1542" t="e">
        <f ca="1">C49+C53+C55</f>
        <v>#N/A</v>
      </c>
      <c r="D48" s="1271"/>
      <c r="E48" s="1272"/>
      <c r="F48" s="1092"/>
      <c r="G48" s="730"/>
      <c r="H48" s="731"/>
      <c r="I48" s="1604" t="s">
        <v>1495</v>
      </c>
      <c r="J48" s="1605"/>
      <c r="K48" s="1606" t="s">
        <v>1496</v>
      </c>
      <c r="L48" s="1607" t="e">
        <f ca="1">INDIRECT("'数据-取费表'!f"&amp;$G$1)</f>
        <v>#N/A</v>
      </c>
      <c r="O48" s="1601" t="s">
        <v>1009</v>
      </c>
      <c r="P48" s="1602" t="s">
        <v>1497</v>
      </c>
      <c r="Q48" s="1603" t="e">
        <f ca="1">J60</f>
        <v>#N/A</v>
      </c>
      <c r="R48" s="1603" t="s">
        <v>1498</v>
      </c>
    </row>
    <row r="49" spans="1:18" s="1567" customFormat="1" ht="13.5" thickBot="1">
      <c r="A49" s="1105" t="s">
        <v>1104</v>
      </c>
      <c r="B49" s="1554" t="s">
        <v>1455</v>
      </c>
      <c r="C49" s="1273" t="e">
        <f ca="1">ROUND(F49*F51*F50*(1-F52),0)</f>
        <v>#N/A</v>
      </c>
      <c r="D49" s="1185" t="s">
        <v>1369</v>
      </c>
      <c r="E49" s="1555" t="s">
        <v>1456</v>
      </c>
      <c r="F49" s="1190"/>
      <c r="G49" s="1608"/>
      <c r="H49" s="731"/>
      <c r="I49" s="1604" t="s">
        <v>1499</v>
      </c>
      <c r="J49" s="1609"/>
      <c r="K49" s="1606" t="s">
        <v>1500</v>
      </c>
      <c r="L49" s="1610"/>
      <c r="O49" s="1611" t="s">
        <v>1010</v>
      </c>
      <c r="P49" s="1602" t="s">
        <v>1501</v>
      </c>
      <c r="Q49" s="1603" t="e">
        <f ca="1">C29</f>
        <v>#N/A</v>
      </c>
      <c r="R49" s="1603" t="s">
        <v>1494</v>
      </c>
    </row>
    <row r="50" spans="1:18" s="1567" customFormat="1" ht="13.5" thickBot="1">
      <c r="A50" s="1106"/>
      <c r="B50" s="1109"/>
      <c r="C50" s="1110"/>
      <c r="D50" s="1083"/>
      <c r="E50" s="1186" t="s">
        <v>1371</v>
      </c>
      <c r="F50" s="1187" t="e">
        <f ca="1">F7</f>
        <v>#N/A</v>
      </c>
      <c r="H50" s="731"/>
      <c r="I50" s="1604" t="s">
        <v>1502</v>
      </c>
      <c r="J50" s="1612">
        <f>SUMPRODUCT((I63:I65=J47)*(J62:L62=J48)*(J63:L65))</f>
        <v>0</v>
      </c>
      <c r="K50" s="1606" t="s">
        <v>1503</v>
      </c>
      <c r="L50" s="1610"/>
      <c r="M50" s="1613"/>
      <c r="O50" s="1611" t="s">
        <v>1011</v>
      </c>
      <c r="P50" s="1602" t="s">
        <v>1504</v>
      </c>
      <c r="Q50" s="1614" t="e">
        <f ca="1">J58</f>
        <v>#N/A</v>
      </c>
      <c r="R50" s="1603"/>
    </row>
    <row r="51" spans="1:18" s="1567" customFormat="1" ht="13.5" thickBot="1">
      <c r="A51" s="1107"/>
      <c r="B51" s="1109"/>
      <c r="C51" s="1110"/>
      <c r="D51" s="1083"/>
      <c r="E51" s="1111" t="s">
        <v>1372</v>
      </c>
      <c r="F51" s="308" t="e">
        <f ca="1">F8</f>
        <v>#N/A</v>
      </c>
      <c r="I51" s="1615" t="s">
        <v>1505</v>
      </c>
      <c r="J51" s="1616">
        <f>IF(J49="",J50,J49+J50-YEAR('数据-取费表'!B2))</f>
        <v>0</v>
      </c>
      <c r="K51" s="1617" t="s">
        <v>1506</v>
      </c>
      <c r="L51" s="1618" t="e">
        <f ca="1">ROUND(-PV(INDIRECT("'数据-取费表'!h"&amp;$G$1),J51,(C39-C13*C76),0),0)</f>
        <v>#N/A</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t="e">
        <f ca="1">J53</f>
        <v>#N/A</v>
      </c>
      <c r="R52" s="1603" t="s">
        <v>1511</v>
      </c>
    </row>
    <row r="53" spans="1:18" s="1567" customFormat="1" ht="30.75" customHeight="1" thickBot="1">
      <c r="A53" s="1270" t="s">
        <v>1105</v>
      </c>
      <c r="B53" s="328" t="s">
        <v>1374</v>
      </c>
      <c r="C53" s="321">
        <f ca="1">ROUND(IF(F53="押一",C49/12*F11,IF(F53="押二",C49/12*2*F11,IF(F53="押三",C49/12*3*F11,C54*F11))),0)</f>
        <v>0</v>
      </c>
      <c r="D53" s="1549" t="s">
        <v>2859</v>
      </c>
      <c r="E53" s="318" t="s">
        <v>1375</v>
      </c>
      <c r="F53" s="1275"/>
      <c r="I53" s="1622" t="s">
        <v>1512</v>
      </c>
      <c r="J53" s="2383" t="e">
        <f ca="1">IF(M47="住宅",IF(D1="——",MAX(J51,L48),MAX(J51,L48-'数据-取费表'!B24)),IF(D1="——",MIN(J51,L48),MIN(J51,L48-'数据-取费表'!B24)))</f>
        <v>#N/A</v>
      </c>
      <c r="K53" s="3344" t="s">
        <v>1513</v>
      </c>
      <c r="L53" s="3345"/>
      <c r="O53" s="1601" t="s">
        <v>1014</v>
      </c>
      <c r="P53" s="1602" t="s">
        <v>1514</v>
      </c>
      <c r="Q53" s="1603" t="e">
        <f ca="1">Q47+Q48</f>
        <v>#N/A</v>
      </c>
      <c r="R53" s="1603" t="s">
        <v>1015</v>
      </c>
    </row>
    <row r="54" spans="1:18" s="1567" customFormat="1" ht="13.5" thickBot="1">
      <c r="A54" s="1105"/>
      <c r="B54" s="1657" t="s">
        <v>1568</v>
      </c>
      <c r="C54" s="1089"/>
      <c r="D54" s="1549"/>
      <c r="E54" s="1557"/>
      <c r="F54" s="1623"/>
      <c r="I54" s="1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#N/A</v>
      </c>
      <c r="K55" s="1628" t="s">
        <v>1517</v>
      </c>
      <c r="L55" s="1629"/>
      <c r="O55" s="1594" t="s">
        <v>1487</v>
      </c>
      <c r="P55" s="1595" t="s">
        <v>1488</v>
      </c>
      <c r="Q55" s="1596" t="s">
        <v>1489</v>
      </c>
      <c r="R55" s="1596" t="s">
        <v>1490</v>
      </c>
    </row>
    <row r="56" spans="1:18" s="1567" customFormat="1" ht="36" customHeight="1" thickTop="1" thickBot="1">
      <c r="A56" s="1087">
        <v>2</v>
      </c>
      <c r="B56" s="1088" t="s">
        <v>1379</v>
      </c>
      <c r="C56" s="237" t="e">
        <f ca="1">C13</f>
        <v>#N/A</v>
      </c>
      <c r="D56" s="1630"/>
      <c r="E56" s="1631"/>
      <c r="F56" s="1623"/>
      <c r="I56" s="1632" t="s">
        <v>1519</v>
      </c>
      <c r="J56" s="1633"/>
      <c r="K56" s="1604" t="s">
        <v>1520</v>
      </c>
      <c r="L56" s="1607" t="e">
        <f ca="1">IF(L48&lt;J51,"——",L48-J51)</f>
        <v>#N/A</v>
      </c>
      <c r="O56" s="1601" t="s">
        <v>1008</v>
      </c>
      <c r="P56" s="1602" t="s">
        <v>1493</v>
      </c>
      <c r="Q56" s="1603" t="e">
        <f ca="1">C40+J29</f>
        <v>#N/A</v>
      </c>
      <c r="R56" s="1603" t="s">
        <v>1494</v>
      </c>
    </row>
    <row r="57" spans="1:18" s="1567" customFormat="1" ht="24.75" thickBot="1">
      <c r="A57" s="1634"/>
      <c r="B57" s="1080" t="s">
        <v>1443</v>
      </c>
      <c r="C57" s="243" t="e">
        <f ca="1">C29</f>
        <v>#N/A</v>
      </c>
      <c r="D57" s="1635"/>
      <c r="E57" s="1636"/>
      <c r="F57" s="1637"/>
      <c r="I57" s="1638" t="s">
        <v>1521</v>
      </c>
      <c r="J57" s="1639" t="e">
        <f ca="1">IF(OR(M47="住宅",J51&lt;L48,J56="是"),"——",J51-L48)</f>
        <v>#N/A</v>
      </c>
      <c r="K57" s="1604" t="s">
        <v>1570</v>
      </c>
      <c r="L57" s="1607" t="e">
        <f ca="1">IF(L48&lt;J51,"——",IF(L55="比较法",L49,IF(L55="基准地价",L50,L51)))</f>
        <v>#N/A</v>
      </c>
      <c r="O57" s="1601" t="s">
        <v>1009</v>
      </c>
      <c r="P57" s="1602" t="s">
        <v>1571</v>
      </c>
      <c r="Q57" s="1603" t="e">
        <f ca="1">L60</f>
        <v>#N/A</v>
      </c>
      <c r="R57" s="1603" t="s">
        <v>1572</v>
      </c>
    </row>
    <row r="58" spans="1:18" s="1567" customFormat="1" ht="24.75" thickBot="1">
      <c r="A58" s="320" t="s">
        <v>998</v>
      </c>
      <c r="B58" s="1088" t="s">
        <v>1389</v>
      </c>
      <c r="C58" s="321" t="e">
        <f ca="1">ROUND(C59+C64+C65+C66,0)</f>
        <v>#N/A</v>
      </c>
      <c r="D58" s="1090" t="s">
        <v>1390</v>
      </c>
      <c r="E58" s="1091"/>
      <c r="F58" s="1092"/>
      <c r="I58" s="1638" t="s">
        <v>1525</v>
      </c>
      <c r="J58" s="1640" t="e">
        <f ca="1">IF(J55&lt;0.4,0.4,J55)</f>
        <v>#N/A</v>
      </c>
      <c r="K58" s="1617" t="s">
        <v>1573</v>
      </c>
      <c r="L58" s="1607" t="e">
        <f ca="1">ROUND(POWER(1+L52,L47-L48)*(POWER(1+L52,L48)-1)/(POWER(1+L52,L47)-1),4)</f>
        <v>#N/A</v>
      </c>
      <c r="O58" s="1611" t="s">
        <v>1010</v>
      </c>
      <c r="P58" s="1602" t="s">
        <v>1527</v>
      </c>
      <c r="Q58" s="1603">
        <f>IF(L55="比较法",L49,IF(L55="基准地价",L50,0))</f>
        <v>0</v>
      </c>
      <c r="R58" s="1603" t="s">
        <v>1494</v>
      </c>
    </row>
    <row r="59" spans="1:18" s="1567" customFormat="1" ht="24.75" thickBot="1">
      <c r="A59" s="1112" t="s">
        <v>1003</v>
      </c>
      <c r="B59" s="1080" t="s">
        <v>1394</v>
      </c>
      <c r="C59" s="2531" t="e">
        <f ca="1">ROUND(IF(AND(项目基本情况!B11="自然人",项目基本情况!B10="北京市"),C49*F59/(1+'数据-取费表'!C42),C60+C61+C62),0)</f>
        <v>#N/A</v>
      </c>
      <c r="D59" s="1093" t="s">
        <v>1395</v>
      </c>
      <c r="E59" s="1094" t="s">
        <v>1396</v>
      </c>
      <c r="F59" s="2530" t="e">
        <f ca="1">IF(项目基本情况!B11="企业","——",IF('数据-取费表'!B10="住宅",IF(F49*F50*F51/12/(1+'数据-取费表'!F30)&gt;100000,4%,2.5%),IF(F49*F50*F51/12/(1+'数据-取费表'!F30)&gt;100000,12%,7%)))</f>
        <v>#N/A</v>
      </c>
      <c r="I59" s="1638" t="s">
        <v>1528</v>
      </c>
      <c r="J59" s="1639" t="e">
        <f ca="1">IF(OR(M47="住宅",J51&lt;L48,J56="是"),"——",ROUND(C29*J58,0))</f>
        <v>#N/A</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1" t="s">
        <v>1011</v>
      </c>
      <c r="P59" s="1602" t="s">
        <v>1529</v>
      </c>
      <c r="Q59" s="1614">
        <f>L52</f>
        <v>0</v>
      </c>
      <c r="R59" s="1603"/>
    </row>
    <row r="60" spans="1:18" s="1567" customFormat="1" ht="16.5" thickBot="1">
      <c r="A60" s="1112" t="s">
        <v>1002</v>
      </c>
      <c r="B60" s="1080" t="s">
        <v>1398</v>
      </c>
      <c r="C60" s="24" t="e">
        <f ca="1">IF(项目基本情况!B11="自然人","——",ROUND(C48*F60/(1+'数据-取费表'!C42),0))</f>
        <v>#N/A</v>
      </c>
      <c r="D60" s="1094" t="s">
        <v>1399</v>
      </c>
      <c r="E60" s="1080" t="s">
        <v>1387</v>
      </c>
      <c r="F60" s="336">
        <f t="shared" ref="F60:F66" si="0">F32</f>
        <v>5.6000000000000001E-2</v>
      </c>
      <c r="I60" s="1641" t="s">
        <v>1530</v>
      </c>
      <c r="J60" s="1642" t="e">
        <f ca="1">IF(OR(M47="住宅",J51&lt;L48,J56="是"),"0",ROUND(J59/(1+J52)^J53,0))</f>
        <v>#N/A</v>
      </c>
      <c r="K60" s="1643" t="s">
        <v>1531</v>
      </c>
      <c r="L60" s="1642" t="e">
        <f ca="1">IF(OR(M47="住宅",L48&lt;J51),0,ROUND(L57*(L58/L59-1),0))</f>
        <v>#N/A</v>
      </c>
      <c r="O60" s="1611" t="s">
        <v>1012</v>
      </c>
      <c r="P60" s="1602" t="s">
        <v>1532</v>
      </c>
      <c r="Q60" s="1603" t="e">
        <f ca="1">L58</f>
        <v>#N/A</v>
      </c>
      <c r="R60" s="1603" t="s">
        <v>1533</v>
      </c>
    </row>
    <row r="61" spans="1:18" s="1567" customFormat="1" ht="13.5" thickBot="1">
      <c r="A61" s="1112" t="s">
        <v>1457</v>
      </c>
      <c r="B61" s="1080" t="s">
        <v>1458</v>
      </c>
      <c r="C61" s="24" t="e">
        <f ca="1">IF(项目基本情况!B11="自然人","——",IF(D61="按租金收入计税",ROUND(C49*F61/(1+'数据-取费表'!C42),0),IF(D61="按房产原值计税",ROUND(C57*F61*0.7,0),INDIRECT("'数据-取费表'!Aj"&amp;$G$1))))</f>
        <v>#N/A</v>
      </c>
      <c r="D61" s="1553" t="s">
        <v>1403</v>
      </c>
      <c r="E61" s="1080" t="s">
        <v>1459</v>
      </c>
      <c r="F61" s="327">
        <f t="shared" si="0"/>
        <v>1.2E-2</v>
      </c>
      <c r="I61" s="1644"/>
      <c r="J61" s="1644"/>
      <c r="K61" s="1644"/>
      <c r="L61" s="1644"/>
      <c r="O61" s="1611" t="s">
        <v>1013</v>
      </c>
      <c r="P61" s="1602" t="str">
        <f>K59</f>
        <v>建设期及建筑物耐用年限下的土地年期修正系数Kn</v>
      </c>
      <c r="Q61" s="1603" t="e">
        <f ca="1">L59</f>
        <v>#N/A</v>
      </c>
      <c r="R61" s="1603" t="s">
        <v>1534</v>
      </c>
    </row>
    <row r="62" spans="1:18" s="1567" customFormat="1" ht="13.5" thickBot="1">
      <c r="A62" s="1112" t="s">
        <v>1460</v>
      </c>
      <c r="B62" s="1079" t="s">
        <v>1461</v>
      </c>
      <c r="C62" s="25" t="e">
        <f ca="1">IF(项目基本情况!B11="自然人","——",ROUND(F62*F63,0))</f>
        <v>#N/A</v>
      </c>
      <c r="D62" s="1095" t="s">
        <v>1462</v>
      </c>
      <c r="E62" s="1080" t="s">
        <v>1463</v>
      </c>
      <c r="F62" s="330">
        <f t="shared" si="0"/>
        <v>6</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5" thickBot="1">
      <c r="A63" s="331"/>
      <c r="B63" s="1086"/>
      <c r="C63" s="29"/>
      <c r="D63" s="1096"/>
      <c r="E63" s="1080" t="s">
        <v>1464</v>
      </c>
      <c r="F63" s="308" t="e">
        <f t="shared" ca="1" si="0"/>
        <v>#N/A</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t="e">
        <f ca="1">ROUND(C57*F64,0)</f>
        <v>#N/A</v>
      </c>
      <c r="D64" s="1094" t="s">
        <v>1467</v>
      </c>
      <c r="E64" s="1080" t="s">
        <v>1459</v>
      </c>
      <c r="F64" s="333" t="e">
        <f t="shared" ca="1" si="0"/>
        <v>#N/A</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t="e">
        <f ca="1">ROUND(C56*F65,0)</f>
        <v>#N/A</v>
      </c>
      <c r="D65" s="1094" t="s">
        <v>1419</v>
      </c>
      <c r="E65" s="1080" t="s">
        <v>1420</v>
      </c>
      <c r="F65" s="335" t="e">
        <f t="shared" ca="1" si="0"/>
        <v>#N/A</v>
      </c>
      <c r="I65" s="1645" t="s">
        <v>1544</v>
      </c>
      <c r="J65" s="1646">
        <v>40</v>
      </c>
      <c r="K65" s="1646">
        <v>30</v>
      </c>
      <c r="L65" s="1646">
        <v>50</v>
      </c>
      <c r="M65" s="1648">
        <v>0.02</v>
      </c>
      <c r="O65" s="1601" t="s">
        <v>1008</v>
      </c>
      <c r="P65" s="1602" t="s">
        <v>1545</v>
      </c>
      <c r="Q65" s="1603" t="e">
        <f ca="1">C40+J29</f>
        <v>#N/A</v>
      </c>
      <c r="R65" s="1603" t="s">
        <v>1494</v>
      </c>
    </row>
    <row r="66" spans="1:18" s="1567" customFormat="1" ht="16.5" thickBot="1">
      <c r="A66" s="1112" t="s">
        <v>1469</v>
      </c>
      <c r="B66" s="1080" t="s">
        <v>1404</v>
      </c>
      <c r="C66" s="24" t="e">
        <f ca="1">ROUND(C48*F66,0)</f>
        <v>#N/A</v>
      </c>
      <c r="D66" s="1094" t="s">
        <v>1470</v>
      </c>
      <c r="E66" s="1080" t="s">
        <v>1387</v>
      </c>
      <c r="F66" s="317" t="e">
        <f t="shared" ca="1" si="0"/>
        <v>#N/A</v>
      </c>
      <c r="O66" s="1601" t="s">
        <v>1009</v>
      </c>
      <c r="P66" s="1602" t="s">
        <v>1523</v>
      </c>
      <c r="Q66" s="1603" t="e">
        <f ca="1">L60</f>
        <v>#N/A</v>
      </c>
      <c r="R66" s="1603" t="s">
        <v>1546</v>
      </c>
    </row>
    <row r="67" spans="1:18" s="1567" customFormat="1" ht="16.5" thickBot="1">
      <c r="A67" s="1087" t="s">
        <v>999</v>
      </c>
      <c r="B67" s="1097" t="s">
        <v>1428</v>
      </c>
      <c r="C67" s="321" t="e">
        <f ca="1">C48-C58</f>
        <v>#N/A</v>
      </c>
      <c r="D67" s="1093" t="s">
        <v>1429</v>
      </c>
      <c r="E67" s="1098"/>
      <c r="F67" s="1099"/>
      <c r="O67" s="1611" t="s">
        <v>1010</v>
      </c>
      <c r="P67" s="1602" t="s">
        <v>1527</v>
      </c>
      <c r="Q67" s="1649" t="e">
        <f ca="1">L51</f>
        <v>#N/A</v>
      </c>
      <c r="R67" s="1603" t="s">
        <v>1547</v>
      </c>
    </row>
    <row r="68" spans="1:18" s="1567" customFormat="1" ht="16.5" thickBot="1">
      <c r="A68" s="1077" t="s">
        <v>1000</v>
      </c>
      <c r="B68" s="1078" t="s">
        <v>1450</v>
      </c>
      <c r="C68" s="306" t="e">
        <f ca="1">ROUND(C67*(1-((1+F70)/(1+F68))^F69)/(F68-F70),0)</f>
        <v>#N/A</v>
      </c>
      <c r="D68" s="1095" t="s">
        <v>1434</v>
      </c>
      <c r="E68" s="1080" t="s">
        <v>1435</v>
      </c>
      <c r="F68" s="317" t="e">
        <f ca="1">F40</f>
        <v>#N/A</v>
      </c>
      <c r="O68" s="1611" t="s">
        <v>1011</v>
      </c>
      <c r="P68" s="1650" t="s">
        <v>1548</v>
      </c>
      <c r="Q68" s="1603" t="e">
        <f ca="1">ROUND(Q69-Q70*Q71,0)</f>
        <v>#N/A</v>
      </c>
      <c r="R68" s="1603" t="s">
        <v>1019</v>
      </c>
    </row>
    <row r="69" spans="1:18" s="1567" customFormat="1" ht="13.5" thickBot="1">
      <c r="A69" s="1081"/>
      <c r="B69" s="1082"/>
      <c r="C69" s="311"/>
      <c r="D69" s="1100" t="s">
        <v>1438</v>
      </c>
      <c r="E69" s="1080" t="s">
        <v>1439</v>
      </c>
      <c r="F69" s="338" t="e">
        <f ca="1">F41</f>
        <v>#N/A</v>
      </c>
      <c r="O69" s="1611" t="s">
        <v>1016</v>
      </c>
      <c r="P69" s="1650" t="s">
        <v>1549</v>
      </c>
      <c r="Q69" s="1603" t="e">
        <f ca="1">C39</f>
        <v>#N/A</v>
      </c>
      <c r="R69" s="1603" t="s">
        <v>1494</v>
      </c>
    </row>
    <row r="70" spans="1:18" s="1567" customFormat="1" ht="13.5" thickBot="1">
      <c r="A70" s="1084"/>
      <c r="B70" s="1085"/>
      <c r="C70" s="315"/>
      <c r="D70" s="1096"/>
      <c r="E70" s="1080" t="s">
        <v>1442</v>
      </c>
      <c r="F70" s="1184" t="e">
        <f ca="1">F42</f>
        <v>#N/A</v>
      </c>
      <c r="O70" s="1611" t="s">
        <v>1017</v>
      </c>
      <c r="P70" s="1650" t="s">
        <v>1550</v>
      </c>
      <c r="Q70" s="1603" t="e">
        <f ca="1">C13</f>
        <v>#N/A</v>
      </c>
      <c r="R70" s="1603" t="s">
        <v>1494</v>
      </c>
    </row>
    <row r="71" spans="1:18" s="1567" customFormat="1" ht="13.5" thickBot="1">
      <c r="A71" s="1101" t="s">
        <v>1001</v>
      </c>
      <c r="B71" s="1102" t="s">
        <v>1452</v>
      </c>
      <c r="C71" s="341" t="e">
        <f ca="1">ROUND(C68/F71,0)</f>
        <v>#N/A</v>
      </c>
      <c r="D71" s="1103" t="s">
        <v>1453</v>
      </c>
      <c r="E71" s="1104" t="s">
        <v>1454</v>
      </c>
      <c r="F71" s="344" t="e">
        <f ca="1">F43</f>
        <v>#N/A</v>
      </c>
      <c r="O71" s="1611" t="s">
        <v>1018</v>
      </c>
      <c r="P71" s="1650" t="s">
        <v>1551</v>
      </c>
      <c r="Q71" s="1614" t="e">
        <f ca="1">C76</f>
        <v>#N/A</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#N/A</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#N/A</v>
      </c>
      <c r="R74" s="1603" t="s">
        <v>1534</v>
      </c>
    </row>
    <row r="75" spans="1:18" ht="13.5" thickBot="1">
      <c r="A75" s="1567"/>
      <c r="B75" s="345" t="s">
        <v>1471</v>
      </c>
      <c r="C75" s="346" t="e">
        <f ca="1">ROUND(C13*C76,0)</f>
        <v>#N/A</v>
      </c>
      <c r="D75" s="1567"/>
      <c r="E75" s="1567"/>
      <c r="F75" s="1567"/>
      <c r="K75" s="1585"/>
      <c r="L75" s="1567"/>
      <c r="O75" s="1601" t="s">
        <v>1014</v>
      </c>
      <c r="P75" s="1602" t="s">
        <v>1514</v>
      </c>
      <c r="Q75" s="1603" t="e">
        <f ca="1">Q65+Q66</f>
        <v>#N/A</v>
      </c>
      <c r="R75" s="1603" t="s">
        <v>1015</v>
      </c>
    </row>
    <row r="76" spans="1:18">
      <c r="B76" s="347" t="s">
        <v>1472</v>
      </c>
      <c r="C76" s="348" t="e">
        <f ca="1">INDIRECT("'数据-取费表'!j"&amp;$G$1)</f>
        <v>#N/A</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#N/A</v>
      </c>
    </row>
    <row r="80" spans="1:18">
      <c r="B80" s="345" t="s">
        <v>1476</v>
      </c>
      <c r="C80" s="279" t="e">
        <f ca="1">ROUND(C75/C39,3)</f>
        <v>#N/A</v>
      </c>
    </row>
    <row r="81" spans="2:3">
      <c r="B81" s="275" t="s">
        <v>1477</v>
      </c>
      <c r="C81" s="243"/>
    </row>
    <row r="82" spans="2:3">
      <c r="B82" s="278" t="s">
        <v>1478</v>
      </c>
      <c r="C82" s="280" t="e">
        <f ca="1">1-C83</f>
        <v>#N/A</v>
      </c>
    </row>
    <row r="83" spans="2:3">
      <c r="B83" s="278" t="s">
        <v>1479</v>
      </c>
      <c r="C83" s="279" t="e">
        <f ca="1">ROUND(C13/C40,3)</f>
        <v>#N/A</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2345</v>
      </c>
      <c r="B1" s="2053"/>
      <c r="C1" s="2053"/>
      <c r="D1" s="2053"/>
      <c r="E1" s="2054"/>
      <c r="F1" s="2933"/>
      <c r="G1" s="1673"/>
      <c r="H1" s="1673"/>
      <c r="I1" s="1673"/>
      <c r="J1" s="1673"/>
      <c r="K1" s="1673"/>
      <c r="L1" s="1673"/>
      <c r="M1" s="1673"/>
      <c r="N1" s="1673"/>
      <c r="O1" s="1673"/>
      <c r="P1" s="1673"/>
      <c r="Q1" s="1673"/>
      <c r="R1" s="1673"/>
      <c r="S1" s="1673"/>
    </row>
    <row r="2" spans="1:22" ht="15.75">
      <c r="A2" s="2055" t="s">
        <v>2149</v>
      </c>
      <c r="B2" s="2056">
        <f ca="1">SUMIF(B6:B13,"&lt;&gt;#ref!",B6:B13)</f>
        <v>9046</v>
      </c>
      <c r="C2" s="2057" t="s">
        <v>2338</v>
      </c>
      <c r="D2" s="2058" t="s">
        <v>2339</v>
      </c>
      <c r="E2" s="2830">
        <f>SUM(E6:E13)</f>
        <v>20053.789999999812</v>
      </c>
      <c r="F2" s="2933"/>
      <c r="G2" s="1673"/>
      <c r="H2" s="1673"/>
      <c r="I2" s="1673"/>
      <c r="J2" s="1673"/>
      <c r="K2" s="1673"/>
      <c r="L2" s="1673"/>
      <c r="M2" s="1673"/>
      <c r="N2" s="1673"/>
      <c r="O2" s="1673"/>
      <c r="P2" s="1673"/>
      <c r="Q2" s="1673"/>
      <c r="R2" s="1673"/>
      <c r="S2" s="1673"/>
    </row>
    <row r="3" spans="1:22" ht="15.75">
      <c r="A3" s="2055" t="s">
        <v>1360</v>
      </c>
      <c r="B3" s="2824">
        <f ca="1">ROUND(B2*10000/E2,0)</f>
        <v>4511</v>
      </c>
      <c r="C3" s="2057" t="s">
        <v>2346</v>
      </c>
      <c r="D3" s="2935"/>
      <c r="E3" s="2937"/>
      <c r="F3" s="2933"/>
      <c r="G3" s="1673"/>
      <c r="H3" s="1673"/>
      <c r="I3" s="1673"/>
      <c r="J3" s="1673"/>
      <c r="K3" s="1673"/>
      <c r="L3" s="1673"/>
      <c r="M3" s="1673"/>
      <c r="N3" s="1673"/>
      <c r="O3" s="1673"/>
      <c r="P3" s="1673"/>
      <c r="Q3" s="1673"/>
      <c r="R3" s="1673"/>
      <c r="S3" s="1673"/>
    </row>
    <row r="4" spans="1:22" ht="15.75">
      <c r="A4" s="2938"/>
      <c r="B4" s="2935"/>
      <c r="C4" s="2935"/>
      <c r="D4" s="2935"/>
      <c r="E4" s="2937"/>
      <c r="F4" s="2933"/>
      <c r="G4" s="1673"/>
      <c r="H4" s="1673"/>
      <c r="I4" s="1673"/>
      <c r="J4" s="1673"/>
      <c r="K4" s="1673"/>
      <c r="L4" s="1673"/>
      <c r="M4" s="1673"/>
      <c r="N4" s="1673"/>
      <c r="O4" s="1673"/>
      <c r="P4" s="1673"/>
      <c r="Q4" s="1673"/>
      <c r="R4" s="1673"/>
      <c r="S4" s="1673"/>
    </row>
    <row r="5" spans="1:22" ht="15">
      <c r="A5" s="2826" t="s">
        <v>2340</v>
      </c>
      <c r="B5" s="3349" t="s">
        <v>2341</v>
      </c>
      <c r="C5" s="3350"/>
      <c r="D5" s="2934"/>
      <c r="E5" s="2059" t="s">
        <v>2342</v>
      </c>
      <c r="F5" s="2060" t="s">
        <v>2343</v>
      </c>
      <c r="G5" s="1673"/>
      <c r="H5" s="1673"/>
      <c r="I5" s="1673"/>
      <c r="J5" s="1673"/>
      <c r="K5" s="1673"/>
      <c r="L5" s="1673"/>
      <c r="M5" s="1673"/>
      <c r="N5" s="1673"/>
      <c r="O5" s="1673"/>
      <c r="P5" s="1673"/>
      <c r="Q5" s="1673"/>
      <c r="R5" s="1673"/>
      <c r="S5" s="1673"/>
    </row>
    <row r="6" spans="1:22">
      <c r="A6" s="2827">
        <f>'数据-取费表'!AN6</f>
        <v>0</v>
      </c>
      <c r="B6" s="2825" t="e">
        <f ca="1">IF(F6="是",'数据-取费表'!AO6,0)</f>
        <v>#REF!</v>
      </c>
      <c r="C6" s="2057" t="s">
        <v>2338</v>
      </c>
      <c r="D6" s="2935"/>
      <c r="E6" s="2829">
        <f>IF(OR(A6=0,F6="否"),0,'数据-取费表'!K6+'数据-取费表'!S6)</f>
        <v>0</v>
      </c>
      <c r="F6" s="2061" t="s">
        <v>2344</v>
      </c>
      <c r="G6" s="1673"/>
      <c r="H6" s="1673"/>
      <c r="I6" s="1673"/>
      <c r="J6" s="1673"/>
      <c r="K6" s="1673"/>
      <c r="L6" s="1673"/>
      <c r="M6" s="1673"/>
      <c r="N6" s="1673"/>
      <c r="O6" s="1673"/>
      <c r="P6" s="1673"/>
      <c r="Q6" s="1673"/>
      <c r="R6" s="1673"/>
      <c r="S6" s="1673"/>
    </row>
    <row r="7" spans="1:22">
      <c r="A7" s="2827">
        <f>'数据-取费表'!AN7</f>
        <v>0</v>
      </c>
      <c r="B7" s="2825" t="e">
        <f ca="1">IF(F7="是",'数据-取费表'!AO7,0)</f>
        <v>#REF!</v>
      </c>
      <c r="C7" s="2057" t="s">
        <v>2338</v>
      </c>
      <c r="D7" s="2935"/>
      <c r="E7" s="2829">
        <f>IF(OR(A7=0,F7="否"),0,'数据-取费表'!K7+'数据-取费表'!S7)</f>
        <v>0</v>
      </c>
      <c r="F7" s="2061" t="s">
        <v>2344</v>
      </c>
      <c r="G7" s="1673"/>
      <c r="H7" s="1673"/>
      <c r="I7" s="1673"/>
      <c r="J7" s="1673"/>
      <c r="K7" s="1673"/>
      <c r="L7" s="1673"/>
      <c r="M7" s="1673"/>
      <c r="N7" s="1673"/>
      <c r="O7" s="1673"/>
      <c r="P7" s="1673"/>
      <c r="Q7" s="1673"/>
      <c r="R7" s="1673"/>
      <c r="S7" s="1673"/>
    </row>
    <row r="8" spans="1:22">
      <c r="A8" s="2827">
        <f>'数据-取费表'!AN8</f>
        <v>0</v>
      </c>
      <c r="B8" s="2825" t="e">
        <f ca="1">IF(F8="是",'数据-取费表'!AO8,0)</f>
        <v>#REF!</v>
      </c>
      <c r="C8" s="2057" t="s">
        <v>2338</v>
      </c>
      <c r="D8" s="2935"/>
      <c r="E8" s="2829">
        <f>IF(OR(A8=0,F8="否"),0,'数据-取费表'!K8+'数据-取费表'!S8)</f>
        <v>0</v>
      </c>
      <c r="F8" s="2061" t="s">
        <v>2344</v>
      </c>
      <c r="G8" s="1673"/>
      <c r="H8" s="1673"/>
      <c r="I8" s="1673"/>
      <c r="J8" s="1673"/>
      <c r="K8" s="1673"/>
      <c r="L8" s="1673"/>
      <c r="M8" s="1673"/>
      <c r="N8" s="1673"/>
      <c r="O8" s="1673"/>
      <c r="P8" s="1673"/>
      <c r="Q8" s="1673"/>
      <c r="R8" s="1673"/>
      <c r="S8" s="1673"/>
    </row>
    <row r="9" spans="1:22">
      <c r="A9" s="2827">
        <f>'数据-取费表'!AN9</f>
        <v>0</v>
      </c>
      <c r="B9" s="2825" t="e">
        <f ca="1">IF(F9="是",'数据-取费表'!AO9,0)</f>
        <v>#REF!</v>
      </c>
      <c r="C9" s="2057" t="s">
        <v>2338</v>
      </c>
      <c r="D9" s="2935"/>
      <c r="E9" s="2829">
        <f>IF(OR(A9=0,F9="否"),0,'数据-取费表'!K9+'数据-取费表'!S9)</f>
        <v>0</v>
      </c>
      <c r="F9" s="2061" t="s">
        <v>2344</v>
      </c>
      <c r="G9" s="1673"/>
      <c r="H9" s="1673"/>
      <c r="I9" s="1673"/>
      <c r="J9" s="1673"/>
      <c r="K9" s="1673"/>
      <c r="L9" s="1673"/>
      <c r="M9" s="1673"/>
      <c r="N9" s="1673"/>
      <c r="O9" s="1673"/>
      <c r="P9" s="1673"/>
      <c r="Q9" s="1673"/>
      <c r="R9" s="1673"/>
      <c r="S9" s="1673"/>
    </row>
    <row r="10" spans="1:22">
      <c r="A10" s="2827" t="str">
        <f>'数据-取费表'!AN10</f>
        <v>商业15收益法</v>
      </c>
      <c r="B10" s="2825">
        <f ca="1">IF(F10="是",'数据-取费表'!AO10,0)</f>
        <v>1117</v>
      </c>
      <c r="C10" s="2057" t="s">
        <v>2338</v>
      </c>
      <c r="D10" s="2935"/>
      <c r="E10" s="2829">
        <f>IF(OR(A10=0,F10="否"),0,'数据-取费表'!K10+'数据-取费表'!S10)</f>
        <v>1222.7700000000002</v>
      </c>
      <c r="F10" s="2061" t="s">
        <v>2344</v>
      </c>
      <c r="G10" s="1673"/>
      <c r="H10" s="1673"/>
      <c r="I10" s="1673"/>
      <c r="J10" s="1673"/>
      <c r="K10" s="1673"/>
      <c r="L10" s="1673"/>
      <c r="M10" s="1673"/>
      <c r="N10" s="1673"/>
      <c r="O10" s="1673"/>
      <c r="P10" s="1673"/>
      <c r="Q10" s="1673"/>
      <c r="R10" s="1673"/>
      <c r="S10" s="1673"/>
    </row>
    <row r="11" spans="1:22">
      <c r="A11" s="2827">
        <f>'数据-取费表'!AN11</f>
        <v>0</v>
      </c>
      <c r="B11" s="2825" t="e">
        <f ca="1">IF(F11="是",'数据-取费表'!AO11,0)</f>
        <v>#REF!</v>
      </c>
      <c r="C11" s="2057" t="s">
        <v>2338</v>
      </c>
      <c r="D11" s="2935"/>
      <c r="E11" s="2829">
        <f>IF(OR(A11=0,F11="否"),0,'数据-取费表'!K11+'数据-取费表'!S11)</f>
        <v>0</v>
      </c>
      <c r="F11" s="2061" t="s">
        <v>2344</v>
      </c>
      <c r="G11" s="1673"/>
      <c r="H11" s="1673"/>
      <c r="I11" s="1673"/>
      <c r="J11" s="1673"/>
      <c r="K11" s="1673"/>
      <c r="L11" s="1673"/>
      <c r="M11" s="1673"/>
      <c r="N11" s="1673"/>
      <c r="O11" s="1673"/>
      <c r="P11" s="1673"/>
      <c r="Q11" s="1673"/>
      <c r="R11" s="1673"/>
      <c r="S11" s="1673"/>
    </row>
    <row r="12" spans="1:22">
      <c r="A12" s="2827" t="str">
        <f>'数据-取费表'!AN12</f>
        <v>商业17收益法</v>
      </c>
      <c r="B12" s="2825">
        <f ca="1">IF(F12="是",'数据-取费表'!AO12,0)</f>
        <v>832</v>
      </c>
      <c r="C12" s="2057" t="s">
        <v>2338</v>
      </c>
      <c r="D12" s="2935"/>
      <c r="E12" s="2829">
        <f>IF(OR(A12=0,F12="否"),0,'数据-取费表'!K12+'数据-取费表'!S12)</f>
        <v>684.26</v>
      </c>
      <c r="F12" s="2061" t="s">
        <v>2344</v>
      </c>
      <c r="G12" s="1673"/>
      <c r="H12" s="1673"/>
      <c r="I12" s="1673"/>
      <c r="J12" s="1673"/>
      <c r="K12" s="1673"/>
      <c r="L12" s="1673"/>
      <c r="M12" s="1673"/>
      <c r="N12" s="1673"/>
      <c r="O12" s="1673"/>
      <c r="P12" s="1673"/>
      <c r="Q12" s="1673"/>
      <c r="R12" s="1673"/>
      <c r="S12" s="1673"/>
    </row>
    <row r="13" spans="1:22" ht="15" thickBot="1">
      <c r="A13" s="2828" t="str">
        <f>'数据-取费表'!AN13</f>
        <v>地下车库收益法</v>
      </c>
      <c r="B13" s="2825">
        <f ca="1">IF(F13="是",'数据-取费表'!AO13,0)</f>
        <v>7097</v>
      </c>
      <c r="C13" s="2062" t="s">
        <v>2338</v>
      </c>
      <c r="D13" s="2936"/>
      <c r="E13" s="2829">
        <f>IF(OR(A13=0,F13="否"),0,'数据-取费表'!K13+'数据-取费表'!S13)</f>
        <v>18146.759999999813</v>
      </c>
      <c r="F13" s="2061" t="s">
        <v>2344</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7" t="s">
        <v>1044</v>
      </c>
      <c r="B1" s="3368"/>
      <c r="C1" s="3369"/>
      <c r="D1" s="3370">
        <f>SUM(I10,I15,I20,I21,I23)</f>
        <v>0</v>
      </c>
      <c r="E1" s="3370"/>
      <c r="F1" s="3370"/>
      <c r="G1" s="3370"/>
      <c r="H1" s="3370"/>
      <c r="I1" s="3371"/>
    </row>
    <row r="2" spans="1:9">
      <c r="A2" s="3357" t="s">
        <v>1045</v>
      </c>
      <c r="B2" s="3358" t="s">
        <v>1046</v>
      </c>
      <c r="C2" s="3358"/>
      <c r="D2" s="1210" t="s">
        <v>1047</v>
      </c>
      <c r="E2" s="1210" t="s">
        <v>1048</v>
      </c>
      <c r="F2" s="1210" t="s">
        <v>1049</v>
      </c>
      <c r="G2" s="1210" t="s">
        <v>1050</v>
      </c>
      <c r="H2" s="1210" t="s">
        <v>1051</v>
      </c>
      <c r="I2" s="1211" t="s">
        <v>1052</v>
      </c>
    </row>
    <row r="3" spans="1:9">
      <c r="A3" s="3357"/>
      <c r="B3" s="3358" t="s">
        <v>1053</v>
      </c>
      <c r="C3" s="3358"/>
      <c r="D3" s="1212"/>
      <c r="E3" s="1210"/>
      <c r="F3" s="1213"/>
      <c r="G3" s="1213"/>
      <c r="H3" s="1214"/>
      <c r="I3" s="1215">
        <f>ROUND(D3*E3*F3*G3*H3/10000,0)</f>
        <v>0</v>
      </c>
    </row>
    <row r="4" spans="1:9">
      <c r="A4" s="3357"/>
      <c r="B4" s="3358" t="s">
        <v>1054</v>
      </c>
      <c r="C4" s="3358"/>
      <c r="D4" s="1212"/>
      <c r="E4" s="1210"/>
      <c r="F4" s="1213"/>
      <c r="G4" s="1213"/>
      <c r="H4" s="1214"/>
      <c r="I4" s="1215">
        <f t="shared" ref="I4:I9" si="0">ROUND(D4*E4*F4*G4*H4/10000,0)</f>
        <v>0</v>
      </c>
    </row>
    <row r="5" spans="1:9">
      <c r="A5" s="3357"/>
      <c r="B5" s="3358" t="s">
        <v>1055</v>
      </c>
      <c r="C5" s="3358"/>
      <c r="D5" s="1212"/>
      <c r="E5" s="1210"/>
      <c r="F5" s="1213"/>
      <c r="G5" s="1213"/>
      <c r="H5" s="1214"/>
      <c r="I5" s="1215">
        <f t="shared" si="0"/>
        <v>0</v>
      </c>
    </row>
    <row r="6" spans="1:9">
      <c r="A6" s="3357"/>
      <c r="B6" s="3358" t="s">
        <v>1056</v>
      </c>
      <c r="C6" s="3358"/>
      <c r="D6" s="1212"/>
      <c r="E6" s="1210"/>
      <c r="F6" s="1213"/>
      <c r="G6" s="1213"/>
      <c r="H6" s="1214"/>
      <c r="I6" s="1215">
        <f t="shared" si="0"/>
        <v>0</v>
      </c>
    </row>
    <row r="7" spans="1:9">
      <c r="A7" s="3357"/>
      <c r="B7" s="3358" t="s">
        <v>1057</v>
      </c>
      <c r="C7" s="3358"/>
      <c r="D7" s="1212"/>
      <c r="E7" s="1210"/>
      <c r="F7" s="1213"/>
      <c r="G7" s="1213"/>
      <c r="H7" s="1214"/>
      <c r="I7" s="1215">
        <f t="shared" si="0"/>
        <v>0</v>
      </c>
    </row>
    <row r="8" spans="1:9">
      <c r="A8" s="3357"/>
      <c r="B8" s="3358" t="s">
        <v>1058</v>
      </c>
      <c r="C8" s="3358"/>
      <c r="D8" s="1212"/>
      <c r="E8" s="1210"/>
      <c r="F8" s="1213"/>
      <c r="G8" s="1213"/>
      <c r="H8" s="1214"/>
      <c r="I8" s="1215">
        <f t="shared" si="0"/>
        <v>0</v>
      </c>
    </row>
    <row r="9" spans="1:9">
      <c r="A9" s="3357"/>
      <c r="B9" s="3358" t="s">
        <v>1059</v>
      </c>
      <c r="C9" s="3358"/>
      <c r="D9" s="1212"/>
      <c r="E9" s="1210"/>
      <c r="F9" s="1213"/>
      <c r="G9" s="1213"/>
      <c r="H9" s="1214"/>
      <c r="I9" s="1215">
        <f t="shared" si="0"/>
        <v>0</v>
      </c>
    </row>
    <row r="10" spans="1:9">
      <c r="A10" s="3357"/>
      <c r="B10" s="3359" t="s">
        <v>1060</v>
      </c>
      <c r="C10" s="3359"/>
      <c r="D10" s="1216"/>
      <c r="E10" s="1216" t="e">
        <f>ROUND(D1*10000/D10/H9,0)</f>
        <v>#DIV/0!</v>
      </c>
      <c r="F10" s="1217"/>
      <c r="G10" s="1217"/>
      <c r="H10" s="1218"/>
      <c r="I10" s="1219">
        <f>SUM(I3:I9)</f>
        <v>0</v>
      </c>
    </row>
    <row r="11" spans="1:9" ht="14.25">
      <c r="A11" s="3357" t="s">
        <v>1061</v>
      </c>
      <c r="B11" s="3358" t="s">
        <v>1062</v>
      </c>
      <c r="C11" s="3358"/>
      <c r="D11" s="1212" t="s">
        <v>1063</v>
      </c>
      <c r="E11" s="1212" t="s">
        <v>1064</v>
      </c>
      <c r="F11" s="1213" t="s">
        <v>1065</v>
      </c>
      <c r="G11" s="1213" t="s">
        <v>1051</v>
      </c>
      <c r="H11" s="1220" t="s">
        <v>1066</v>
      </c>
      <c r="I11" s="1211" t="s">
        <v>1052</v>
      </c>
    </row>
    <row r="12" spans="1:9">
      <c r="A12" s="3357"/>
      <c r="B12" s="3358" t="s">
        <v>1067</v>
      </c>
      <c r="C12" s="3358"/>
      <c r="D12" s="1212"/>
      <c r="E12" s="1212"/>
      <c r="F12" s="1213"/>
      <c r="G12" s="1214"/>
      <c r="H12" s="1221"/>
      <c r="I12" s="1211">
        <f>ROUND(D12*E12*F12*G12/10000,0)</f>
        <v>0</v>
      </c>
    </row>
    <row r="13" spans="1:9">
      <c r="A13" s="3357"/>
      <c r="B13" s="3358" t="s">
        <v>1068</v>
      </c>
      <c r="C13" s="3358"/>
      <c r="D13" s="1212"/>
      <c r="E13" s="1212"/>
      <c r="F13" s="1213"/>
      <c r="G13" s="1214"/>
      <c r="H13" s="1221"/>
      <c r="I13" s="1211">
        <f>ROUND(D13*E13*F13*G13/10000,0)</f>
        <v>0</v>
      </c>
    </row>
    <row r="14" spans="1:9">
      <c r="A14" s="3357"/>
      <c r="B14" s="3358" t="s">
        <v>1069</v>
      </c>
      <c r="C14" s="3358"/>
      <c r="D14" s="1212"/>
      <c r="E14" s="1212"/>
      <c r="F14" s="1213"/>
      <c r="G14" s="1214"/>
      <c r="H14" s="1221"/>
      <c r="I14" s="1211">
        <f>ROUND(D14*E14*F14*G14/10000,0)</f>
        <v>0</v>
      </c>
    </row>
    <row r="15" spans="1:9">
      <c r="A15" s="3357"/>
      <c r="B15" s="3359" t="s">
        <v>1060</v>
      </c>
      <c r="C15" s="3359"/>
      <c r="D15" s="1216"/>
      <c r="E15" s="1216">
        <f>SUM(E12:E14)</f>
        <v>0</v>
      </c>
      <c r="F15" s="1217"/>
      <c r="G15" s="1214"/>
      <c r="H15" s="1221"/>
      <c r="I15" s="1222">
        <f>SUM(I12:I14)</f>
        <v>0</v>
      </c>
    </row>
    <row r="16" spans="1:9" ht="24">
      <c r="A16" s="3357" t="s">
        <v>1070</v>
      </c>
      <c r="B16" s="3358" t="s">
        <v>1071</v>
      </c>
      <c r="C16" s="3358"/>
      <c r="D16" s="1212" t="s">
        <v>1047</v>
      </c>
      <c r="E16" s="1223" t="s">
        <v>1072</v>
      </c>
      <c r="F16" s="1213" t="s">
        <v>1073</v>
      </c>
      <c r="G16" s="1214" t="s">
        <v>1051</v>
      </c>
      <c r="H16" s="1220" t="s">
        <v>1066</v>
      </c>
      <c r="I16" s="1211" t="s">
        <v>1052</v>
      </c>
    </row>
    <row r="17" spans="1:9" ht="14.25">
      <c r="A17" s="3357"/>
      <c r="B17" s="3358" t="s">
        <v>1074</v>
      </c>
      <c r="C17" s="3358"/>
      <c r="D17" s="1212"/>
      <c r="E17" s="1212"/>
      <c r="F17" s="1213"/>
      <c r="G17" s="1214"/>
      <c r="H17" s="1224"/>
      <c r="I17" s="1225">
        <f>ROUND(D17*E17*F17*G17/10000,0)</f>
        <v>0</v>
      </c>
    </row>
    <row r="18" spans="1:9" ht="14.25">
      <c r="A18" s="3357"/>
      <c r="B18" s="3358" t="s">
        <v>1075</v>
      </c>
      <c r="C18" s="3358"/>
      <c r="D18" s="1212"/>
      <c r="E18" s="1212"/>
      <c r="F18" s="1213"/>
      <c r="G18" s="1214"/>
      <c r="H18" s="1224"/>
      <c r="I18" s="1225">
        <f>ROUND(D18*E18*F18*G18/10000,0)</f>
        <v>0</v>
      </c>
    </row>
    <row r="19" spans="1:9" ht="14.25">
      <c r="A19" s="3357"/>
      <c r="B19" s="3358" t="s">
        <v>1076</v>
      </c>
      <c r="C19" s="3358"/>
      <c r="D19" s="1212"/>
      <c r="E19" s="1212"/>
      <c r="F19" s="1213"/>
      <c r="G19" s="1214"/>
      <c r="H19" s="1224"/>
      <c r="I19" s="1225">
        <f>ROUND(D19*E19*F19*G19/10000,0)</f>
        <v>0</v>
      </c>
    </row>
    <row r="20" spans="1:9">
      <c r="A20" s="3357"/>
      <c r="B20" s="3359" t="s">
        <v>1060</v>
      </c>
      <c r="C20" s="3359"/>
      <c r="D20" s="1216">
        <f>SUM(D17:D19)</f>
        <v>0</v>
      </c>
      <c r="E20" s="1216"/>
      <c r="F20" s="1217"/>
      <c r="G20" s="1214"/>
      <c r="H20" s="1221"/>
      <c r="I20" s="1222">
        <f>SUM(I17:I19)</f>
        <v>0</v>
      </c>
    </row>
    <row r="21" spans="1:9">
      <c r="A21" s="3357" t="s">
        <v>1077</v>
      </c>
      <c r="B21" s="3360"/>
      <c r="C21" s="3360"/>
      <c r="D21" s="3360"/>
      <c r="E21" s="3360"/>
      <c r="F21" s="3360"/>
      <c r="G21" s="3360"/>
      <c r="H21" s="1501">
        <v>0.1</v>
      </c>
      <c r="I21" s="1219">
        <f>ROUND(I10*H21,0)</f>
        <v>0</v>
      </c>
    </row>
    <row r="22" spans="1:9" ht="14.25">
      <c r="A22" s="3361" t="s">
        <v>1078</v>
      </c>
      <c r="B22" s="3362"/>
      <c r="C22" s="3363"/>
      <c r="D22" s="1226" t="s">
        <v>1079</v>
      </c>
      <c r="E22" s="1226" t="s">
        <v>1080</v>
      </c>
      <c r="F22" s="1227" t="s">
        <v>1081</v>
      </c>
      <c r="G22" s="1227" t="s">
        <v>1082</v>
      </c>
      <c r="H22" s="1220" t="s">
        <v>1083</v>
      </c>
      <c r="I22" s="1211" t="s">
        <v>1084</v>
      </c>
    </row>
    <row r="23" spans="1:9" ht="14.25" thickBot="1">
      <c r="A23" s="3364"/>
      <c r="B23" s="3365"/>
      <c r="C23" s="3366"/>
      <c r="D23" s="1228"/>
      <c r="E23" s="1228"/>
      <c r="F23" s="1228"/>
      <c r="G23" s="1229"/>
      <c r="H23" s="1230"/>
      <c r="I23" s="1231">
        <f>ROUND(E23*D23*F23*(1-G23)/10000,0)</f>
        <v>0</v>
      </c>
    </row>
    <row r="26" spans="1:9">
      <c r="A26" s="1232" t="s">
        <v>1085</v>
      </c>
      <c r="B26" s="1232"/>
      <c r="C26" s="1232"/>
      <c r="D26" s="1232"/>
      <c r="E26" s="3354">
        <f>C27-C30-C31-C32</f>
        <v>0</v>
      </c>
      <c r="F26" s="3354"/>
      <c r="G26" s="3354"/>
      <c r="H26" s="1498" t="s">
        <v>1306</v>
      </c>
    </row>
    <row r="27" spans="1:9">
      <c r="A27" s="1233">
        <v>1</v>
      </c>
      <c r="B27" s="1234" t="s">
        <v>1086</v>
      </c>
      <c r="C27" s="1234">
        <f>C28+C29</f>
        <v>0</v>
      </c>
      <c r="D27" s="1234"/>
      <c r="E27" s="3355"/>
      <c r="F27" s="3355"/>
      <c r="G27" s="3355"/>
    </row>
    <row r="28" spans="1:9">
      <c r="A28" s="1235" t="s">
        <v>1087</v>
      </c>
      <c r="B28" s="1234" t="s">
        <v>1088</v>
      </c>
      <c r="C28" s="1234"/>
      <c r="D28" s="1234"/>
      <c r="E28" s="3355"/>
      <c r="F28" s="3355"/>
      <c r="G28" s="3355"/>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56"/>
      <c r="F32" s="3356"/>
      <c r="G32" s="3356"/>
    </row>
    <row r="33" spans="1:7" hidden="1">
      <c r="A33" s="3351" t="s">
        <v>1097</v>
      </c>
      <c r="B33" s="3352"/>
      <c r="C33" s="3352"/>
      <c r="D33" s="3353"/>
      <c r="E33" s="3354"/>
      <c r="F33" s="3354"/>
      <c r="G33" s="3354"/>
    </row>
    <row r="34" spans="1:7" hidden="1">
      <c r="A34" s="1237">
        <v>1</v>
      </c>
      <c r="B34" s="1234" t="s">
        <v>1098</v>
      </c>
      <c r="C34" s="1234"/>
      <c r="D34" s="1234"/>
      <c r="E34" s="3355"/>
      <c r="F34" s="3355"/>
      <c r="G34" s="3355"/>
    </row>
    <row r="35" spans="1:7" hidden="1">
      <c r="A35" s="1237">
        <v>2</v>
      </c>
      <c r="B35" s="1234" t="s">
        <v>1099</v>
      </c>
      <c r="C35" s="1234"/>
      <c r="D35" s="1234"/>
      <c r="E35" s="3355"/>
      <c r="F35" s="3355"/>
      <c r="G35" s="3355"/>
    </row>
    <row r="36" spans="1:7" hidden="1">
      <c r="A36" s="1237">
        <v>3</v>
      </c>
      <c r="B36" s="1234" t="s">
        <v>1100</v>
      </c>
      <c r="C36" s="1234"/>
      <c r="D36" s="1234"/>
      <c r="E36" s="3355"/>
      <c r="F36" s="3355"/>
      <c r="G36" s="3355"/>
    </row>
    <row r="37" spans="1:7" hidden="1">
      <c r="A37" s="1237">
        <v>4</v>
      </c>
      <c r="B37" s="1234" t="s">
        <v>1101</v>
      </c>
      <c r="C37" s="1234"/>
      <c r="D37" s="1234"/>
      <c r="E37" s="3355"/>
      <c r="F37" s="3355"/>
      <c r="G37" s="3355"/>
    </row>
    <row r="38" spans="1:7" hidden="1">
      <c r="A38" s="3351" t="s">
        <v>1102</v>
      </c>
      <c r="B38" s="3352"/>
      <c r="C38" s="3352"/>
      <c r="D38" s="3353"/>
      <c r="E38" s="3354"/>
      <c r="F38" s="3354"/>
      <c r="G38" s="33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063" t="s">
        <v>2461</v>
      </c>
      <c r="C1" s="1405" t="s">
        <v>2349</v>
      </c>
      <c r="D1" s="1392"/>
      <c r="E1" s="2540"/>
      <c r="F1" s="2064"/>
      <c r="G1" s="1402" t="s">
        <v>2462</v>
      </c>
      <c r="H1" s="1401"/>
      <c r="I1" s="1401"/>
      <c r="J1" s="1401"/>
      <c r="K1" s="1403"/>
      <c r="L1" s="1404"/>
      <c r="M1" s="1405"/>
      <c r="N1" s="1405"/>
      <c r="O1" s="1405"/>
      <c r="P1" s="2132"/>
      <c r="Q1" s="2133"/>
      <c r="R1" s="2133"/>
      <c r="S1" s="2133"/>
      <c r="T1" s="2133"/>
      <c r="U1" s="2133"/>
      <c r="V1" s="2133"/>
      <c r="W1" s="2133"/>
      <c r="X1" s="2133"/>
      <c r="Y1" s="2133"/>
      <c r="Z1" s="2133"/>
      <c r="AA1" s="2133"/>
      <c r="AB1" s="2133"/>
      <c r="AC1" s="2134"/>
    </row>
    <row r="2" spans="1:29" s="357" customFormat="1" ht="28.5" customHeight="1" thickTop="1">
      <c r="A2" s="1388" t="s">
        <v>2149</v>
      </c>
      <c r="B2" s="1325" t="e">
        <f ca="1">IF(C2="——",ROUND(C49*D3/10000,0),ROUND(C49*D3/10000,0)-D2)</f>
        <v>#DIV/0!</v>
      </c>
      <c r="C2" s="2066"/>
      <c r="D2" s="1274" t="e">
        <f ca="1">SUMIF(INDIRECT("'"&amp;F2&amp;"'"&amp;"!A:A"),"承租人权益价值",INDIRECT("'"&amp;F2&amp;"'"&amp;"!c:c"))</f>
        <v>#REF!</v>
      </c>
      <c r="E2" s="2067" t="s">
        <v>2150</v>
      </c>
      <c r="F2" s="2068"/>
      <c r="G2" s="1038"/>
      <c r="H2" s="1038"/>
      <c r="I2" s="1038"/>
      <c r="J2" s="1038"/>
      <c r="K2" s="1038"/>
      <c r="L2" s="2960"/>
      <c r="M2" s="2961"/>
      <c r="N2" s="2961"/>
      <c r="O2" s="2961"/>
      <c r="P2" s="2135"/>
      <c r="Q2" s="1042"/>
      <c r="R2" s="1042"/>
      <c r="S2" s="1042"/>
      <c r="T2" s="1042"/>
      <c r="U2" s="1042"/>
      <c r="V2" s="1042"/>
      <c r="W2" s="1042"/>
      <c r="X2" s="1042"/>
      <c r="Y2" s="1042"/>
      <c r="Z2" s="1042"/>
      <c r="AA2" s="1042"/>
      <c r="AB2" s="1042"/>
      <c r="AC2" s="2136"/>
    </row>
    <row r="3" spans="1:29" s="357" customFormat="1" ht="28.5" customHeight="1" thickBot="1">
      <c r="A3" s="208" t="s">
        <v>2151</v>
      </c>
      <c r="B3" s="565" t="e">
        <f ca="1">IF(C2="——",C49,ROUND(B2*10000/D3,0))</f>
        <v>#DIV/0!</v>
      </c>
      <c r="C3" s="359" t="s">
        <v>2463</v>
      </c>
      <c r="D3" s="358">
        <f>IF(D1="",'数据-汇总表'!E3,SUMIF('数据-汇总表'!$C19:$C33,D1,'数据-汇总表'!$E19:$E33))</f>
        <v>117964.09999999983</v>
      </c>
      <c r="E3" s="2137"/>
      <c r="F3" s="1039"/>
      <c r="G3" s="1038"/>
      <c r="H3" s="1038"/>
      <c r="I3" s="1038"/>
      <c r="J3" s="1038"/>
      <c r="K3" s="1040"/>
      <c r="L3" s="2960"/>
      <c r="M3" s="2961"/>
      <c r="N3" s="2961"/>
      <c r="O3" s="2961"/>
      <c r="P3" s="2135"/>
      <c r="Q3" s="1042"/>
      <c r="R3" s="1042"/>
      <c r="S3" s="1042"/>
      <c r="T3" s="1042"/>
      <c r="U3" s="1042"/>
      <c r="V3" s="1042"/>
      <c r="W3" s="1042"/>
      <c r="X3" s="1042"/>
      <c r="Y3" s="1042"/>
      <c r="Z3" s="1042"/>
      <c r="AA3" s="1042"/>
      <c r="AB3" s="1042"/>
      <c r="AC3" s="2137"/>
    </row>
    <row r="4" spans="1:29" ht="15">
      <c r="A4" s="360" t="s">
        <v>2464</v>
      </c>
      <c r="B4" s="361"/>
      <c r="C4" s="3295" t="s">
        <v>2465</v>
      </c>
      <c r="D4" s="3308"/>
      <c r="E4" s="3309" t="s">
        <v>2466</v>
      </c>
      <c r="F4" s="3310"/>
      <c r="G4" s="3295" t="s">
        <v>2467</v>
      </c>
      <c r="H4" s="3308"/>
      <c r="I4" s="3295" t="s">
        <v>2468</v>
      </c>
      <c r="J4" s="3308"/>
      <c r="K4" s="566" t="s">
        <v>2469</v>
      </c>
      <c r="L4" s="2941"/>
      <c r="M4" s="2942"/>
      <c r="N4" s="2942"/>
      <c r="O4" s="2942"/>
      <c r="P4" s="3311" t="s">
        <v>2470</v>
      </c>
      <c r="Q4" s="3312"/>
      <c r="R4" s="3317" t="s">
        <v>2466</v>
      </c>
      <c r="S4" s="3318"/>
      <c r="T4" s="3317" t="s">
        <v>2467</v>
      </c>
      <c r="U4" s="3318"/>
      <c r="V4" s="3304" t="s">
        <v>2468</v>
      </c>
      <c r="W4" s="3304"/>
      <c r="X4" s="1538"/>
      <c r="Y4" s="3317" t="s">
        <v>2470</v>
      </c>
      <c r="Z4" s="3318"/>
      <c r="AA4" s="3305" t="s">
        <v>2466</v>
      </c>
      <c r="AB4" s="3304" t="s">
        <v>2467</v>
      </c>
      <c r="AC4" s="3305" t="s">
        <v>2468</v>
      </c>
    </row>
    <row r="5" spans="1:29" ht="15">
      <c r="A5" s="363"/>
      <c r="B5" s="364"/>
      <c r="C5" s="3325" t="s">
        <v>2361</v>
      </c>
      <c r="D5" s="3326"/>
      <c r="E5" s="3332" t="s">
        <v>2362</v>
      </c>
      <c r="F5" s="3333"/>
      <c r="G5" s="3325" t="s">
        <v>2363</v>
      </c>
      <c r="H5" s="3326"/>
      <c r="I5" s="3325" t="s">
        <v>2364</v>
      </c>
      <c r="J5" s="3326"/>
      <c r="K5" s="566"/>
      <c r="L5" s="2941"/>
      <c r="M5" s="2942"/>
      <c r="N5" s="2942"/>
      <c r="O5" s="2942"/>
      <c r="P5" s="3313"/>
      <c r="Q5" s="3314"/>
      <c r="R5" s="3319"/>
      <c r="S5" s="3320"/>
      <c r="T5" s="3319"/>
      <c r="U5" s="3320"/>
      <c r="V5" s="3304"/>
      <c r="W5" s="3304"/>
      <c r="X5" s="1538"/>
      <c r="Y5" s="3319"/>
      <c r="Z5" s="3320"/>
      <c r="AA5" s="3306"/>
      <c r="AB5" s="3304"/>
      <c r="AC5" s="3306"/>
    </row>
    <row r="6" spans="1:29" ht="15.75" thickBot="1">
      <c r="A6" s="365"/>
      <c r="B6" s="366"/>
      <c r="C6" s="3323" t="s">
        <v>2365</v>
      </c>
      <c r="D6" s="3324"/>
      <c r="E6" s="3330" t="s">
        <v>2365</v>
      </c>
      <c r="F6" s="3331"/>
      <c r="G6" s="3323" t="s">
        <v>2365</v>
      </c>
      <c r="H6" s="3324"/>
      <c r="I6" s="3323" t="s">
        <v>2365</v>
      </c>
      <c r="J6" s="3324"/>
      <c r="K6" s="566" t="s">
        <v>2366</v>
      </c>
      <c r="L6" s="2941"/>
      <c r="M6" s="2942"/>
      <c r="N6" s="2942"/>
      <c r="O6" s="2942"/>
      <c r="P6" s="3315"/>
      <c r="Q6" s="3316"/>
      <c r="R6" s="3319"/>
      <c r="S6" s="3320"/>
      <c r="T6" s="3321"/>
      <c r="U6" s="3322"/>
      <c r="V6" s="3304"/>
      <c r="W6" s="3304"/>
      <c r="X6" s="1538"/>
      <c r="Y6" s="3321"/>
      <c r="Z6" s="3322"/>
      <c r="AA6" s="3307"/>
      <c r="AB6" s="3304"/>
      <c r="AC6" s="3307"/>
    </row>
    <row r="7" spans="1:29" s="112" customFormat="1" ht="15.75" thickBot="1">
      <c r="A7" s="367" t="s">
        <v>2367</v>
      </c>
      <c r="B7" s="368"/>
      <c r="C7" s="369">
        <f>'数据-取费表'!B2</f>
        <v>44478</v>
      </c>
      <c r="D7" s="370">
        <v>100</v>
      </c>
      <c r="E7" s="371"/>
      <c r="F7" s="372">
        <f>SUMIF(58:58,YEAR(E7)&amp;"-"&amp;MONTH(E7),59:59)</f>
        <v>0</v>
      </c>
      <c r="G7" s="371"/>
      <c r="H7" s="370">
        <f>SUMIF(58:58,YEAR(G7)&amp;"-"&amp;MONTH(G7),59:59)</f>
        <v>0</v>
      </c>
      <c r="I7" s="371"/>
      <c r="J7" s="370">
        <f>SUMIF(58:58,YEAR(I7)&amp;"-"&amp;MONTH(I7),59:59)</f>
        <v>0</v>
      </c>
      <c r="K7" s="567"/>
      <c r="L7" s="2943"/>
      <c r="M7" s="2944"/>
      <c r="N7" s="2944"/>
      <c r="O7" s="2944"/>
      <c r="P7" s="3327" t="s">
        <v>2368</v>
      </c>
      <c r="Q7" s="3329"/>
      <c r="R7" s="709" t="s">
        <v>17</v>
      </c>
      <c r="S7" s="710">
        <f t="shared" ref="S7:S15" si="0">F7</f>
        <v>0</v>
      </c>
      <c r="T7" s="709" t="s">
        <v>17</v>
      </c>
      <c r="U7" s="710">
        <f t="shared" ref="U7:U15" si="1">H7</f>
        <v>0</v>
      </c>
      <c r="V7" s="709" t="s">
        <v>17</v>
      </c>
      <c r="W7" s="710">
        <f t="shared" ref="W7:W15" si="2">J7</f>
        <v>0</v>
      </c>
      <c r="X7" s="711"/>
      <c r="Y7" s="3327" t="s">
        <v>2368</v>
      </c>
      <c r="Z7" s="3328"/>
      <c r="AA7" s="712" t="e">
        <f>D7/F7</f>
        <v>#DIV/0!</v>
      </c>
      <c r="AB7" s="712" t="e">
        <f>D7/H7</f>
        <v>#DIV/0!</v>
      </c>
      <c r="AC7" s="712" t="e">
        <f>D7/J7</f>
        <v>#DIV/0!</v>
      </c>
    </row>
    <row r="8" spans="1:29" s="112" customFormat="1" ht="15.75" thickBot="1">
      <c r="A8" s="367" t="s">
        <v>2369</v>
      </c>
      <c r="B8" s="368"/>
      <c r="C8" s="373" t="s">
        <v>2471</v>
      </c>
      <c r="D8" s="370">
        <v>100</v>
      </c>
      <c r="E8" s="373"/>
      <c r="F8" s="372">
        <f>SUMIF(61:61,E8,62:62)-SUMIF(61:61,C8,62:62)+100</f>
        <v>0</v>
      </c>
      <c r="G8" s="373"/>
      <c r="H8" s="370">
        <f>SUMIF(61:61,G8,62:62)-SUMIF(61:61,C8,62:62)+100</f>
        <v>0</v>
      </c>
      <c r="I8" s="373"/>
      <c r="J8" s="370">
        <f>SUMIF(61:61,I8,62:62)-SUMIF(61:61,C8,62:62)+100</f>
        <v>0</v>
      </c>
      <c r="K8" s="567"/>
      <c r="L8" s="2943"/>
      <c r="M8" s="2944"/>
      <c r="N8" s="2944"/>
      <c r="O8" s="2944"/>
      <c r="P8" s="3327" t="s">
        <v>2371</v>
      </c>
      <c r="Q8" s="3328"/>
      <c r="R8" s="709" t="s">
        <v>17</v>
      </c>
      <c r="S8" s="710">
        <f t="shared" si="0"/>
        <v>0</v>
      </c>
      <c r="T8" s="709" t="s">
        <v>17</v>
      </c>
      <c r="U8" s="710">
        <f t="shared" si="1"/>
        <v>0</v>
      </c>
      <c r="V8" s="709" t="s">
        <v>17</v>
      </c>
      <c r="W8" s="710">
        <f t="shared" si="2"/>
        <v>0</v>
      </c>
      <c r="X8" s="711"/>
      <c r="Y8" s="3327" t="s">
        <v>2371</v>
      </c>
      <c r="Z8" s="3328"/>
      <c r="AA8" s="712" t="e">
        <f t="shared" ref="AA8:AA46" si="3">D8/F8</f>
        <v>#DIV/0!</v>
      </c>
      <c r="AB8" s="712" t="e">
        <f t="shared" ref="AB8:AB46" si="4">D8/H8</f>
        <v>#DIV/0!</v>
      </c>
      <c r="AC8" s="712" t="e">
        <f t="shared" ref="AC8:AC46" si="5">D8/J8</f>
        <v>#DIV/0!</v>
      </c>
    </row>
    <row r="9" spans="1:29" s="112" customFormat="1">
      <c r="A9" s="374" t="s">
        <v>2372</v>
      </c>
      <c r="B9" s="66" t="s">
        <v>2373</v>
      </c>
      <c r="C9" s="375"/>
      <c r="D9" s="130">
        <v>100</v>
      </c>
      <c r="E9" s="376"/>
      <c r="F9" s="377">
        <f>SUMIF(63:63,E9,64:64)-SUMIF(63:63,C9,64:64)+100</f>
        <v>100</v>
      </c>
      <c r="G9" s="376"/>
      <c r="H9" s="130">
        <f>SUMIF(63:63,G9,64:64)-SUMIF(63:63,C9,64:64)+100</f>
        <v>100</v>
      </c>
      <c r="I9" s="376"/>
      <c r="J9" s="130">
        <f>SUMIF(63:63,I9,64:64)-SUMIF(63:63,C9,64:64)+100</f>
        <v>100</v>
      </c>
      <c r="K9" s="567"/>
      <c r="L9" s="2943"/>
      <c r="M9" s="2944"/>
      <c r="N9" s="2944"/>
      <c r="O9" s="2944"/>
      <c r="P9" s="3297" t="s">
        <v>2374</v>
      </c>
      <c r="Q9" s="1526" t="str">
        <f t="shared" ref="Q9:Q15" si="6">B9</f>
        <v>用途</v>
      </c>
      <c r="R9" s="709" t="s">
        <v>17</v>
      </c>
      <c r="S9" s="710">
        <f t="shared" si="0"/>
        <v>100</v>
      </c>
      <c r="T9" s="709" t="s">
        <v>17</v>
      </c>
      <c r="U9" s="710">
        <f t="shared" si="1"/>
        <v>100</v>
      </c>
      <c r="V9" s="709" t="s">
        <v>17</v>
      </c>
      <c r="W9" s="710">
        <f t="shared" si="2"/>
        <v>100</v>
      </c>
      <c r="X9" s="711"/>
      <c r="Y9" s="3192"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568"/>
      <c r="L10" s="2945"/>
      <c r="M10" s="2946"/>
      <c r="N10" s="2946"/>
      <c r="O10" s="2946"/>
      <c r="P10" s="3297"/>
      <c r="Q10" s="1526" t="str">
        <f t="shared" si="6"/>
        <v>土地使用年限（年）</v>
      </c>
      <c r="R10" s="709" t="s">
        <v>17</v>
      </c>
      <c r="S10" s="710">
        <f t="shared" si="0"/>
        <v>100</v>
      </c>
      <c r="T10" s="709" t="s">
        <v>17</v>
      </c>
      <c r="U10" s="710">
        <f t="shared" si="1"/>
        <v>100</v>
      </c>
      <c r="V10" s="709" t="s">
        <v>17</v>
      </c>
      <c r="W10" s="710">
        <f t="shared" si="2"/>
        <v>100</v>
      </c>
      <c r="X10" s="711"/>
      <c r="Y10" s="3192"/>
      <c r="Z10" s="55"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7"/>
      <c r="M11" s="2942"/>
      <c r="N11" s="2942"/>
      <c r="O11" s="2942"/>
      <c r="P11" s="3297"/>
      <c r="Q11" s="1526" t="str">
        <f t="shared" si="6"/>
        <v>容积率</v>
      </c>
      <c r="R11" s="709" t="s">
        <v>17</v>
      </c>
      <c r="S11" s="710" t="e">
        <f t="shared" si="0"/>
        <v>#N/A</v>
      </c>
      <c r="T11" s="709" t="s">
        <v>17</v>
      </c>
      <c r="U11" s="710" t="e">
        <f t="shared" si="1"/>
        <v>#N/A</v>
      </c>
      <c r="V11" s="709" t="s">
        <v>17</v>
      </c>
      <c r="W11" s="710" t="e">
        <f t="shared" si="2"/>
        <v>#N/A</v>
      </c>
      <c r="X11" s="711"/>
      <c r="Y11" s="3192"/>
      <c r="Z11" s="55" t="str">
        <f t="shared" si="7"/>
        <v>容积率</v>
      </c>
      <c r="AA11" s="712" t="e">
        <f t="shared" si="3"/>
        <v>#N/A</v>
      </c>
      <c r="AB11" s="712" t="e">
        <f t="shared" si="4"/>
        <v>#N/A</v>
      </c>
      <c r="AC11" s="712" t="e">
        <f t="shared" si="5"/>
        <v>#N/A</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3"/>
      <c r="M12" s="2944"/>
      <c r="N12" s="2944"/>
      <c r="O12" s="2944"/>
      <c r="P12" s="3297"/>
      <c r="Q12" s="1526">
        <f t="shared" si="6"/>
        <v>111</v>
      </c>
      <c r="R12" s="709" t="s">
        <v>17</v>
      </c>
      <c r="S12" s="710">
        <f t="shared" si="0"/>
        <v>100</v>
      </c>
      <c r="T12" s="709" t="s">
        <v>17</v>
      </c>
      <c r="U12" s="710">
        <f t="shared" si="1"/>
        <v>100</v>
      </c>
      <c r="V12" s="709" t="s">
        <v>17</v>
      </c>
      <c r="W12" s="710">
        <f t="shared" si="2"/>
        <v>100</v>
      </c>
      <c r="X12" s="711"/>
      <c r="Y12" s="3192"/>
      <c r="Z12" s="55">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48"/>
      <c r="M13" s="2942"/>
      <c r="N13" s="2942"/>
      <c r="O13" s="2942"/>
      <c r="P13" s="3297"/>
      <c r="Q13" s="1526">
        <f t="shared" si="6"/>
        <v>111</v>
      </c>
      <c r="R13" s="709" t="s">
        <v>17</v>
      </c>
      <c r="S13" s="710">
        <f t="shared" si="0"/>
        <v>100</v>
      </c>
      <c r="T13" s="709" t="s">
        <v>17</v>
      </c>
      <c r="U13" s="710">
        <f t="shared" si="1"/>
        <v>100</v>
      </c>
      <c r="V13" s="709" t="s">
        <v>17</v>
      </c>
      <c r="W13" s="710">
        <f t="shared" si="2"/>
        <v>100</v>
      </c>
      <c r="X13" s="711"/>
      <c r="Y13" s="3192"/>
      <c r="Z13" s="55">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48"/>
      <c r="M14" s="2942"/>
      <c r="N14" s="2942"/>
      <c r="O14" s="2942"/>
      <c r="P14" s="3297"/>
      <c r="Q14" s="1526">
        <f t="shared" si="6"/>
        <v>111</v>
      </c>
      <c r="R14" s="709" t="s">
        <v>17</v>
      </c>
      <c r="S14" s="710">
        <f t="shared" si="0"/>
        <v>100</v>
      </c>
      <c r="T14" s="709" t="s">
        <v>17</v>
      </c>
      <c r="U14" s="710">
        <f t="shared" si="1"/>
        <v>100</v>
      </c>
      <c r="V14" s="709" t="s">
        <v>17</v>
      </c>
      <c r="W14" s="710">
        <f t="shared" si="2"/>
        <v>100</v>
      </c>
      <c r="X14" s="711"/>
      <c r="Y14" s="3192"/>
      <c r="Z14" s="55">
        <f t="shared" si="7"/>
        <v>111</v>
      </c>
      <c r="AA14" s="712">
        <f t="shared" si="3"/>
        <v>1</v>
      </c>
      <c r="AB14" s="712">
        <f t="shared" si="4"/>
        <v>1</v>
      </c>
      <c r="AC14" s="712">
        <f t="shared" si="5"/>
        <v>1</v>
      </c>
    </row>
    <row r="15" spans="1:29" ht="15">
      <c r="A15" s="398" t="s">
        <v>2378</v>
      </c>
      <c r="B15" s="64" t="s">
        <v>2472</v>
      </c>
      <c r="C15" s="2081">
        <f>估价对象房地状况!C4</f>
        <v>0</v>
      </c>
      <c r="D15" s="399">
        <v>100</v>
      </c>
      <c r="E15" s="400"/>
      <c r="F15" s="401">
        <f>SUMIF(76:76,E16,77:77)-SUMIF(76:76,C16,77:77)+100</f>
        <v>100</v>
      </c>
      <c r="G15" s="402"/>
      <c r="H15" s="399">
        <f>SUMIF(76:76,G16,77:77)-SUMIF(76:76,C16,77:77)+100</f>
        <v>100</v>
      </c>
      <c r="I15" s="400"/>
      <c r="J15" s="399">
        <f>SUMIF(76:76,I16,77:77)-SUMIF(76:76,C16,77:77)+100</f>
        <v>100</v>
      </c>
      <c r="K15" s="570"/>
      <c r="L15" s="2948"/>
      <c r="M15" s="2942"/>
      <c r="N15" s="2942"/>
      <c r="O15" s="2942"/>
      <c r="P15" s="3340" t="s">
        <v>2379</v>
      </c>
      <c r="Q15" s="1535" t="str">
        <f t="shared" si="6"/>
        <v>商业繁华度</v>
      </c>
      <c r="R15" s="713" t="s">
        <v>17</v>
      </c>
      <c r="S15" s="714">
        <f t="shared" si="0"/>
        <v>100</v>
      </c>
      <c r="T15" s="713" t="s">
        <v>17</v>
      </c>
      <c r="U15" s="714">
        <f t="shared" si="1"/>
        <v>100</v>
      </c>
      <c r="V15" s="713" t="s">
        <v>17</v>
      </c>
      <c r="W15" s="714">
        <f t="shared" si="2"/>
        <v>100</v>
      </c>
      <c r="X15" s="1538"/>
      <c r="Y15" s="3300" t="s">
        <v>2379</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48"/>
      <c r="M16" s="2942"/>
      <c r="N16" s="2942"/>
      <c r="O16" s="2942"/>
      <c r="P16" s="3341"/>
      <c r="Q16" s="1535"/>
      <c r="R16" s="713"/>
      <c r="S16" s="714"/>
      <c r="T16" s="713"/>
      <c r="U16" s="714"/>
      <c r="V16" s="713"/>
      <c r="W16" s="714"/>
      <c r="X16" s="1538"/>
      <c r="Y16" s="3301"/>
      <c r="Z16" s="1539"/>
      <c r="AA16" s="1536">
        <v>1</v>
      </c>
      <c r="AB16" s="1536">
        <v>1</v>
      </c>
      <c r="AC16" s="1536">
        <v>1</v>
      </c>
    </row>
    <row r="17" spans="1:29" ht="15">
      <c r="A17" s="386"/>
      <c r="B17" s="409" t="s">
        <v>1946</v>
      </c>
      <c r="C17" s="2085">
        <f>估价对象房地状况!C6</f>
        <v>0</v>
      </c>
      <c r="D17" s="408">
        <v>100</v>
      </c>
      <c r="E17" s="410"/>
      <c r="F17" s="411">
        <f>SUMIF(78:78,E18,79:79)-SUMIF(78:78,C18,79:79)+100</f>
        <v>100</v>
      </c>
      <c r="G17" s="412"/>
      <c r="H17" s="413">
        <f>SUMIF(78:78,G18,79:79)-SUMIF(78:78,C18,79:79)+100</f>
        <v>100</v>
      </c>
      <c r="I17" s="410"/>
      <c r="J17" s="413">
        <f>SUMIF(78:78,I18,79:79)-SUMIF(78:78,C18,79:79)+100</f>
        <v>100</v>
      </c>
      <c r="K17" s="570"/>
      <c r="L17" s="2948"/>
      <c r="M17" s="2942"/>
      <c r="N17" s="2942"/>
      <c r="O17" s="2942"/>
      <c r="P17" s="3341"/>
      <c r="Q17" s="1535" t="str">
        <f>B17</f>
        <v>交通便捷度</v>
      </c>
      <c r="R17" s="713" t="s">
        <v>17</v>
      </c>
      <c r="S17" s="714">
        <f>F17</f>
        <v>100</v>
      </c>
      <c r="T17" s="713" t="s">
        <v>17</v>
      </c>
      <c r="U17" s="714">
        <f>H17</f>
        <v>100</v>
      </c>
      <c r="V17" s="713" t="s">
        <v>17</v>
      </c>
      <c r="W17" s="714">
        <f>J17</f>
        <v>100</v>
      </c>
      <c r="X17" s="1538"/>
      <c r="Y17" s="3301"/>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2948"/>
      <c r="M18" s="2942"/>
      <c r="N18" s="2942"/>
      <c r="O18" s="2942"/>
      <c r="P18" s="3341"/>
      <c r="Q18" s="1535"/>
      <c r="R18" s="713"/>
      <c r="S18" s="714"/>
      <c r="T18" s="713"/>
      <c r="U18" s="714"/>
      <c r="V18" s="713"/>
      <c r="W18" s="714"/>
      <c r="X18" s="1538"/>
      <c r="Y18" s="3301"/>
      <c r="Z18" s="1539"/>
      <c r="AA18" s="1536">
        <v>1</v>
      </c>
      <c r="AB18" s="1536">
        <v>1</v>
      </c>
      <c r="AC18" s="1536">
        <v>1</v>
      </c>
    </row>
    <row r="19" spans="1:29" ht="15">
      <c r="A19" s="386"/>
      <c r="B19" s="409" t="s">
        <v>2473</v>
      </c>
      <c r="C19" s="2085">
        <f>估价对象房地状况!C7</f>
        <v>0</v>
      </c>
      <c r="D19" s="413">
        <v>100</v>
      </c>
      <c r="E19" s="415"/>
      <c r="F19" s="416">
        <f>SUMIF(80:80,E20,81:81)-SUMIF(80:80,C20,81:81)+100</f>
        <v>100</v>
      </c>
      <c r="G19" s="417"/>
      <c r="H19" s="408">
        <f>SUMIF(80:80,G20,81:81)-SUMIF(80:80,C20,81:81)+100</f>
        <v>100</v>
      </c>
      <c r="I19" s="415"/>
      <c r="J19" s="408">
        <f>SUMIF(80:80,I20,81:81)-SUMIF(80:80,C20,81:81)+100</f>
        <v>100</v>
      </c>
      <c r="K19" s="570"/>
      <c r="L19" s="2948"/>
      <c r="M19" s="2942"/>
      <c r="N19" s="2942"/>
      <c r="O19" s="2942"/>
      <c r="P19" s="3341"/>
      <c r="Q19" s="1535" t="str">
        <f>B19</f>
        <v>公共配套设施</v>
      </c>
      <c r="R19" s="713" t="s">
        <v>17</v>
      </c>
      <c r="S19" s="714">
        <f>F19</f>
        <v>100</v>
      </c>
      <c r="T19" s="713" t="s">
        <v>17</v>
      </c>
      <c r="U19" s="714">
        <f>H19</f>
        <v>100</v>
      </c>
      <c r="V19" s="713" t="s">
        <v>17</v>
      </c>
      <c r="W19" s="714">
        <f>J19</f>
        <v>100</v>
      </c>
      <c r="X19" s="1538"/>
      <c r="Y19" s="3301"/>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2948"/>
      <c r="M20" s="2942"/>
      <c r="N20" s="2942"/>
      <c r="O20" s="2942"/>
      <c r="P20" s="3341"/>
      <c r="Q20" s="1535"/>
      <c r="R20" s="713"/>
      <c r="S20" s="714"/>
      <c r="T20" s="713"/>
      <c r="U20" s="714"/>
      <c r="V20" s="713"/>
      <c r="W20" s="714"/>
      <c r="X20" s="1538"/>
      <c r="Y20" s="3301"/>
      <c r="Z20" s="1539"/>
      <c r="AA20" s="1536">
        <v>1</v>
      </c>
      <c r="AB20" s="1536">
        <v>1</v>
      </c>
      <c r="AC20" s="1536">
        <v>1</v>
      </c>
    </row>
    <row r="21" spans="1:29" ht="15">
      <c r="A21" s="386"/>
      <c r="B21" s="1292" t="s">
        <v>2474</v>
      </c>
      <c r="C21" s="2085">
        <f>估价对象房地状况!C8</f>
        <v>0</v>
      </c>
      <c r="D21" s="413">
        <v>100</v>
      </c>
      <c r="E21" s="415"/>
      <c r="F21" s="416">
        <f>SUMIF(82:82,E22,83:83)-SUMIF(82:82,C22,83:83)+100</f>
        <v>100</v>
      </c>
      <c r="G21" s="417"/>
      <c r="H21" s="408">
        <f>SUMIF(82:82,G22,83:83)-SUMIF(82:82,C22,83:83)+100</f>
        <v>100</v>
      </c>
      <c r="I21" s="415"/>
      <c r="J21" s="408">
        <f>SUMIF(82:82,I22,83:83)-SUMIF(82:82,C22,83:83)+100</f>
        <v>100</v>
      </c>
      <c r="K21" s="570"/>
      <c r="L21" s="2948"/>
      <c r="M21" s="2942"/>
      <c r="N21" s="2942"/>
      <c r="O21" s="2942"/>
      <c r="P21" s="3341"/>
      <c r="Q21" s="1535" t="str">
        <f>B21</f>
        <v>基础设施水平</v>
      </c>
      <c r="R21" s="713" t="s">
        <v>17</v>
      </c>
      <c r="S21" s="714">
        <f>F21</f>
        <v>100</v>
      </c>
      <c r="T21" s="713" t="s">
        <v>17</v>
      </c>
      <c r="U21" s="714">
        <f>H21</f>
        <v>100</v>
      </c>
      <c r="V21" s="713" t="s">
        <v>17</v>
      </c>
      <c r="W21" s="714">
        <f>J21</f>
        <v>100</v>
      </c>
      <c r="X21" s="1538"/>
      <c r="Y21" s="3301"/>
      <c r="Z21" s="1539" t="str">
        <f>Q21</f>
        <v>基础设施水平</v>
      </c>
      <c r="AA21" s="1536">
        <f t="shared" ref="AA21" si="8">D21/F21</f>
        <v>1</v>
      </c>
      <c r="AB21" s="1536">
        <f t="shared" ref="AB21" si="9">D21/H21</f>
        <v>1</v>
      </c>
      <c r="AC21" s="1536">
        <f t="shared" ref="AC21" si="10">D21/J21</f>
        <v>1</v>
      </c>
    </row>
    <row r="22" spans="1:29" ht="15">
      <c r="A22" s="386"/>
      <c r="B22" s="1292"/>
      <c r="C22" s="2086"/>
      <c r="D22" s="406"/>
      <c r="E22" s="405"/>
      <c r="F22" s="407"/>
      <c r="G22" s="405"/>
      <c r="H22" s="406"/>
      <c r="I22" s="405"/>
      <c r="J22" s="406"/>
      <c r="K22" s="1291"/>
      <c r="L22" s="2948"/>
      <c r="M22" s="2942"/>
      <c r="N22" s="2942"/>
      <c r="O22" s="2942"/>
      <c r="P22" s="3341"/>
      <c r="Q22" s="1535"/>
      <c r="R22" s="713"/>
      <c r="S22" s="714"/>
      <c r="T22" s="713"/>
      <c r="U22" s="714"/>
      <c r="V22" s="713"/>
      <c r="W22" s="714"/>
      <c r="X22" s="1538"/>
      <c r="Y22" s="3301"/>
      <c r="Z22" s="1539"/>
      <c r="AA22" s="1536">
        <v>1</v>
      </c>
      <c r="AB22" s="1536">
        <v>1</v>
      </c>
      <c r="AC22" s="1536">
        <v>1</v>
      </c>
    </row>
    <row r="23" spans="1:29" ht="15">
      <c r="A23" s="386"/>
      <c r="B23" s="409" t="s">
        <v>1948</v>
      </c>
      <c r="C23" s="2138">
        <f>估价对象房地状况!C9</f>
        <v>0</v>
      </c>
      <c r="D23" s="408">
        <v>100</v>
      </c>
      <c r="E23" s="410"/>
      <c r="F23" s="411">
        <f>SUMIF(84:84,E24,85:85)-SUMIF(84:84,C24,85:85)+100</f>
        <v>100</v>
      </c>
      <c r="G23" s="412"/>
      <c r="H23" s="408">
        <f>SUMIF(84:84,G24,85:85)-SUMIF(84:84,C24,85:85)+100</f>
        <v>100</v>
      </c>
      <c r="I23" s="410"/>
      <c r="J23" s="408">
        <f>SUMIF(84:84,I24,85:85)-SUMIF(84:84,C24,85:85)+100</f>
        <v>100</v>
      </c>
      <c r="K23" s="570"/>
      <c r="L23" s="2948"/>
      <c r="M23" s="2942"/>
      <c r="N23" s="2942"/>
      <c r="O23" s="2942"/>
      <c r="P23" s="3341"/>
      <c r="Q23" s="1535" t="str">
        <f>B23</f>
        <v>自然及人文环境</v>
      </c>
      <c r="R23" s="713" t="s">
        <v>17</v>
      </c>
      <c r="S23" s="714">
        <f>F23</f>
        <v>100</v>
      </c>
      <c r="T23" s="713" t="s">
        <v>17</v>
      </c>
      <c r="U23" s="714">
        <f>H23</f>
        <v>100</v>
      </c>
      <c r="V23" s="713" t="s">
        <v>17</v>
      </c>
      <c r="W23" s="714">
        <f>J23</f>
        <v>100</v>
      </c>
      <c r="X23" s="1538"/>
      <c r="Y23" s="3301"/>
      <c r="Z23" s="1539" t="str">
        <f>Q23</f>
        <v>自然及人文环境</v>
      </c>
      <c r="AA23" s="1536">
        <f t="shared" si="3"/>
        <v>1</v>
      </c>
      <c r="AB23" s="1536">
        <f t="shared" si="4"/>
        <v>1</v>
      </c>
      <c r="AC23" s="1536">
        <f t="shared" si="5"/>
        <v>1</v>
      </c>
    </row>
    <row r="24" spans="1:29" ht="15">
      <c r="A24" s="386"/>
      <c r="B24" s="414"/>
      <c r="C24" s="405"/>
      <c r="D24" s="406"/>
      <c r="E24" s="2083"/>
      <c r="F24" s="407"/>
      <c r="G24" s="2082"/>
      <c r="H24" s="406"/>
      <c r="I24" s="2083"/>
      <c r="J24" s="406"/>
      <c r="K24" s="571"/>
      <c r="L24" s="2948"/>
      <c r="M24" s="2942"/>
      <c r="N24" s="2942"/>
      <c r="O24" s="2942"/>
      <c r="P24" s="3341"/>
      <c r="Q24" s="1535"/>
      <c r="R24" s="713"/>
      <c r="S24" s="714"/>
      <c r="T24" s="713"/>
      <c r="U24" s="714"/>
      <c r="V24" s="713"/>
      <c r="W24" s="714"/>
      <c r="X24" s="1538"/>
      <c r="Y24" s="3301"/>
      <c r="Z24" s="1539"/>
      <c r="AA24" s="1536">
        <v>1</v>
      </c>
      <c r="AB24" s="1536">
        <v>1</v>
      </c>
      <c r="AC24" s="1536">
        <v>1</v>
      </c>
    </row>
    <row r="25" spans="1:29" ht="15">
      <c r="A25" s="386"/>
      <c r="B25" s="380" t="s">
        <v>2475</v>
      </c>
      <c r="C25" s="572"/>
      <c r="D25" s="393">
        <v>100</v>
      </c>
      <c r="E25" s="572"/>
      <c r="F25" s="419">
        <f>SUMIF(86:86,E25,87:87)-SUMIF(86:86,C25,87:87)+100</f>
        <v>100</v>
      </c>
      <c r="G25" s="572"/>
      <c r="H25" s="393">
        <f>SUMIF(86:86,G25,87:87)-SUMIF(86:86,C25,87:87)+100</f>
        <v>100</v>
      </c>
      <c r="I25" s="572"/>
      <c r="J25" s="393">
        <f>SUMIF(86:86,I25,87:87)-SUMIF(86:86,C25,87:87)+100</f>
        <v>100</v>
      </c>
      <c r="K25" s="568"/>
      <c r="L25" s="2948"/>
      <c r="M25" s="2942"/>
      <c r="N25" s="2942"/>
      <c r="O25" s="2942"/>
      <c r="P25" s="3341"/>
      <c r="Q25" s="1535" t="str">
        <f t="shared" ref="Q25:Q46" si="11">B25</f>
        <v>临街状况</v>
      </c>
      <c r="R25" s="713" t="s">
        <v>17</v>
      </c>
      <c r="S25" s="714">
        <f>F25</f>
        <v>100</v>
      </c>
      <c r="T25" s="713" t="s">
        <v>17</v>
      </c>
      <c r="U25" s="714">
        <f>H25</f>
        <v>100</v>
      </c>
      <c r="V25" s="713" t="s">
        <v>17</v>
      </c>
      <c r="W25" s="714">
        <f>J25</f>
        <v>100</v>
      </c>
      <c r="X25" s="1538"/>
      <c r="Y25" s="3301"/>
      <c r="Z25" s="1539" t="str">
        <f>Q25</f>
        <v>临街状况</v>
      </c>
      <c r="AA25" s="1536">
        <f t="shared" si="3"/>
        <v>1</v>
      </c>
      <c r="AB25" s="1536">
        <f t="shared" si="4"/>
        <v>1</v>
      </c>
      <c r="AC25" s="1536">
        <f t="shared" si="5"/>
        <v>1</v>
      </c>
    </row>
    <row r="26" spans="1:29" ht="15">
      <c r="A26" s="386"/>
      <c r="B26" s="1294" t="s">
        <v>2476</v>
      </c>
      <c r="C26" s="392"/>
      <c r="D26" s="393">
        <v>100</v>
      </c>
      <c r="E26" s="392"/>
      <c r="F26" s="419">
        <f>SUMIF(88:88,E26,89:89)-SUMIF(88:88,C26,89:89)+100</f>
        <v>100</v>
      </c>
      <c r="G26" s="392"/>
      <c r="H26" s="393">
        <f>SUMIF(88:88,G26,89:89)-SUMIF(88:88,C26,89:89)+100</f>
        <v>100</v>
      </c>
      <c r="I26" s="392"/>
      <c r="J26" s="393">
        <f>SUMIF(88:88,I26,89:89)-SUMIF(88:88,C26,89:89)+100</f>
        <v>100</v>
      </c>
      <c r="K26" s="569"/>
      <c r="L26" s="2948"/>
      <c r="M26" s="2942"/>
      <c r="N26" s="2942"/>
      <c r="O26" s="2942"/>
      <c r="P26" s="3341"/>
      <c r="Q26" s="1535" t="str">
        <f t="shared" si="11"/>
        <v>平面位置/可视性</v>
      </c>
      <c r="R26" s="713" t="s">
        <v>17</v>
      </c>
      <c r="S26" s="714">
        <f>F26</f>
        <v>100</v>
      </c>
      <c r="T26" s="713" t="s">
        <v>17</v>
      </c>
      <c r="U26" s="714">
        <f>H26</f>
        <v>100</v>
      </c>
      <c r="V26" s="713" t="s">
        <v>17</v>
      </c>
      <c r="W26" s="714">
        <f>J26</f>
        <v>100</v>
      </c>
      <c r="X26" s="1538"/>
      <c r="Y26" s="3301"/>
      <c r="Z26" s="1539" t="str">
        <f>Q26</f>
        <v>平面位置/可视性</v>
      </c>
      <c r="AA26" s="1536">
        <f t="shared" si="3"/>
        <v>1</v>
      </c>
      <c r="AB26" s="1536">
        <f t="shared" si="4"/>
        <v>1</v>
      </c>
      <c r="AC26" s="1536">
        <f t="shared" si="5"/>
        <v>1</v>
      </c>
    </row>
    <row r="27" spans="1:29" s="112" customFormat="1" ht="15">
      <c r="A27" s="389"/>
      <c r="B27" s="409" t="s">
        <v>2477</v>
      </c>
      <c r="C27" s="2139"/>
      <c r="D27" s="420">
        <v>100</v>
      </c>
      <c r="E27" s="2139"/>
      <c r="F27" s="422">
        <f>SUMIF(90:90,E27,91:91)-SUMIF(90:90,C27,91:91)+100</f>
        <v>100</v>
      </c>
      <c r="G27" s="2139"/>
      <c r="H27" s="420">
        <f>SUMIF(90:90,G27,91:91)-SUMIF(90:90,C27,91:91)+100</f>
        <v>100</v>
      </c>
      <c r="I27" s="2139"/>
      <c r="J27" s="420">
        <f>SUMIF(90:90,I27,91:91)-SUMIF(90:90,C27,91:91)+100</f>
        <v>100</v>
      </c>
      <c r="K27" s="568"/>
      <c r="L27" s="2943"/>
      <c r="M27" s="2944"/>
      <c r="N27" s="2944"/>
      <c r="O27" s="2944"/>
      <c r="P27" s="3341"/>
      <c r="Q27" s="1526" t="str">
        <f t="shared" si="11"/>
        <v>人流量</v>
      </c>
      <c r="R27" s="709" t="s">
        <v>17</v>
      </c>
      <c r="S27" s="710">
        <f>F27</f>
        <v>100</v>
      </c>
      <c r="T27" s="709" t="s">
        <v>17</v>
      </c>
      <c r="U27" s="710">
        <f>H27</f>
        <v>100</v>
      </c>
      <c r="V27" s="709" t="s">
        <v>17</v>
      </c>
      <c r="W27" s="710">
        <f>J27</f>
        <v>100</v>
      </c>
      <c r="X27" s="711"/>
      <c r="Y27" s="3301"/>
      <c r="Z27" s="55" t="str">
        <f>Q27</f>
        <v>人流量</v>
      </c>
      <c r="AA27" s="1536">
        <f>D27/F27</f>
        <v>1</v>
      </c>
      <c r="AB27" s="1536">
        <f>D27/H27</f>
        <v>1</v>
      </c>
      <c r="AC27" s="1536">
        <f>D27/J27</f>
        <v>1</v>
      </c>
    </row>
    <row r="28" spans="1:29" ht="15">
      <c r="A28" s="386"/>
      <c r="B28" s="380" t="s">
        <v>2478</v>
      </c>
      <c r="C28" s="572"/>
      <c r="D28" s="393">
        <v>100</v>
      </c>
      <c r="E28" s="572"/>
      <c r="F28" s="419">
        <f>SUMIF(92:92,E28,93:93)-SUMIF(92:92,C28,93:93)+100</f>
        <v>100</v>
      </c>
      <c r="G28" s="572"/>
      <c r="H28" s="393">
        <f>SUMIF(92:92,G28,93:93)-SUMIF(92:92,C28,93:93)+100</f>
        <v>100</v>
      </c>
      <c r="I28" s="572"/>
      <c r="J28" s="393">
        <f>SUMIF(92:92,I28,93:93)-SUMIF(92:92,C28,93:93)+100</f>
        <v>100</v>
      </c>
      <c r="K28" s="569"/>
      <c r="L28" s="2948"/>
      <c r="M28" s="2942"/>
      <c r="N28" s="2942"/>
      <c r="O28" s="2942"/>
      <c r="P28" s="3341"/>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301"/>
      <c r="Z28" s="1539" t="str">
        <f t="shared" ref="Z28:Z46" si="15">Q28</f>
        <v>楼层</v>
      </c>
      <c r="AA28" s="1536">
        <f t="shared" si="3"/>
        <v>1</v>
      </c>
      <c r="AB28" s="1536">
        <f t="shared" si="4"/>
        <v>1</v>
      </c>
      <c r="AC28" s="1536">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8"/>
      <c r="M29" s="2942"/>
      <c r="N29" s="2942"/>
      <c r="O29" s="2942"/>
      <c r="P29" s="3341"/>
      <c r="Q29" s="1535">
        <f t="shared" si="11"/>
        <v>111</v>
      </c>
      <c r="R29" s="713" t="s">
        <v>17</v>
      </c>
      <c r="S29" s="714">
        <f t="shared" si="12"/>
        <v>100</v>
      </c>
      <c r="T29" s="713" t="s">
        <v>17</v>
      </c>
      <c r="U29" s="714">
        <f t="shared" si="13"/>
        <v>100</v>
      </c>
      <c r="V29" s="713" t="s">
        <v>17</v>
      </c>
      <c r="W29" s="714">
        <f t="shared" si="14"/>
        <v>100</v>
      </c>
      <c r="X29" s="1538"/>
      <c r="Y29" s="3301"/>
      <c r="Z29" s="1539">
        <f t="shared" si="15"/>
        <v>111</v>
      </c>
      <c r="AA29" s="1536">
        <f t="shared" si="3"/>
        <v>1</v>
      </c>
      <c r="AB29" s="1536">
        <f t="shared" si="4"/>
        <v>1</v>
      </c>
      <c r="AC29" s="1536">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8"/>
      <c r="M30" s="2942"/>
      <c r="N30" s="2942"/>
      <c r="O30" s="2942"/>
      <c r="P30" s="3341"/>
      <c r="Q30" s="1535">
        <f t="shared" si="11"/>
        <v>111</v>
      </c>
      <c r="R30" s="713" t="s">
        <v>17</v>
      </c>
      <c r="S30" s="714">
        <f t="shared" si="12"/>
        <v>100</v>
      </c>
      <c r="T30" s="713" t="s">
        <v>17</v>
      </c>
      <c r="U30" s="714">
        <f t="shared" si="13"/>
        <v>100</v>
      </c>
      <c r="V30" s="713" t="s">
        <v>17</v>
      </c>
      <c r="W30" s="714">
        <f t="shared" si="14"/>
        <v>100</v>
      </c>
      <c r="X30" s="1538"/>
      <c r="Y30" s="3301"/>
      <c r="Z30" s="1539">
        <f t="shared" si="15"/>
        <v>111</v>
      </c>
      <c r="AA30" s="1536">
        <f t="shared" si="3"/>
        <v>1</v>
      </c>
      <c r="AB30" s="1536">
        <f t="shared" si="4"/>
        <v>1</v>
      </c>
      <c r="AC30" s="1536">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8"/>
      <c r="M31" s="2942"/>
      <c r="N31" s="2942"/>
      <c r="O31" s="2942"/>
      <c r="P31" s="3341"/>
      <c r="Q31" s="1535">
        <f t="shared" si="11"/>
        <v>111</v>
      </c>
      <c r="R31" s="713" t="s">
        <v>17</v>
      </c>
      <c r="S31" s="714">
        <f t="shared" si="12"/>
        <v>100</v>
      </c>
      <c r="T31" s="713" t="s">
        <v>17</v>
      </c>
      <c r="U31" s="714">
        <f t="shared" si="13"/>
        <v>100</v>
      </c>
      <c r="V31" s="713" t="s">
        <v>17</v>
      </c>
      <c r="W31" s="714">
        <f t="shared" si="14"/>
        <v>100</v>
      </c>
      <c r="X31" s="1538"/>
      <c r="Y31" s="3301"/>
      <c r="Z31" s="1539">
        <f t="shared" si="15"/>
        <v>111</v>
      </c>
      <c r="AA31" s="1536">
        <f t="shared" si="3"/>
        <v>1</v>
      </c>
      <c r="AB31" s="1536">
        <f t="shared" si="4"/>
        <v>1</v>
      </c>
      <c r="AC31" s="1536">
        <f t="shared" si="5"/>
        <v>1</v>
      </c>
    </row>
    <row r="32" spans="1:29" ht="15">
      <c r="A32" s="398" t="s">
        <v>2382</v>
      </c>
      <c r="B32" s="66" t="s">
        <v>2479</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48"/>
      <c r="M32" s="2942"/>
      <c r="N32" s="2942"/>
      <c r="O32" s="2942"/>
      <c r="P32" s="3336" t="s">
        <v>2384</v>
      </c>
      <c r="Q32" s="1535" t="str">
        <f t="shared" si="11"/>
        <v>商业类型</v>
      </c>
      <c r="R32" s="713" t="s">
        <v>17</v>
      </c>
      <c r="S32" s="714">
        <f t="shared" si="12"/>
        <v>100</v>
      </c>
      <c r="T32" s="713" t="s">
        <v>17</v>
      </c>
      <c r="U32" s="714">
        <f t="shared" si="13"/>
        <v>100</v>
      </c>
      <c r="V32" s="713" t="s">
        <v>17</v>
      </c>
      <c r="W32" s="714">
        <f t="shared" si="14"/>
        <v>100</v>
      </c>
      <c r="X32" s="1538"/>
      <c r="Y32" s="3303" t="s">
        <v>2384</v>
      </c>
      <c r="Z32" s="1539" t="str">
        <f t="shared" si="15"/>
        <v>商业类型</v>
      </c>
      <c r="AA32" s="1536">
        <f t="shared" si="3"/>
        <v>1</v>
      </c>
      <c r="AB32" s="1536">
        <f t="shared" si="4"/>
        <v>1</v>
      </c>
      <c r="AC32" s="1536">
        <f t="shared" si="5"/>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7"/>
      <c r="M33" s="2949"/>
      <c r="N33" s="2949"/>
      <c r="O33" s="2949"/>
      <c r="P33" s="3337"/>
      <c r="Q33" s="715" t="str">
        <f t="shared" si="11"/>
        <v>项目建筑规模</v>
      </c>
      <c r="R33" s="716" t="s">
        <v>17</v>
      </c>
      <c r="S33" s="717" t="e">
        <f t="shared" si="12"/>
        <v>#N/A</v>
      </c>
      <c r="T33" s="716" t="s">
        <v>17</v>
      </c>
      <c r="U33" s="717" t="e">
        <f t="shared" si="13"/>
        <v>#N/A</v>
      </c>
      <c r="V33" s="716" t="s">
        <v>17</v>
      </c>
      <c r="W33" s="717" t="e">
        <f t="shared" si="14"/>
        <v>#N/A</v>
      </c>
      <c r="X33" s="718"/>
      <c r="Y33" s="3303"/>
      <c r="Z33" s="719" t="str">
        <f t="shared" si="15"/>
        <v>项目建筑规模</v>
      </c>
      <c r="AA33" s="1536" t="e">
        <f t="shared" si="3"/>
        <v>#N/A</v>
      </c>
      <c r="AB33" s="1536" t="e">
        <f t="shared" si="4"/>
        <v>#N/A</v>
      </c>
      <c r="AC33" s="1536" t="e">
        <f t="shared" si="5"/>
        <v>#N/A</v>
      </c>
    </row>
    <row r="34" spans="1:29" ht="15">
      <c r="A34" s="430"/>
      <c r="B34" s="380" t="s">
        <v>2386</v>
      </c>
      <c r="C34" s="2096"/>
      <c r="D34" s="393">
        <v>100</v>
      </c>
      <c r="E34" s="2096"/>
      <c r="F34" s="419">
        <f>SUMIF(105:105,E34,106:106)-SUMIF(105:105,C34,106:106)+100</f>
        <v>100</v>
      </c>
      <c r="G34" s="2096"/>
      <c r="H34" s="393">
        <f>SUMIF(105:105,G34,106:106)-SUMIF(105:105,C34,106:106)+100</f>
        <v>100</v>
      </c>
      <c r="I34" s="2096"/>
      <c r="J34" s="393">
        <f>SUMIF(105:105,I34,106:106)-SUMIF(105:105,C34,106:106)+100</f>
        <v>100</v>
      </c>
      <c r="K34" s="568"/>
      <c r="L34" s="2948"/>
      <c r="M34" s="2942"/>
      <c r="N34" s="2942"/>
      <c r="O34" s="2942"/>
      <c r="P34" s="3337"/>
      <c r="Q34" s="1535" t="str">
        <f t="shared" si="11"/>
        <v>建筑结构</v>
      </c>
      <c r="R34" s="713" t="s">
        <v>17</v>
      </c>
      <c r="S34" s="714">
        <f t="shared" si="12"/>
        <v>100</v>
      </c>
      <c r="T34" s="713" t="s">
        <v>17</v>
      </c>
      <c r="U34" s="714">
        <f t="shared" si="13"/>
        <v>100</v>
      </c>
      <c r="V34" s="713" t="s">
        <v>17</v>
      </c>
      <c r="W34" s="714">
        <f t="shared" si="14"/>
        <v>100</v>
      </c>
      <c r="X34" s="1538"/>
      <c r="Y34" s="3303"/>
      <c r="Z34" s="1539" t="str">
        <f t="shared" si="15"/>
        <v>建筑结构</v>
      </c>
      <c r="AA34" s="1536">
        <f t="shared" si="3"/>
        <v>1</v>
      </c>
      <c r="AB34" s="1536">
        <f t="shared" si="4"/>
        <v>1</v>
      </c>
      <c r="AC34" s="1536">
        <f t="shared" si="5"/>
        <v>1</v>
      </c>
    </row>
    <row r="35" spans="1:29" ht="15">
      <c r="A35" s="430"/>
      <c r="B35" s="380" t="s">
        <v>2480</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48"/>
      <c r="M35" s="2942"/>
      <c r="N35" s="2942"/>
      <c r="O35" s="2942"/>
      <c r="P35" s="3337"/>
      <c r="Q35" s="1535" t="str">
        <f t="shared" si="11"/>
        <v>公共部分装修</v>
      </c>
      <c r="R35" s="713" t="s">
        <v>17</v>
      </c>
      <c r="S35" s="714">
        <f t="shared" si="12"/>
        <v>100</v>
      </c>
      <c r="T35" s="713" t="s">
        <v>17</v>
      </c>
      <c r="U35" s="714">
        <f t="shared" si="13"/>
        <v>100</v>
      </c>
      <c r="V35" s="713" t="s">
        <v>17</v>
      </c>
      <c r="W35" s="714">
        <f t="shared" si="14"/>
        <v>100</v>
      </c>
      <c r="X35" s="1538"/>
      <c r="Y35" s="3303"/>
      <c r="Z35" s="1539" t="str">
        <f t="shared" si="15"/>
        <v>公共部分装修</v>
      </c>
      <c r="AA35" s="1536">
        <f t="shared" si="3"/>
        <v>1</v>
      </c>
      <c r="AB35" s="1536">
        <f t="shared" si="4"/>
        <v>1</v>
      </c>
      <c r="AC35" s="1536">
        <f t="shared" si="5"/>
        <v>1</v>
      </c>
    </row>
    <row r="36" spans="1:29" ht="15">
      <c r="A36" s="430"/>
      <c r="B36" s="380" t="s">
        <v>2481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8"/>
      <c r="M36" s="2942"/>
      <c r="N36" s="2942"/>
      <c r="O36" s="2942"/>
      <c r="P36" s="3337"/>
      <c r="Q36" s="1535" t="str">
        <f t="shared" si="11"/>
        <v>成新度</v>
      </c>
      <c r="R36" s="713" t="s">
        <v>17</v>
      </c>
      <c r="S36" s="714" t="e">
        <f t="shared" si="12"/>
        <v>#N/A</v>
      </c>
      <c r="T36" s="713" t="s">
        <v>17</v>
      </c>
      <c r="U36" s="714" t="e">
        <f t="shared" si="13"/>
        <v>#N/A</v>
      </c>
      <c r="V36" s="713" t="s">
        <v>17</v>
      </c>
      <c r="W36" s="714" t="e">
        <f t="shared" si="14"/>
        <v>#N/A</v>
      </c>
      <c r="X36" s="1538"/>
      <c r="Y36" s="3303"/>
      <c r="Z36" s="1539" t="str">
        <f t="shared" si="15"/>
        <v>成新度</v>
      </c>
      <c r="AA36" s="1536" t="e">
        <f t="shared" si="3"/>
        <v>#N/A</v>
      </c>
      <c r="AB36" s="1536" t="e">
        <f t="shared" si="4"/>
        <v>#N/A</v>
      </c>
      <c r="AC36" s="1536" t="e">
        <f t="shared" si="5"/>
        <v>#N/A</v>
      </c>
    </row>
    <row r="37" spans="1:29" s="112" customFormat="1" ht="15">
      <c r="A37" s="431"/>
      <c r="B37" s="380" t="s">
        <v>2482</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3"/>
      <c r="M37" s="2944"/>
      <c r="N37" s="2944"/>
      <c r="O37" s="2944"/>
      <c r="P37" s="3337"/>
      <c r="Q37" s="1526" t="str">
        <f t="shared" si="11"/>
        <v>市政基础设施</v>
      </c>
      <c r="R37" s="709" t="s">
        <v>17</v>
      </c>
      <c r="S37" s="710">
        <f t="shared" si="12"/>
        <v>100</v>
      </c>
      <c r="T37" s="709" t="s">
        <v>17</v>
      </c>
      <c r="U37" s="710">
        <f t="shared" si="13"/>
        <v>100</v>
      </c>
      <c r="V37" s="709" t="s">
        <v>17</v>
      </c>
      <c r="W37" s="710">
        <f t="shared" si="14"/>
        <v>100</v>
      </c>
      <c r="X37" s="711"/>
      <c r="Y37" s="3303"/>
      <c r="Z37" s="55" t="str">
        <f t="shared" si="15"/>
        <v>市政基础设施</v>
      </c>
      <c r="AA37" s="712">
        <f t="shared" si="3"/>
        <v>1</v>
      </c>
      <c r="AB37" s="712">
        <f t="shared" si="4"/>
        <v>1</v>
      </c>
      <c r="AC37" s="712">
        <f t="shared" si="5"/>
        <v>1</v>
      </c>
    </row>
    <row r="38" spans="1:29" ht="15">
      <c r="A38" s="430"/>
      <c r="B38" s="380" t="s">
        <v>2483</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48"/>
      <c r="M38" s="2942"/>
      <c r="N38" s="2942"/>
      <c r="O38" s="2942"/>
      <c r="P38" s="3337" t="s">
        <v>2384</v>
      </c>
      <c r="Q38" s="1535" t="str">
        <f t="shared" si="11"/>
        <v>业态</v>
      </c>
      <c r="R38" s="713" t="s">
        <v>17</v>
      </c>
      <c r="S38" s="714">
        <f t="shared" si="12"/>
        <v>100</v>
      </c>
      <c r="T38" s="713" t="s">
        <v>17</v>
      </c>
      <c r="U38" s="714">
        <f t="shared" si="13"/>
        <v>100</v>
      </c>
      <c r="V38" s="713" t="s">
        <v>17</v>
      </c>
      <c r="W38" s="714">
        <f t="shared" si="14"/>
        <v>100</v>
      </c>
      <c r="X38" s="1538"/>
      <c r="Y38" s="3303" t="s">
        <v>2384</v>
      </c>
      <c r="Z38" s="1539" t="str">
        <f t="shared" si="15"/>
        <v>业态</v>
      </c>
      <c r="AA38" s="1536">
        <f t="shared" si="3"/>
        <v>1</v>
      </c>
      <c r="AB38" s="1536">
        <f t="shared" si="4"/>
        <v>1</v>
      </c>
      <c r="AC38" s="1536">
        <f t="shared" si="5"/>
        <v>1</v>
      </c>
    </row>
    <row r="39" spans="1:29" ht="15">
      <c r="A39" s="430"/>
      <c r="B39" s="380" t="s">
        <v>2484</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48"/>
      <c r="M39" s="2942"/>
      <c r="N39" s="2942"/>
      <c r="O39" s="2942"/>
      <c r="P39" s="3337"/>
      <c r="Q39" s="1535" t="str">
        <f t="shared" si="11"/>
        <v>层高</v>
      </c>
      <c r="R39" s="713" t="s">
        <v>17</v>
      </c>
      <c r="S39" s="714">
        <f t="shared" si="12"/>
        <v>100</v>
      </c>
      <c r="T39" s="713" t="s">
        <v>17</v>
      </c>
      <c r="U39" s="714">
        <f t="shared" si="13"/>
        <v>100</v>
      </c>
      <c r="V39" s="713" t="s">
        <v>17</v>
      </c>
      <c r="W39" s="714">
        <f t="shared" si="14"/>
        <v>100</v>
      </c>
      <c r="X39" s="1538"/>
      <c r="Y39" s="3303"/>
      <c r="Z39" s="1539" t="str">
        <f t="shared" si="15"/>
        <v>层高</v>
      </c>
      <c r="AA39" s="1536">
        <f t="shared" si="3"/>
        <v>1</v>
      </c>
      <c r="AB39" s="1536">
        <f t="shared" si="4"/>
        <v>1</v>
      </c>
      <c r="AC39" s="1536">
        <f t="shared" si="5"/>
        <v>1</v>
      </c>
    </row>
    <row r="40" spans="1:29" ht="15">
      <c r="A40" s="430"/>
      <c r="B40" s="380" t="s">
        <v>2485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8"/>
      <c r="M40" s="2942"/>
      <c r="N40" s="2942"/>
      <c r="O40" s="2942"/>
      <c r="P40" s="3337"/>
      <c r="Q40" s="1535" t="str">
        <f t="shared" si="11"/>
        <v>单套建筑面积</v>
      </c>
      <c r="R40" s="713" t="s">
        <v>17</v>
      </c>
      <c r="S40" s="714">
        <f t="shared" si="12"/>
        <v>100</v>
      </c>
      <c r="T40" s="713" t="s">
        <v>17</v>
      </c>
      <c r="U40" s="714">
        <f t="shared" si="13"/>
        <v>100</v>
      </c>
      <c r="V40" s="713" t="s">
        <v>17</v>
      </c>
      <c r="W40" s="714">
        <f t="shared" si="14"/>
        <v>100</v>
      </c>
      <c r="X40" s="1538"/>
      <c r="Y40" s="3303"/>
      <c r="Z40" s="1539" t="str">
        <f t="shared" si="15"/>
        <v>单套建筑面积</v>
      </c>
      <c r="AA40" s="1536">
        <f t="shared" si="3"/>
        <v>1</v>
      </c>
      <c r="AB40" s="1536">
        <f t="shared" si="4"/>
        <v>1</v>
      </c>
      <c r="AC40" s="1536">
        <f t="shared" si="5"/>
        <v>1</v>
      </c>
    </row>
    <row r="41" spans="1:29" s="429" customFormat="1" ht="15">
      <c r="A41" s="426"/>
      <c r="B41" s="1537" t="s">
        <v>2486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7"/>
      <c r="M41" s="2949"/>
      <c r="N41" s="2949"/>
      <c r="O41" s="2949"/>
      <c r="P41" s="3337"/>
      <c r="Q41" s="715" t="str">
        <f t="shared" si="11"/>
        <v>进深比</v>
      </c>
      <c r="R41" s="716" t="s">
        <v>17</v>
      </c>
      <c r="S41" s="717">
        <f t="shared" si="12"/>
        <v>100</v>
      </c>
      <c r="T41" s="716" t="s">
        <v>17</v>
      </c>
      <c r="U41" s="717">
        <f t="shared" si="13"/>
        <v>100</v>
      </c>
      <c r="V41" s="716" t="s">
        <v>17</v>
      </c>
      <c r="W41" s="717">
        <f t="shared" si="14"/>
        <v>100</v>
      </c>
      <c r="X41" s="718"/>
      <c r="Y41" s="3303"/>
      <c r="Z41" s="719" t="str">
        <f t="shared" si="15"/>
        <v>进深比</v>
      </c>
      <c r="AA41" s="1536">
        <f t="shared" si="3"/>
        <v>1</v>
      </c>
      <c r="AB41" s="1536">
        <f t="shared" si="4"/>
        <v>1</v>
      </c>
      <c r="AC41" s="1536">
        <f t="shared" si="5"/>
        <v>1</v>
      </c>
    </row>
    <row r="42" spans="1:29" ht="15">
      <c r="A42" s="430"/>
      <c r="B42" s="380" t="s">
        <v>2487</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48"/>
      <c r="M42" s="2942"/>
      <c r="N42" s="2942"/>
      <c r="O42" s="2942"/>
      <c r="P42" s="3337"/>
      <c r="Q42" s="1535" t="str">
        <f t="shared" si="11"/>
        <v>内部装修</v>
      </c>
      <c r="R42" s="713" t="s">
        <v>17</v>
      </c>
      <c r="S42" s="714">
        <f t="shared" si="12"/>
        <v>100</v>
      </c>
      <c r="T42" s="713" t="s">
        <v>17</v>
      </c>
      <c r="U42" s="714">
        <f t="shared" si="13"/>
        <v>100</v>
      </c>
      <c r="V42" s="713" t="s">
        <v>17</v>
      </c>
      <c r="W42" s="714">
        <f t="shared" si="14"/>
        <v>100</v>
      </c>
      <c r="X42" s="1538"/>
      <c r="Y42" s="3303"/>
      <c r="Z42" s="1539" t="str">
        <f t="shared" si="15"/>
        <v>内部装修</v>
      </c>
      <c r="AA42" s="1536">
        <f t="shared" si="3"/>
        <v>1</v>
      </c>
      <c r="AB42" s="1536">
        <f t="shared" si="4"/>
        <v>1</v>
      </c>
      <c r="AC42" s="1536">
        <f t="shared" si="5"/>
        <v>1</v>
      </c>
    </row>
    <row r="43" spans="1:29" ht="15">
      <c r="A43" s="430"/>
      <c r="B43" s="380" t="s">
        <v>2395</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48"/>
      <c r="M43" s="2942"/>
      <c r="N43" s="2942"/>
      <c r="O43" s="2942"/>
      <c r="P43" s="3337"/>
      <c r="Q43" s="1535" t="str">
        <f t="shared" si="11"/>
        <v>内部装修维护情况</v>
      </c>
      <c r="R43" s="713" t="s">
        <v>17</v>
      </c>
      <c r="S43" s="714">
        <f t="shared" si="12"/>
        <v>100</v>
      </c>
      <c r="T43" s="713" t="s">
        <v>17</v>
      </c>
      <c r="U43" s="714">
        <f t="shared" si="13"/>
        <v>100</v>
      </c>
      <c r="V43" s="713" t="s">
        <v>17</v>
      </c>
      <c r="W43" s="714">
        <f t="shared" si="14"/>
        <v>100</v>
      </c>
      <c r="X43" s="1538"/>
      <c r="Y43" s="3303"/>
      <c r="Z43" s="1539" t="str">
        <f t="shared" si="15"/>
        <v>内部装修维护情况</v>
      </c>
      <c r="AA43" s="1536">
        <f t="shared" si="3"/>
        <v>1</v>
      </c>
      <c r="AB43" s="1536">
        <f t="shared" si="4"/>
        <v>1</v>
      </c>
      <c r="AC43" s="1536">
        <f t="shared" si="5"/>
        <v>1</v>
      </c>
    </row>
    <row r="44" spans="1:29" s="112"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3"/>
      <c r="M44" s="2944"/>
      <c r="N44" s="2944"/>
      <c r="O44" s="2944"/>
      <c r="P44" s="3337"/>
      <c r="Q44" s="1526">
        <f t="shared" si="11"/>
        <v>111</v>
      </c>
      <c r="R44" s="709" t="s">
        <v>17</v>
      </c>
      <c r="S44" s="710">
        <f t="shared" si="12"/>
        <v>100</v>
      </c>
      <c r="T44" s="709" t="s">
        <v>17</v>
      </c>
      <c r="U44" s="710">
        <f t="shared" si="13"/>
        <v>100</v>
      </c>
      <c r="V44" s="709" t="s">
        <v>17</v>
      </c>
      <c r="W44" s="710">
        <f t="shared" si="14"/>
        <v>100</v>
      </c>
      <c r="X44" s="711"/>
      <c r="Y44" s="3303"/>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8"/>
      <c r="M45" s="2942"/>
      <c r="N45" s="2942"/>
      <c r="O45" s="2942"/>
      <c r="P45" s="3337"/>
      <c r="Q45" s="1535">
        <f t="shared" si="11"/>
        <v>111</v>
      </c>
      <c r="R45" s="713" t="s">
        <v>17</v>
      </c>
      <c r="S45" s="714">
        <f t="shared" si="12"/>
        <v>100</v>
      </c>
      <c r="T45" s="713" t="s">
        <v>17</v>
      </c>
      <c r="U45" s="714">
        <f t="shared" si="13"/>
        <v>100</v>
      </c>
      <c r="V45" s="713" t="s">
        <v>17</v>
      </c>
      <c r="W45" s="714">
        <f t="shared" si="14"/>
        <v>100</v>
      </c>
      <c r="X45" s="1538"/>
      <c r="Y45" s="3303"/>
      <c r="Z45" s="1539">
        <f t="shared" si="15"/>
        <v>111</v>
      </c>
      <c r="AA45" s="1536">
        <f t="shared" si="3"/>
        <v>1</v>
      </c>
      <c r="AB45" s="1536">
        <f t="shared" si="4"/>
        <v>1</v>
      </c>
      <c r="AC45" s="1536">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8"/>
      <c r="M46" s="2942"/>
      <c r="N46" s="2942"/>
      <c r="O46" s="2942"/>
      <c r="P46" s="3338"/>
      <c r="Q46" s="1535">
        <f t="shared" si="11"/>
        <v>111</v>
      </c>
      <c r="R46" s="713" t="s">
        <v>17</v>
      </c>
      <c r="S46" s="714">
        <f t="shared" si="12"/>
        <v>100</v>
      </c>
      <c r="T46" s="713" t="s">
        <v>17</v>
      </c>
      <c r="U46" s="714">
        <f t="shared" si="13"/>
        <v>100</v>
      </c>
      <c r="V46" s="713" t="s">
        <v>17</v>
      </c>
      <c r="W46" s="714">
        <f t="shared" si="14"/>
        <v>100</v>
      </c>
      <c r="X46" s="1538"/>
      <c r="Y46" s="3339"/>
      <c r="Z46" s="1539">
        <f t="shared" si="15"/>
        <v>111</v>
      </c>
      <c r="AA46" s="1536">
        <f t="shared" si="3"/>
        <v>1</v>
      </c>
      <c r="AB46" s="1536">
        <f t="shared" si="4"/>
        <v>1</v>
      </c>
      <c r="AC46" s="1536">
        <f t="shared" si="5"/>
        <v>1</v>
      </c>
    </row>
    <row r="47" spans="1:29" ht="15">
      <c r="A47" s="437" t="s">
        <v>2396</v>
      </c>
      <c r="B47" s="438"/>
      <c r="C47" s="1315" t="s">
        <v>1</v>
      </c>
      <c r="D47" s="1316"/>
      <c r="E47" s="1317"/>
      <c r="F47" s="1318"/>
      <c r="G47" s="1319"/>
      <c r="H47" s="1320"/>
      <c r="I47" s="1317"/>
      <c r="J47" s="1320"/>
      <c r="K47" s="722"/>
      <c r="L47" s="2950"/>
      <c r="M47" s="2951"/>
      <c r="N47" s="2942"/>
      <c r="O47" s="2951"/>
      <c r="P47" s="3298" t="str">
        <f>A47</f>
        <v>成交单价（元/平方米）</v>
      </c>
      <c r="Q47" s="3298"/>
      <c r="R47" s="3304">
        <f>E47</f>
        <v>0</v>
      </c>
      <c r="S47" s="3304"/>
      <c r="T47" s="3304">
        <f>G47</f>
        <v>0</v>
      </c>
      <c r="U47" s="3304"/>
      <c r="V47" s="3304">
        <f>I47</f>
        <v>0</v>
      </c>
      <c r="W47" s="3304"/>
      <c r="X47" s="698"/>
      <c r="Y47" s="720"/>
      <c r="Z47" s="698"/>
      <c r="AA47" s="698"/>
      <c r="AB47" s="698"/>
      <c r="AC47" s="698"/>
    </row>
    <row r="48" spans="1:29" ht="15.75" thickBot="1">
      <c r="A48" s="444" t="s">
        <v>2488</v>
      </c>
      <c r="B48" s="445"/>
      <c r="C48" s="1321" t="e">
        <f>R49</f>
        <v>#DIV/0!</v>
      </c>
      <c r="D48" s="2535" t="s">
        <v>2879</v>
      </c>
      <c r="E48" s="1322" t="e">
        <f>R48</f>
        <v>#DIV/0!</v>
      </c>
      <c r="F48" s="2536"/>
      <c r="G48" s="1321" t="e">
        <f>T48</f>
        <v>#DIV/0!</v>
      </c>
      <c r="H48" s="2536"/>
      <c r="I48" s="1322" t="e">
        <f>V48</f>
        <v>#DIV/0!</v>
      </c>
      <c r="J48" s="2536"/>
      <c r="K48" s="2538">
        <f>F48+H48+J48</f>
        <v>0</v>
      </c>
      <c r="L48" s="2950"/>
      <c r="M48" s="2951"/>
      <c r="N48" s="2942"/>
      <c r="O48" s="2951"/>
      <c r="P48" s="3298" t="str">
        <f>A48</f>
        <v>比较价值（元/平方米）</v>
      </c>
      <c r="Q48" s="3298"/>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698"/>
      <c r="Y48" s="698"/>
      <c r="Z48" s="698"/>
      <c r="AA48" s="698"/>
      <c r="AB48" s="698"/>
      <c r="AC48" s="698"/>
    </row>
    <row r="49" spans="1:29" ht="15.75" thickBot="1">
      <c r="A49" s="448" t="s">
        <v>2489</v>
      </c>
      <c r="B49" s="449"/>
      <c r="C49" s="1324" t="e">
        <f>R49</f>
        <v>#DIV/0!</v>
      </c>
      <c r="D49" s="1324"/>
      <c r="E49" s="1324"/>
      <c r="F49" s="1324"/>
      <c r="G49" s="1324"/>
      <c r="H49" s="1324"/>
      <c r="I49" s="1324"/>
      <c r="J49" s="1324"/>
      <c r="K49" s="723"/>
      <c r="L49" s="2950"/>
      <c r="M49" s="2951"/>
      <c r="N49" s="2942"/>
      <c r="O49" s="2951"/>
      <c r="P49" s="3292" t="str">
        <f>A49</f>
        <v>估价对象XX用房的比较价值（楼面单价，元/平方米）</v>
      </c>
      <c r="Q49" s="3293"/>
      <c r="R49" s="3334" t="e">
        <f>IF(F1="售价",ROUND(IF(D48="简单平均",AVERAGE(R48:V48),R48*F48+T48*H48+V48*J48),0),ROUND(IF(D48="简单平均",AVERAGE(R48:V48),R48*F48+T48*H48+V48*J48),1))</f>
        <v>#DIV/0!</v>
      </c>
      <c r="S49" s="3334"/>
      <c r="T49" s="3334"/>
      <c r="U49" s="3334"/>
      <c r="V49" s="3334"/>
      <c r="W49" s="3334"/>
      <c r="X49" s="698"/>
      <c r="Y49" s="698"/>
      <c r="Z49" s="698"/>
      <c r="AA49" s="698"/>
      <c r="AB49" s="698"/>
      <c r="AC49" s="698"/>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3" t="s">
        <v>2490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3" t="s">
        <v>2491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8" customFormat="1" ht="13.5" customHeight="1">
      <c r="A54" s="2954"/>
      <c r="B54" s="2954"/>
      <c r="C54" s="453" t="s">
        <v>2492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8"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2" t="s">
        <v>2493</v>
      </c>
      <c r="B57" s="698"/>
      <c r="C57" s="703"/>
      <c r="D57" s="703"/>
      <c r="E57" s="703"/>
      <c r="F57" s="704"/>
      <c r="G57" s="704"/>
      <c r="H57" s="703"/>
      <c r="I57" s="703"/>
      <c r="J57" s="703"/>
      <c r="K57" s="705"/>
      <c r="L57" s="1072"/>
      <c r="M57" s="1070"/>
      <c r="N57" s="1070"/>
      <c r="O57" s="1070"/>
      <c r="P57" s="2964"/>
      <c r="Q57" s="2965"/>
      <c r="R57" s="2951"/>
      <c r="S57" s="2951"/>
      <c r="T57" s="2951"/>
      <c r="U57" s="2951"/>
      <c r="V57" s="2951"/>
      <c r="W57" s="2951"/>
      <c r="X57" s="2951"/>
      <c r="Y57" s="2951"/>
      <c r="Z57" s="2951"/>
      <c r="AA57" s="2951"/>
      <c r="AB57" s="2951"/>
      <c r="AC57" s="2951"/>
    </row>
    <row r="58" spans="1:29" s="464" customFormat="1" ht="15">
      <c r="A58" s="461" t="s">
        <v>2367</v>
      </c>
      <c r="B58" s="462"/>
      <c r="C58" s="1345" t="str">
        <f>YEAR(C7)&amp;"-"&amp;MONTH(C7)</f>
        <v>2021-10</v>
      </c>
      <c r="D58" s="1346">
        <f>EDATE(C58,-1)</f>
        <v>44440</v>
      </c>
      <c r="E58" s="1346">
        <f t="shared" ref="E58:N58" si="16">EDATE(D58,-1)</f>
        <v>44409</v>
      </c>
      <c r="F58" s="1346">
        <f t="shared" si="16"/>
        <v>44378</v>
      </c>
      <c r="G58" s="1346">
        <f t="shared" si="16"/>
        <v>44348</v>
      </c>
      <c r="H58" s="1346">
        <f t="shared" si="16"/>
        <v>44317</v>
      </c>
      <c r="I58" s="1346">
        <f t="shared" si="16"/>
        <v>44287</v>
      </c>
      <c r="J58" s="1346">
        <f t="shared" si="16"/>
        <v>44256</v>
      </c>
      <c r="K58" s="1346">
        <f t="shared" si="16"/>
        <v>44228</v>
      </c>
      <c r="L58" s="1346">
        <f t="shared" si="16"/>
        <v>44197</v>
      </c>
      <c r="M58" s="1346">
        <f t="shared" si="16"/>
        <v>44166</v>
      </c>
      <c r="N58" s="1346">
        <f t="shared" si="16"/>
        <v>44136</v>
      </c>
      <c r="O58" s="1346">
        <f>EDATE(N58,-1)</f>
        <v>44105</v>
      </c>
      <c r="P58" s="2966"/>
      <c r="Q58" s="2967"/>
      <c r="R58" s="2967"/>
      <c r="S58" s="2967"/>
      <c r="T58" s="2967"/>
      <c r="U58" s="2967"/>
      <c r="V58" s="2967"/>
      <c r="W58" s="2967"/>
      <c r="X58" s="2967"/>
      <c r="Y58" s="2967"/>
      <c r="Z58" s="2967"/>
      <c r="AA58" s="2967"/>
      <c r="AB58" s="2967"/>
      <c r="AC58" s="2967"/>
    </row>
    <row r="59" spans="1:29" s="112" customFormat="1" ht="15">
      <c r="A59" s="465"/>
      <c r="B59" s="466"/>
      <c r="C59" s="1344">
        <v>100</v>
      </c>
      <c r="D59" s="468"/>
      <c r="E59" s="468"/>
      <c r="F59" s="468"/>
      <c r="G59" s="468"/>
      <c r="H59" s="468"/>
      <c r="I59" s="468"/>
      <c r="J59" s="468"/>
      <c r="K59" s="468"/>
      <c r="L59" s="468"/>
      <c r="M59" s="469"/>
      <c r="N59" s="468"/>
      <c r="O59" s="469"/>
      <c r="P59" s="2968"/>
      <c r="Q59" s="2885"/>
      <c r="R59" s="2885"/>
      <c r="S59" s="2885"/>
      <c r="T59" s="2885"/>
      <c r="U59" s="2885"/>
      <c r="V59" s="2885"/>
      <c r="W59" s="2885"/>
      <c r="X59" s="2885"/>
      <c r="Y59" s="2885"/>
      <c r="Z59" s="2885"/>
      <c r="AA59" s="2885"/>
      <c r="AB59" s="2885"/>
      <c r="AC59" s="2885"/>
    </row>
    <row r="60" spans="1:29" s="112" customFormat="1" ht="15.75" thickBot="1">
      <c r="A60" s="471" t="s">
        <v>2404</v>
      </c>
      <c r="B60" s="472"/>
      <c r="C60" s="473"/>
      <c r="D60" s="474"/>
      <c r="E60" s="474"/>
      <c r="F60" s="474"/>
      <c r="G60" s="474"/>
      <c r="H60" s="474"/>
      <c r="I60" s="474"/>
      <c r="J60" s="474"/>
      <c r="K60" s="474"/>
      <c r="L60" s="474"/>
      <c r="M60" s="475"/>
      <c r="N60" s="474"/>
      <c r="O60" s="475"/>
      <c r="P60" s="2968"/>
      <c r="Q60" s="2965"/>
      <c r="R60" s="2885"/>
      <c r="S60" s="2885"/>
      <c r="T60" s="2885"/>
      <c r="U60" s="2885"/>
      <c r="V60" s="2885"/>
      <c r="W60" s="2885"/>
      <c r="X60" s="2885"/>
      <c r="Y60" s="2885"/>
      <c r="Z60" s="2885"/>
      <c r="AA60" s="2885"/>
      <c r="AB60" s="2885"/>
      <c r="AC60" s="2885"/>
    </row>
    <row r="61" spans="1:29" s="112" customFormat="1" ht="15">
      <c r="A61" s="477" t="s">
        <v>2369</v>
      </c>
      <c r="B61" s="466"/>
      <c r="C61" s="478" t="s">
        <v>2471</v>
      </c>
      <c r="D61" s="479"/>
      <c r="E61" s="479"/>
      <c r="F61" s="479"/>
      <c r="G61" s="479"/>
      <c r="H61" s="479"/>
      <c r="I61" s="479"/>
      <c r="J61" s="479"/>
      <c r="K61" s="479"/>
      <c r="L61" s="480"/>
      <c r="M61" s="481"/>
      <c r="N61" s="2978"/>
      <c r="O61" s="2978"/>
      <c r="P61" s="2969"/>
      <c r="Q61" s="2965"/>
      <c r="R61" s="2885"/>
      <c r="S61" s="2885"/>
      <c r="T61" s="2885"/>
      <c r="U61" s="2885"/>
      <c r="V61" s="2885"/>
      <c r="W61" s="2885"/>
      <c r="X61" s="2885"/>
      <c r="Y61" s="2885"/>
      <c r="Z61" s="2885"/>
      <c r="AA61" s="2885"/>
      <c r="AB61" s="2885"/>
      <c r="AC61" s="2885"/>
    </row>
    <row r="62" spans="1:29" s="112" customFormat="1" ht="15.75" thickBot="1">
      <c r="A62" s="477"/>
      <c r="B62" s="466"/>
      <c r="C62" s="467">
        <v>100</v>
      </c>
      <c r="D62" s="468"/>
      <c r="E62" s="468"/>
      <c r="F62" s="468"/>
      <c r="G62" s="468"/>
      <c r="H62" s="468"/>
      <c r="I62" s="468"/>
      <c r="J62" s="468"/>
      <c r="K62" s="468"/>
      <c r="L62" s="468"/>
      <c r="M62" s="470"/>
      <c r="N62" s="2978"/>
      <c r="O62" s="2978"/>
      <c r="P62" s="2968"/>
      <c r="Q62" s="2965"/>
      <c r="R62" s="2885"/>
      <c r="S62" s="2885"/>
      <c r="T62" s="2885"/>
      <c r="U62" s="2885"/>
      <c r="V62" s="2885"/>
      <c r="W62" s="2885"/>
      <c r="X62" s="2885"/>
      <c r="Y62" s="2885"/>
      <c r="Z62" s="2885"/>
      <c r="AA62" s="2885"/>
      <c r="AB62" s="2885"/>
      <c r="AC62" s="2885"/>
    </row>
    <row r="63" spans="1:29">
      <c r="A63" s="483" t="s">
        <v>2407</v>
      </c>
      <c r="B63" s="484" t="s">
        <v>2373</v>
      </c>
      <c r="C63" s="485">
        <f>C9</f>
        <v>0</v>
      </c>
      <c r="D63" s="486"/>
      <c r="E63" s="486"/>
      <c r="F63" s="486"/>
      <c r="G63" s="486"/>
      <c r="H63" s="486"/>
      <c r="I63" s="486"/>
      <c r="J63" s="486"/>
      <c r="K63" s="487"/>
      <c r="L63" s="488"/>
      <c r="M63" s="489"/>
      <c r="N63" s="2979"/>
      <c r="O63" s="2979"/>
      <c r="P63" s="2970"/>
      <c r="Q63" s="2965"/>
      <c r="R63" s="2951"/>
      <c r="S63" s="2951"/>
      <c r="T63" s="2951"/>
      <c r="U63" s="2951"/>
      <c r="V63" s="2951"/>
      <c r="W63" s="2951"/>
      <c r="X63" s="2951"/>
      <c r="Y63" s="2951"/>
      <c r="Z63" s="2951"/>
      <c r="AA63" s="2951"/>
      <c r="AB63" s="2951"/>
      <c r="AC63" s="2951"/>
    </row>
    <row r="64" spans="1:29" ht="15.75" thickBot="1">
      <c r="A64" s="490"/>
      <c r="B64" s="491"/>
      <c r="C64" s="492">
        <v>100</v>
      </c>
      <c r="D64" s="492"/>
      <c r="E64" s="492"/>
      <c r="F64" s="492"/>
      <c r="G64" s="492"/>
      <c r="H64" s="492"/>
      <c r="I64" s="492"/>
      <c r="J64" s="492"/>
      <c r="K64" s="492"/>
      <c r="L64" s="492"/>
      <c r="M64" s="493"/>
      <c r="N64" s="2980"/>
      <c r="O64" s="2980"/>
      <c r="P64" s="2970"/>
      <c r="Q64" s="2965"/>
      <c r="R64" s="2951"/>
      <c r="S64" s="2951"/>
      <c r="T64" s="2951"/>
      <c r="U64" s="2951"/>
      <c r="V64" s="2951"/>
      <c r="W64" s="2951"/>
      <c r="X64" s="2951"/>
      <c r="Y64" s="2951"/>
      <c r="Z64" s="2951"/>
      <c r="AA64" s="2951"/>
      <c r="AB64" s="2951"/>
      <c r="AC64" s="2951"/>
    </row>
    <row r="65" spans="1:29" ht="27.75" thickTop="1">
      <c r="A65" s="490"/>
      <c r="B65" s="494" t="s">
        <v>2376</v>
      </c>
      <c r="C65" s="495" t="s">
        <v>2408</v>
      </c>
      <c r="D65" s="495" t="s">
        <v>2409</v>
      </c>
      <c r="E65" s="495" t="s">
        <v>2410</v>
      </c>
      <c r="F65" s="495" t="s">
        <v>2411</v>
      </c>
      <c r="G65" s="495" t="s">
        <v>2412</v>
      </c>
      <c r="H65" s="495" t="s">
        <v>2413</v>
      </c>
      <c r="I65" s="495" t="s">
        <v>2414</v>
      </c>
      <c r="J65" s="495"/>
      <c r="K65" s="496"/>
      <c r="L65" s="497"/>
      <c r="M65" s="498"/>
      <c r="N65" s="2979"/>
      <c r="O65" s="2979"/>
      <c r="P65" s="2970"/>
      <c r="Q65" s="2965"/>
      <c r="R65" s="2951"/>
      <c r="S65" s="2951"/>
      <c r="T65" s="2951"/>
      <c r="U65" s="2951"/>
      <c r="V65" s="2951"/>
      <c r="W65" s="2951"/>
      <c r="X65" s="2951"/>
      <c r="Y65" s="2951"/>
      <c r="Z65" s="2951"/>
      <c r="AA65" s="2951"/>
      <c r="AB65" s="2951"/>
      <c r="AC65" s="295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0"/>
      <c r="O66" s="2980"/>
      <c r="P66" s="2970"/>
      <c r="Q66" s="2965"/>
      <c r="R66" s="2951"/>
      <c r="S66" s="2951"/>
      <c r="T66" s="2951"/>
      <c r="U66" s="2951"/>
      <c r="V66" s="2951"/>
      <c r="W66" s="2951"/>
      <c r="X66" s="2951"/>
      <c r="Y66" s="2951"/>
      <c r="Z66" s="2951"/>
      <c r="AA66" s="2951"/>
      <c r="AB66" s="2951"/>
      <c r="AC66" s="2951"/>
    </row>
    <row r="67" spans="1:29" ht="15.75" thickTop="1">
      <c r="A67" s="490"/>
      <c r="B67" s="502" t="s">
        <v>2377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0"/>
      <c r="B68" s="504"/>
      <c r="C68" s="505"/>
      <c r="D68" s="505"/>
      <c r="E68" s="505"/>
      <c r="F68" s="505"/>
      <c r="G68" s="505"/>
      <c r="H68" s="505"/>
      <c r="I68" s="505"/>
      <c r="J68" s="505"/>
      <c r="K68" s="506"/>
      <c r="L68" s="507"/>
      <c r="M68" s="508"/>
      <c r="N68" s="2979"/>
      <c r="O68" s="2979"/>
      <c r="P68" s="2970"/>
      <c r="Q68" s="2965"/>
      <c r="R68" s="2951"/>
      <c r="S68" s="2951"/>
      <c r="T68" s="2951"/>
      <c r="U68" s="2951"/>
      <c r="V68" s="2951"/>
      <c r="W68" s="2951"/>
      <c r="X68" s="2951"/>
      <c r="Y68" s="2951"/>
      <c r="Z68" s="2951"/>
      <c r="AA68" s="2951"/>
      <c r="AB68" s="2951"/>
      <c r="AC68" s="295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0"/>
      <c r="O69" s="2980"/>
      <c r="P69" s="2970"/>
      <c r="Q69" s="2965"/>
      <c r="R69" s="2951"/>
      <c r="S69" s="2951"/>
      <c r="T69" s="2951"/>
      <c r="U69" s="2951"/>
      <c r="V69" s="2951"/>
      <c r="W69" s="2951"/>
      <c r="X69" s="2951"/>
      <c r="Y69" s="2951"/>
      <c r="Z69" s="2951"/>
      <c r="AA69" s="2951"/>
      <c r="AB69" s="2951"/>
      <c r="AC69" s="2951"/>
    </row>
    <row r="70" spans="1:29" s="429" customFormat="1" ht="15.75" thickTop="1">
      <c r="A70" s="509"/>
      <c r="B70" s="494">
        <f>B12</f>
        <v>111</v>
      </c>
      <c r="C70" s="510"/>
      <c r="D70" s="510"/>
      <c r="E70" s="510"/>
      <c r="F70" s="510"/>
      <c r="G70" s="510"/>
      <c r="H70" s="511"/>
      <c r="I70" s="511"/>
      <c r="J70" s="511"/>
      <c r="K70" s="511"/>
      <c r="L70" s="512"/>
      <c r="M70" s="513"/>
      <c r="N70" s="2981"/>
      <c r="O70" s="2981"/>
      <c r="P70" s="2971"/>
      <c r="Q70" s="2972"/>
      <c r="R70" s="2973"/>
      <c r="S70" s="2973"/>
      <c r="T70" s="2973"/>
      <c r="U70" s="2973"/>
      <c r="V70" s="2973"/>
      <c r="W70" s="2973"/>
      <c r="X70" s="2973"/>
      <c r="Y70" s="2973"/>
      <c r="Z70" s="2973"/>
      <c r="AA70" s="2973"/>
      <c r="AB70" s="2973"/>
      <c r="AC70" s="2973"/>
    </row>
    <row r="71" spans="1:29" s="429" customFormat="1" ht="15.75" thickBot="1">
      <c r="A71" s="509"/>
      <c r="B71" s="499"/>
      <c r="C71" s="516"/>
      <c r="D71" s="492"/>
      <c r="E71" s="492"/>
      <c r="F71" s="492"/>
      <c r="G71" s="492"/>
      <c r="H71" s="492"/>
      <c r="I71" s="492"/>
      <c r="J71" s="492"/>
      <c r="K71" s="492"/>
      <c r="L71" s="492"/>
      <c r="M71" s="493"/>
      <c r="N71" s="2980"/>
      <c r="O71" s="2980"/>
      <c r="P71" s="2971"/>
      <c r="Q71" s="2972"/>
      <c r="R71" s="2973"/>
      <c r="S71" s="2973"/>
      <c r="T71" s="2973"/>
      <c r="U71" s="2973"/>
      <c r="V71" s="2973"/>
      <c r="W71" s="2973"/>
      <c r="X71" s="2973"/>
      <c r="Y71" s="2973"/>
      <c r="Z71" s="2973"/>
      <c r="AA71" s="2973"/>
      <c r="AB71" s="2973"/>
      <c r="AC71" s="2973"/>
    </row>
    <row r="72" spans="1:29" s="429" customFormat="1" ht="15.75" thickTop="1">
      <c r="A72" s="509"/>
      <c r="B72" s="494">
        <f>B13</f>
        <v>111</v>
      </c>
      <c r="C72" s="510"/>
      <c r="D72" s="510"/>
      <c r="E72" s="510"/>
      <c r="F72" s="510"/>
      <c r="G72" s="510"/>
      <c r="H72" s="511"/>
      <c r="I72" s="511"/>
      <c r="J72" s="511"/>
      <c r="K72" s="511"/>
      <c r="L72" s="512"/>
      <c r="M72" s="513"/>
      <c r="N72" s="2981"/>
      <c r="O72" s="2981"/>
      <c r="P72" s="2974"/>
      <c r="Q72" s="2975"/>
      <c r="R72" s="2973"/>
      <c r="S72" s="2973"/>
      <c r="T72" s="2973"/>
      <c r="U72" s="2973"/>
      <c r="V72" s="2973"/>
      <c r="W72" s="2973"/>
      <c r="X72" s="2973"/>
      <c r="Y72" s="2973"/>
      <c r="Z72" s="2973"/>
      <c r="AA72" s="2973"/>
      <c r="AB72" s="2973"/>
      <c r="AC72" s="2973"/>
    </row>
    <row r="73" spans="1:29" s="429" customFormat="1" ht="15.75" thickBot="1">
      <c r="A73" s="509"/>
      <c r="B73" s="499"/>
      <c r="C73" s="516"/>
      <c r="D73" s="492"/>
      <c r="E73" s="492"/>
      <c r="F73" s="492"/>
      <c r="G73" s="516"/>
      <c r="H73" s="518"/>
      <c r="I73" s="518"/>
      <c r="J73" s="518"/>
      <c r="K73" s="518"/>
      <c r="L73" s="518"/>
      <c r="M73" s="519"/>
      <c r="N73" s="2981"/>
      <c r="O73" s="2981"/>
      <c r="P73" s="2971"/>
      <c r="Q73" s="2972"/>
      <c r="R73" s="2973"/>
      <c r="S73" s="2973"/>
      <c r="T73" s="2973"/>
      <c r="U73" s="2973"/>
      <c r="V73" s="2973"/>
      <c r="W73" s="2973"/>
      <c r="X73" s="2973"/>
      <c r="Y73" s="2973"/>
      <c r="Z73" s="2973"/>
      <c r="AA73" s="2973"/>
      <c r="AB73" s="2973"/>
      <c r="AC73" s="2973"/>
    </row>
    <row r="74" spans="1:29" s="429" customFormat="1" ht="15.75" thickTop="1">
      <c r="A74" s="509"/>
      <c r="B74" s="502">
        <f>B14</f>
        <v>111</v>
      </c>
      <c r="C74" s="510"/>
      <c r="D74" s="510"/>
      <c r="E74" s="510"/>
      <c r="F74" s="510"/>
      <c r="G74" s="479"/>
      <c r="H74" s="520"/>
      <c r="I74" s="520"/>
      <c r="J74" s="520"/>
      <c r="K74" s="520"/>
      <c r="L74" s="521"/>
      <c r="M74" s="522"/>
      <c r="N74" s="2981"/>
      <c r="O74" s="2981"/>
      <c r="P74" s="2976"/>
      <c r="Q74" s="2972"/>
      <c r="R74" s="2973"/>
      <c r="S74" s="2973"/>
      <c r="T74" s="2973"/>
      <c r="U74" s="2973"/>
      <c r="V74" s="2973"/>
      <c r="W74" s="2973"/>
      <c r="X74" s="2973"/>
      <c r="Y74" s="2973"/>
      <c r="Z74" s="2973"/>
      <c r="AA74" s="2973"/>
      <c r="AB74" s="2973"/>
      <c r="AC74" s="2973"/>
    </row>
    <row r="75" spans="1:29" s="429" customFormat="1" ht="15.75" thickBot="1">
      <c r="A75" s="524"/>
      <c r="B75" s="525"/>
      <c r="C75" s="526"/>
      <c r="D75" s="526"/>
      <c r="E75" s="526"/>
      <c r="F75" s="526"/>
      <c r="G75" s="526"/>
      <c r="H75" s="527"/>
      <c r="I75" s="527"/>
      <c r="J75" s="527"/>
      <c r="K75" s="527"/>
      <c r="L75" s="527"/>
      <c r="M75" s="528"/>
      <c r="N75" s="2981"/>
      <c r="O75" s="2981"/>
      <c r="P75" s="2971"/>
      <c r="Q75" s="2972"/>
      <c r="R75" s="2973"/>
      <c r="S75" s="2973"/>
      <c r="T75" s="2973"/>
      <c r="U75" s="2973"/>
      <c r="V75" s="2973"/>
      <c r="W75" s="2973"/>
      <c r="X75" s="2973"/>
      <c r="Y75" s="2973"/>
      <c r="Z75" s="2973"/>
      <c r="AA75" s="2973"/>
      <c r="AB75" s="2973"/>
      <c r="AC75" s="2973"/>
    </row>
    <row r="76" spans="1:29">
      <c r="A76" s="483" t="s">
        <v>2378</v>
      </c>
      <c r="B76" s="484" t="s">
        <v>2415</v>
      </c>
      <c r="C76" s="529" t="s">
        <v>2416</v>
      </c>
      <c r="D76" s="529" t="s">
        <v>2417</v>
      </c>
      <c r="E76" s="529" t="s">
        <v>2418</v>
      </c>
      <c r="F76" s="529" t="s">
        <v>2419</v>
      </c>
      <c r="G76" s="529" t="s">
        <v>2420</v>
      </c>
      <c r="H76" s="485"/>
      <c r="I76" s="485"/>
      <c r="J76" s="485"/>
      <c r="K76" s="530"/>
      <c r="L76" s="531"/>
      <c r="M76" s="532"/>
      <c r="N76" s="2979"/>
      <c r="O76" s="2979"/>
      <c r="P76" s="2977"/>
      <c r="Q76" s="2965"/>
      <c r="R76" s="2951"/>
      <c r="S76" s="2951"/>
      <c r="T76" s="2951"/>
      <c r="U76" s="2951"/>
      <c r="V76" s="2951"/>
      <c r="W76" s="2951"/>
      <c r="X76" s="2951"/>
      <c r="Y76" s="2951"/>
      <c r="Z76" s="2951"/>
      <c r="AA76" s="2951"/>
      <c r="AB76" s="2951"/>
      <c r="AC76" s="295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0"/>
      <c r="O77" s="2980"/>
      <c r="P77" s="2970"/>
      <c r="Q77" s="2965"/>
      <c r="R77" s="2951"/>
      <c r="S77" s="2951"/>
      <c r="T77" s="2951"/>
      <c r="U77" s="2951"/>
      <c r="V77" s="2951"/>
      <c r="W77" s="2951"/>
      <c r="X77" s="2951"/>
      <c r="Y77" s="2951"/>
      <c r="Z77" s="2951"/>
      <c r="AA77" s="2951"/>
      <c r="AB77" s="2951"/>
      <c r="AC77" s="2951"/>
    </row>
    <row r="78" spans="1:29" ht="15.75" thickTop="1">
      <c r="A78" s="490"/>
      <c r="B78" s="494" t="s">
        <v>2421</v>
      </c>
      <c r="C78" s="534" t="s">
        <v>2416</v>
      </c>
      <c r="D78" s="534" t="s">
        <v>2417</v>
      </c>
      <c r="E78" s="534" t="s">
        <v>2418</v>
      </c>
      <c r="F78" s="534" t="s">
        <v>2419</v>
      </c>
      <c r="G78" s="534" t="s">
        <v>2420</v>
      </c>
      <c r="H78" s="495"/>
      <c r="I78" s="495"/>
      <c r="J78" s="495"/>
      <c r="K78" s="496"/>
      <c r="L78" s="497"/>
      <c r="M78" s="498"/>
      <c r="N78" s="2979"/>
      <c r="O78" s="2979"/>
      <c r="P78" s="2970"/>
      <c r="Q78" s="2965"/>
      <c r="R78" s="2951"/>
      <c r="S78" s="2951"/>
      <c r="T78" s="2951"/>
      <c r="U78" s="2951"/>
      <c r="V78" s="2951"/>
      <c r="W78" s="2951"/>
      <c r="X78" s="2951"/>
      <c r="Y78" s="2951"/>
      <c r="Z78" s="2951"/>
      <c r="AA78" s="2951"/>
      <c r="AB78" s="2951"/>
      <c r="AC78" s="295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0"/>
      <c r="O79" s="2980"/>
      <c r="P79" s="2970"/>
      <c r="Q79" s="2965"/>
      <c r="R79" s="2951"/>
      <c r="S79" s="2951"/>
      <c r="T79" s="2951"/>
      <c r="U79" s="2951"/>
      <c r="V79" s="2951"/>
      <c r="W79" s="2951"/>
      <c r="X79" s="2951"/>
      <c r="Y79" s="2951"/>
      <c r="Z79" s="2951"/>
      <c r="AA79" s="2951"/>
      <c r="AB79" s="2951"/>
      <c r="AC79" s="2951"/>
    </row>
    <row r="80" spans="1:29" ht="15.75" thickTop="1">
      <c r="A80" s="490"/>
      <c r="B80" s="494" t="s">
        <v>2422</v>
      </c>
      <c r="C80" s="534" t="s">
        <v>2416</v>
      </c>
      <c r="D80" s="534" t="s">
        <v>2417</v>
      </c>
      <c r="E80" s="534" t="s">
        <v>2418</v>
      </c>
      <c r="F80" s="534" t="s">
        <v>2419</v>
      </c>
      <c r="G80" s="534" t="s">
        <v>2420</v>
      </c>
      <c r="H80" s="495"/>
      <c r="I80" s="495"/>
      <c r="J80" s="495"/>
      <c r="K80" s="496"/>
      <c r="L80" s="497"/>
      <c r="M80" s="498"/>
      <c r="N80" s="2979"/>
      <c r="O80" s="2979"/>
      <c r="P80" s="2970"/>
      <c r="Q80" s="2965"/>
      <c r="R80" s="2951"/>
      <c r="S80" s="2951"/>
      <c r="T80" s="2951"/>
      <c r="U80" s="2951"/>
      <c r="V80" s="2951"/>
      <c r="W80" s="2951"/>
      <c r="X80" s="2951"/>
      <c r="Y80" s="2951"/>
      <c r="Z80" s="2951"/>
      <c r="AA80" s="2951"/>
      <c r="AB80" s="2951"/>
      <c r="AC80" s="295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0"/>
      <c r="O81" s="2980"/>
      <c r="P81" s="2970"/>
      <c r="Q81" s="2965"/>
      <c r="R81" s="2951"/>
      <c r="S81" s="2951"/>
      <c r="T81" s="2951"/>
      <c r="U81" s="2951"/>
      <c r="V81" s="2951"/>
      <c r="W81" s="2951"/>
      <c r="X81" s="2951"/>
      <c r="Y81" s="2951"/>
      <c r="Z81" s="2951"/>
      <c r="AA81" s="2951"/>
      <c r="AB81" s="2951"/>
      <c r="AC81" s="2951"/>
    </row>
    <row r="82" spans="1:29" ht="15.75" thickTop="1">
      <c r="A82" s="490"/>
      <c r="B82" s="502" t="s">
        <v>2474</v>
      </c>
      <c r="C82" s="615" t="s">
        <v>2494</v>
      </c>
      <c r="D82" s="615" t="s">
        <v>2495</v>
      </c>
      <c r="E82" s="615" t="s">
        <v>2496</v>
      </c>
      <c r="F82" s="615" t="s">
        <v>2497</v>
      </c>
      <c r="G82" s="615" t="s">
        <v>2498</v>
      </c>
      <c r="H82" s="495"/>
      <c r="I82" s="495"/>
      <c r="J82" s="495"/>
      <c r="K82" s="495"/>
      <c r="L82" s="495"/>
      <c r="M82" s="1290"/>
      <c r="N82" s="2980"/>
      <c r="O82" s="2980"/>
      <c r="P82" s="2970"/>
      <c r="Q82" s="2965"/>
      <c r="R82" s="2951"/>
      <c r="S82" s="2951"/>
      <c r="T82" s="2951"/>
      <c r="U82" s="2951"/>
      <c r="V82" s="2951"/>
      <c r="W82" s="2951"/>
      <c r="X82" s="2951"/>
      <c r="Y82" s="2951"/>
      <c r="Z82" s="2951"/>
      <c r="AA82" s="2951"/>
      <c r="AB82" s="2951"/>
      <c r="AC82" s="295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0"/>
      <c r="O83" s="2980"/>
      <c r="P83" s="2970"/>
      <c r="Q83" s="2965"/>
      <c r="R83" s="2951"/>
      <c r="S83" s="2951"/>
      <c r="T83" s="2951"/>
      <c r="U83" s="2951"/>
      <c r="V83" s="2951"/>
      <c r="W83" s="2951"/>
      <c r="X83" s="2951"/>
      <c r="Y83" s="2951"/>
      <c r="Z83" s="2951"/>
      <c r="AA83" s="2951"/>
      <c r="AB83" s="2951"/>
      <c r="AC83" s="2951"/>
    </row>
    <row r="84" spans="1:29" ht="15.75" thickTop="1">
      <c r="A84" s="490"/>
      <c r="B84" s="494" t="s">
        <v>2428</v>
      </c>
      <c r="C84" s="534" t="s">
        <v>2416</v>
      </c>
      <c r="D84" s="534" t="s">
        <v>2417</v>
      </c>
      <c r="E84" s="534" t="s">
        <v>2418</v>
      </c>
      <c r="F84" s="534" t="s">
        <v>2419</v>
      </c>
      <c r="G84" s="534" t="s">
        <v>2420</v>
      </c>
      <c r="H84" s="495"/>
      <c r="I84" s="495"/>
      <c r="J84" s="495"/>
      <c r="K84" s="496"/>
      <c r="L84" s="497"/>
      <c r="M84" s="498"/>
      <c r="N84" s="2979"/>
      <c r="O84" s="2979"/>
      <c r="P84" s="2970"/>
      <c r="Q84" s="2965"/>
      <c r="R84" s="2951"/>
      <c r="S84" s="2951"/>
      <c r="T84" s="2951"/>
      <c r="U84" s="2951"/>
      <c r="V84" s="2951"/>
      <c r="W84" s="2951"/>
      <c r="X84" s="2951"/>
      <c r="Y84" s="2951"/>
      <c r="Z84" s="2951"/>
      <c r="AA84" s="2951"/>
      <c r="AB84" s="2951"/>
      <c r="AC84" s="295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0"/>
      <c r="O85" s="2980"/>
      <c r="P85" s="2970"/>
      <c r="Q85" s="2965"/>
      <c r="R85" s="2951"/>
      <c r="S85" s="2951"/>
      <c r="T85" s="2951"/>
      <c r="U85" s="2951"/>
      <c r="V85" s="2951"/>
      <c r="W85" s="2951"/>
      <c r="X85" s="2951"/>
      <c r="Y85" s="2951"/>
      <c r="Z85" s="2951"/>
      <c r="AA85" s="2951"/>
      <c r="AB85" s="2951"/>
      <c r="AC85" s="2951"/>
    </row>
    <row r="86" spans="1:29" s="112" customFormat="1" ht="15.75" thickTop="1">
      <c r="A86" s="535"/>
      <c r="B86" s="494" t="s">
        <v>2499</v>
      </c>
      <c r="C86" s="510"/>
      <c r="D86" s="510"/>
      <c r="E86" s="510"/>
      <c r="F86" s="510"/>
      <c r="G86" s="510"/>
      <c r="H86" s="510"/>
      <c r="I86" s="510"/>
      <c r="J86" s="510"/>
      <c r="K86" s="510"/>
      <c r="L86" s="536"/>
      <c r="M86" s="537"/>
      <c r="N86" s="2978"/>
      <c r="O86" s="2978"/>
      <c r="P86" s="2970"/>
      <c r="Q86" s="2965"/>
      <c r="R86" s="2885"/>
      <c r="S86" s="2885"/>
      <c r="T86" s="2885"/>
      <c r="U86" s="2885"/>
      <c r="V86" s="2885"/>
      <c r="W86" s="2885"/>
      <c r="X86" s="2885"/>
      <c r="Y86" s="2885"/>
      <c r="Z86" s="2885"/>
      <c r="AA86" s="2885"/>
      <c r="AB86" s="2885"/>
      <c r="AC86" s="2885"/>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0"/>
      <c r="O87" s="2980"/>
      <c r="P87" s="2970"/>
      <c r="Q87" s="2965"/>
      <c r="R87" s="2885"/>
      <c r="S87" s="2885"/>
      <c r="T87" s="2885"/>
      <c r="U87" s="2885"/>
      <c r="V87" s="2885"/>
      <c r="W87" s="2885"/>
      <c r="X87" s="2885"/>
      <c r="Y87" s="2885"/>
      <c r="Z87" s="2885"/>
      <c r="AA87" s="2885"/>
      <c r="AB87" s="2885"/>
      <c r="AC87" s="2885"/>
    </row>
    <row r="88" spans="1:29" s="112" customFormat="1" ht="15.75" thickTop="1">
      <c r="A88" s="535"/>
      <c r="B88" s="494" t="str">
        <f>B26</f>
        <v>平面位置/可视性</v>
      </c>
      <c r="C88" s="510"/>
      <c r="D88" s="510"/>
      <c r="E88" s="510"/>
      <c r="F88" s="2110"/>
      <c r="G88" s="510"/>
      <c r="H88" s="510"/>
      <c r="I88" s="510"/>
      <c r="J88" s="510"/>
      <c r="K88" s="510"/>
      <c r="L88" s="510"/>
      <c r="M88" s="537"/>
      <c r="N88" s="2978"/>
      <c r="O88" s="2978"/>
      <c r="P88" s="2970"/>
      <c r="Q88" s="2965"/>
      <c r="R88" s="2885"/>
      <c r="S88" s="2885"/>
      <c r="T88" s="2885"/>
      <c r="U88" s="2885"/>
      <c r="V88" s="2885"/>
      <c r="W88" s="2885"/>
      <c r="X88" s="2885"/>
      <c r="Y88" s="2885"/>
      <c r="Z88" s="2885"/>
      <c r="AA88" s="2885"/>
      <c r="AB88" s="2885"/>
      <c r="AC88" s="2885"/>
    </row>
    <row r="89" spans="1:29" s="112" customFormat="1" ht="15.75" thickBot="1">
      <c r="A89" s="535"/>
      <c r="B89" s="499"/>
      <c r="C89" s="516"/>
      <c r="D89" s="492"/>
      <c r="E89" s="492"/>
      <c r="F89" s="492"/>
      <c r="G89" s="492"/>
      <c r="H89" s="492"/>
      <c r="I89" s="492"/>
      <c r="J89" s="492"/>
      <c r="K89" s="492"/>
      <c r="L89" s="492"/>
      <c r="M89" s="492"/>
      <c r="N89" s="2980"/>
      <c r="O89" s="2980"/>
      <c r="P89" s="2970"/>
      <c r="Q89" s="2965"/>
      <c r="R89" s="2885"/>
      <c r="S89" s="2885"/>
      <c r="T89" s="2885"/>
      <c r="U89" s="2885"/>
      <c r="V89" s="2885"/>
      <c r="W89" s="2885"/>
      <c r="X89" s="2885"/>
      <c r="Y89" s="2885"/>
      <c r="Z89" s="2885"/>
      <c r="AA89" s="2885"/>
      <c r="AB89" s="2885"/>
      <c r="AC89" s="2885"/>
    </row>
    <row r="90" spans="1:29" s="429" customFormat="1" ht="15.75" thickTop="1">
      <c r="A90" s="509"/>
      <c r="B90" s="494" t="str">
        <f>B27</f>
        <v>人流量</v>
      </c>
      <c r="C90" s="510"/>
      <c r="D90" s="510"/>
      <c r="E90" s="510"/>
      <c r="F90" s="510"/>
      <c r="G90" s="510"/>
      <c r="H90" s="511"/>
      <c r="I90" s="511"/>
      <c r="J90" s="511"/>
      <c r="K90" s="511"/>
      <c r="L90" s="512"/>
      <c r="M90" s="513"/>
      <c r="N90" s="2981"/>
      <c r="O90" s="2981"/>
      <c r="P90" s="2971"/>
      <c r="Q90" s="2972"/>
      <c r="R90" s="2973"/>
      <c r="S90" s="2973"/>
      <c r="T90" s="2973"/>
      <c r="U90" s="2973"/>
      <c r="V90" s="2973"/>
      <c r="W90" s="2973"/>
      <c r="X90" s="2973"/>
      <c r="Y90" s="2973"/>
      <c r="Z90" s="2973"/>
      <c r="AA90" s="2973"/>
      <c r="AB90" s="2973"/>
      <c r="AC90" s="297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0"/>
      <c r="B92" s="494" t="str">
        <f>B28</f>
        <v>楼层</v>
      </c>
      <c r="C92" s="510"/>
      <c r="D92" s="510"/>
      <c r="E92" s="510"/>
      <c r="F92" s="510"/>
      <c r="G92" s="510"/>
      <c r="H92" s="510"/>
      <c r="I92" s="510"/>
      <c r="J92" s="510"/>
      <c r="K92" s="510"/>
      <c r="L92" s="536"/>
      <c r="M92" s="537"/>
      <c r="N92" s="2979"/>
      <c r="O92" s="2979"/>
      <c r="P92" s="2970"/>
      <c r="Q92" s="2965"/>
      <c r="R92" s="2951"/>
      <c r="S92" s="2951"/>
      <c r="T92" s="2951"/>
      <c r="U92" s="2951"/>
      <c r="V92" s="2951"/>
      <c r="W92" s="2951"/>
      <c r="X92" s="2951"/>
      <c r="Y92" s="2951"/>
      <c r="Z92" s="2951"/>
      <c r="AA92" s="2951"/>
      <c r="AB92" s="2951"/>
      <c r="AC92" s="2951"/>
    </row>
    <row r="93" spans="1:29" ht="15.75" thickBot="1">
      <c r="A93" s="490"/>
      <c r="B93" s="499"/>
      <c r="C93" s="492"/>
      <c r="D93" s="492"/>
      <c r="E93" s="492"/>
      <c r="F93" s="492"/>
      <c r="G93" s="492"/>
      <c r="H93" s="492"/>
      <c r="I93" s="492"/>
      <c r="J93" s="492"/>
      <c r="K93" s="492"/>
      <c r="L93" s="492"/>
      <c r="M93" s="493"/>
      <c r="N93" s="2980"/>
      <c r="O93" s="2980"/>
      <c r="P93" s="2970"/>
      <c r="Q93" s="2965"/>
      <c r="R93" s="2951"/>
      <c r="S93" s="2951"/>
      <c r="T93" s="2951"/>
      <c r="U93" s="2951"/>
      <c r="V93" s="2951"/>
      <c r="W93" s="2951"/>
      <c r="X93" s="2951"/>
      <c r="Y93" s="2951"/>
      <c r="Z93" s="2951"/>
      <c r="AA93" s="2951"/>
      <c r="AB93" s="2951"/>
      <c r="AC93" s="2951"/>
    </row>
    <row r="94" spans="1:29" ht="15.75" thickTop="1">
      <c r="A94" s="490"/>
      <c r="B94" s="494">
        <f>B29</f>
        <v>111</v>
      </c>
      <c r="C94" s="510"/>
      <c r="D94" s="510"/>
      <c r="E94" s="510"/>
      <c r="F94" s="510"/>
      <c r="G94" s="539"/>
      <c r="H94" s="539"/>
      <c r="I94" s="539"/>
      <c r="J94" s="539"/>
      <c r="K94" s="540"/>
      <c r="L94" s="541"/>
      <c r="M94" s="542"/>
      <c r="N94" s="2979"/>
      <c r="O94" s="2979"/>
      <c r="P94" s="2970"/>
      <c r="Q94" s="2965"/>
      <c r="R94" s="2951"/>
      <c r="S94" s="2951"/>
      <c r="T94" s="2951"/>
      <c r="U94" s="2951"/>
      <c r="V94" s="2951"/>
      <c r="W94" s="2951"/>
      <c r="X94" s="2951"/>
      <c r="Y94" s="2951"/>
      <c r="Z94" s="2951"/>
      <c r="AA94" s="2951"/>
      <c r="AB94" s="2951"/>
      <c r="AC94" s="2951"/>
    </row>
    <row r="95" spans="1:29" ht="15.75" thickBot="1">
      <c r="A95" s="490"/>
      <c r="B95" s="499"/>
      <c r="C95" s="516"/>
      <c r="D95" s="492"/>
      <c r="E95" s="492"/>
      <c r="F95" s="492"/>
      <c r="G95" s="492"/>
      <c r="H95" s="492"/>
      <c r="I95" s="492"/>
      <c r="J95" s="492"/>
      <c r="K95" s="492"/>
      <c r="L95" s="492"/>
      <c r="M95" s="493"/>
      <c r="N95" s="2980"/>
      <c r="O95" s="2980"/>
      <c r="P95" s="2970"/>
      <c r="Q95" s="2965"/>
      <c r="R95" s="2951"/>
      <c r="S95" s="2951"/>
      <c r="T95" s="2951"/>
      <c r="U95" s="2951"/>
      <c r="V95" s="2951"/>
      <c r="W95" s="2951"/>
      <c r="X95" s="2951"/>
      <c r="Y95" s="2951"/>
      <c r="Z95" s="2951"/>
      <c r="AA95" s="2951"/>
      <c r="AB95" s="2951"/>
      <c r="AC95" s="2951"/>
    </row>
    <row r="96" spans="1:29" ht="15.75" thickTop="1">
      <c r="A96" s="490"/>
      <c r="B96" s="494">
        <f>B30</f>
        <v>111</v>
      </c>
      <c r="C96" s="510"/>
      <c r="D96" s="510"/>
      <c r="E96" s="510"/>
      <c r="F96" s="510"/>
      <c r="G96" s="539"/>
      <c r="H96" s="539"/>
      <c r="I96" s="539"/>
      <c r="J96" s="539"/>
      <c r="K96" s="540"/>
      <c r="L96" s="541"/>
      <c r="M96" s="542"/>
      <c r="N96" s="2979"/>
      <c r="O96" s="2979"/>
      <c r="P96" s="2970"/>
      <c r="Q96" s="2965"/>
      <c r="R96" s="2951"/>
      <c r="S96" s="2951"/>
      <c r="T96" s="2951"/>
      <c r="U96" s="2951"/>
      <c r="V96" s="2951"/>
      <c r="W96" s="2951"/>
      <c r="X96" s="2951"/>
      <c r="Y96" s="2951"/>
      <c r="Z96" s="2951"/>
      <c r="AA96" s="2951"/>
      <c r="AB96" s="2951"/>
      <c r="AC96" s="2951"/>
    </row>
    <row r="97" spans="1:29" ht="15.75" thickBot="1">
      <c r="A97" s="490"/>
      <c r="B97" s="499"/>
      <c r="C97" s="516"/>
      <c r="D97" s="492"/>
      <c r="E97" s="492"/>
      <c r="F97" s="492"/>
      <c r="G97" s="492"/>
      <c r="H97" s="492"/>
      <c r="I97" s="492"/>
      <c r="J97" s="492"/>
      <c r="K97" s="492"/>
      <c r="L97" s="492"/>
      <c r="M97" s="493"/>
      <c r="N97" s="2980"/>
      <c r="O97" s="2980"/>
      <c r="P97" s="2970"/>
      <c r="Q97" s="2965"/>
      <c r="R97" s="2951"/>
      <c r="S97" s="2951"/>
      <c r="T97" s="2951"/>
      <c r="U97" s="2951"/>
      <c r="V97" s="2951"/>
      <c r="W97" s="2951"/>
      <c r="X97" s="2951"/>
      <c r="Y97" s="2951"/>
      <c r="Z97" s="2951"/>
      <c r="AA97" s="2951"/>
      <c r="AB97" s="2951"/>
      <c r="AC97" s="2951"/>
    </row>
    <row r="98" spans="1:29" ht="15.75" thickTop="1">
      <c r="A98" s="490"/>
      <c r="B98" s="502">
        <f>B31</f>
        <v>111</v>
      </c>
      <c r="C98" s="510"/>
      <c r="D98" s="510"/>
      <c r="E98" s="510"/>
      <c r="F98" s="510"/>
      <c r="G98" s="543"/>
      <c r="H98" s="543"/>
      <c r="I98" s="543"/>
      <c r="J98" s="543"/>
      <c r="K98" s="544"/>
      <c r="L98" s="545"/>
      <c r="M98" s="546"/>
      <c r="N98" s="2979"/>
      <c r="O98" s="2979"/>
      <c r="P98" s="2970"/>
      <c r="Q98" s="2965"/>
      <c r="R98" s="2951"/>
      <c r="S98" s="2951"/>
      <c r="T98" s="2951"/>
      <c r="U98" s="2951"/>
      <c r="V98" s="2951"/>
      <c r="W98" s="2951"/>
      <c r="X98" s="2951"/>
      <c r="Y98" s="2951"/>
      <c r="Z98" s="2951"/>
      <c r="AA98" s="2951"/>
      <c r="AB98" s="2951"/>
      <c r="AC98" s="2951"/>
    </row>
    <row r="99" spans="1:29" ht="15.75" thickBot="1">
      <c r="A99" s="2111"/>
      <c r="B99" s="525"/>
      <c r="C99" s="526"/>
      <c r="D99" s="526"/>
      <c r="E99" s="526"/>
      <c r="F99" s="526"/>
      <c r="G99" s="547"/>
      <c r="H99" s="547"/>
      <c r="I99" s="547"/>
      <c r="J99" s="547"/>
      <c r="K99" s="547"/>
      <c r="L99" s="547"/>
      <c r="M99" s="548"/>
      <c r="N99" s="2980"/>
      <c r="O99" s="2980"/>
      <c r="P99" s="2970"/>
      <c r="Q99" s="2965"/>
      <c r="R99" s="2951"/>
      <c r="S99" s="2951"/>
      <c r="T99" s="2951"/>
      <c r="U99" s="2951"/>
      <c r="V99" s="2951"/>
      <c r="W99" s="2951"/>
      <c r="X99" s="2951"/>
      <c r="Y99" s="2951"/>
      <c r="Z99" s="2951"/>
      <c r="AA99" s="2951"/>
      <c r="AB99" s="2951"/>
      <c r="AC99" s="2951"/>
    </row>
    <row r="100" spans="1:29">
      <c r="A100" s="483" t="s">
        <v>2382</v>
      </c>
      <c r="B100" s="484" t="s">
        <v>2500</v>
      </c>
      <c r="C100" s="486"/>
      <c r="D100" s="486"/>
      <c r="E100" s="486"/>
      <c r="F100" s="486"/>
      <c r="G100" s="486"/>
      <c r="H100" s="486"/>
      <c r="I100" s="486"/>
      <c r="J100" s="486"/>
      <c r="K100" s="487"/>
      <c r="L100" s="488"/>
      <c r="M100" s="489"/>
      <c r="N100" s="2979"/>
      <c r="O100" s="2979"/>
      <c r="P100" s="2970"/>
      <c r="Q100" s="2965"/>
      <c r="R100" s="2951"/>
      <c r="S100" s="2951"/>
      <c r="T100" s="2951"/>
      <c r="U100" s="2951"/>
      <c r="V100" s="2951"/>
      <c r="W100" s="2951"/>
      <c r="X100" s="2951"/>
      <c r="Y100" s="2951"/>
      <c r="Z100" s="2951"/>
      <c r="AA100" s="2951"/>
      <c r="AB100" s="2951"/>
      <c r="AC100" s="295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0"/>
      <c r="B102" s="494" t="s">
        <v>2432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29" customFormat="1">
      <c r="A103" s="549"/>
      <c r="B103" s="550"/>
      <c r="C103" s="551"/>
      <c r="D103" s="551"/>
      <c r="E103" s="551"/>
      <c r="F103" s="551"/>
      <c r="G103" s="551"/>
      <c r="H103" s="551"/>
      <c r="I103" s="551"/>
      <c r="J103" s="552"/>
      <c r="K103" s="552"/>
      <c r="L103" s="553"/>
      <c r="M103" s="554"/>
      <c r="N103" s="2981"/>
      <c r="O103" s="2981"/>
      <c r="P103" s="2971"/>
      <c r="Q103" s="2972"/>
      <c r="R103" s="2973"/>
      <c r="S103" s="2973"/>
      <c r="T103" s="2973"/>
      <c r="U103" s="2973"/>
      <c r="V103" s="2973"/>
      <c r="W103" s="2973"/>
      <c r="X103" s="2973"/>
      <c r="Y103" s="2973"/>
      <c r="Z103" s="2973"/>
      <c r="AA103" s="2973"/>
      <c r="AB103" s="2973"/>
      <c r="AC103" s="2973"/>
    </row>
    <row r="104" spans="1:29" s="429" customFormat="1" ht="15.75" thickBot="1">
      <c r="A104" s="509"/>
      <c r="B104" s="499"/>
      <c r="C104" s="516"/>
      <c r="D104" s="492"/>
      <c r="E104" s="492"/>
      <c r="F104" s="492"/>
      <c r="G104" s="492"/>
      <c r="H104" s="492"/>
      <c r="I104" s="492"/>
      <c r="J104" s="492"/>
      <c r="K104" s="492"/>
      <c r="L104" s="492"/>
      <c r="M104" s="493"/>
      <c r="N104" s="2980"/>
      <c r="O104" s="2980"/>
      <c r="P104" s="2971"/>
      <c r="Q104" s="2972"/>
      <c r="R104" s="2973"/>
      <c r="S104" s="2973"/>
      <c r="T104" s="2973"/>
      <c r="U104" s="2973"/>
      <c r="V104" s="2973"/>
      <c r="W104" s="2973"/>
      <c r="X104" s="2973"/>
      <c r="Y104" s="2973"/>
      <c r="Z104" s="2973"/>
      <c r="AA104" s="2973"/>
      <c r="AB104" s="2973"/>
      <c r="AC104" s="2973"/>
    </row>
    <row r="105" spans="1:29" ht="15" thickTop="1">
      <c r="A105" s="555"/>
      <c r="B105" s="494" t="s">
        <v>2433</v>
      </c>
      <c r="C105" s="510"/>
      <c r="D105" s="510"/>
      <c r="E105" s="539"/>
      <c r="F105" s="539"/>
      <c r="G105" s="539"/>
      <c r="H105" s="539"/>
      <c r="I105" s="539"/>
      <c r="J105" s="539"/>
      <c r="K105" s="540"/>
      <c r="L105" s="541"/>
      <c r="M105" s="542"/>
      <c r="N105" s="2979"/>
      <c r="O105" s="2979"/>
      <c r="P105" s="2970"/>
      <c r="Q105" s="2965"/>
      <c r="R105" s="2951"/>
      <c r="S105" s="2951"/>
      <c r="T105" s="2951"/>
      <c r="U105" s="2951"/>
      <c r="V105" s="2951"/>
      <c r="W105" s="2951"/>
      <c r="X105" s="2951"/>
      <c r="Y105" s="2951"/>
      <c r="Z105" s="2951"/>
      <c r="AA105" s="2951"/>
      <c r="AB105" s="2951"/>
      <c r="AC105" s="295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5"/>
      <c r="B107" s="494" t="s">
        <v>2435</v>
      </c>
      <c r="C107" s="510"/>
      <c r="D107" s="510"/>
      <c r="E107" s="510"/>
      <c r="F107" s="539"/>
      <c r="G107" s="539"/>
      <c r="H107" s="539"/>
      <c r="I107" s="539"/>
      <c r="J107" s="539"/>
      <c r="K107" s="540"/>
      <c r="L107" s="541"/>
      <c r="M107" s="542"/>
      <c r="N107" s="2979"/>
      <c r="O107" s="2979"/>
      <c r="P107" s="2970"/>
      <c r="Q107" s="2965"/>
      <c r="R107" s="2951"/>
      <c r="S107" s="2951"/>
      <c r="T107" s="2951"/>
      <c r="U107" s="2951"/>
      <c r="V107" s="2951"/>
      <c r="W107" s="2951"/>
      <c r="X107" s="2951"/>
      <c r="Y107" s="2951"/>
      <c r="Z107" s="2951"/>
      <c r="AA107" s="2951"/>
      <c r="AB107" s="2951"/>
      <c r="AC107" s="295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5"/>
      <c r="B109" s="494" t="s">
        <v>1877</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9"/>
      <c r="O109" s="2979"/>
      <c r="P109" s="2970"/>
      <c r="Q109" s="2965"/>
      <c r="R109" s="2951"/>
      <c r="S109" s="2951"/>
      <c r="T109" s="2951"/>
      <c r="U109" s="2951"/>
      <c r="V109" s="2951"/>
      <c r="W109" s="2951"/>
      <c r="X109" s="2951"/>
      <c r="Y109" s="2951"/>
      <c r="Z109" s="2951"/>
      <c r="AA109" s="2951"/>
      <c r="AB109" s="2951"/>
      <c r="AC109" s="2951"/>
    </row>
    <row r="110" spans="1:29">
      <c r="A110" s="555"/>
      <c r="B110" s="502"/>
      <c r="C110" s="559">
        <v>0.5</v>
      </c>
      <c r="D110" s="559">
        <v>0.6</v>
      </c>
      <c r="E110" s="559">
        <v>0.7</v>
      </c>
      <c r="F110" s="559">
        <v>0.8</v>
      </c>
      <c r="G110" s="559">
        <v>0.9</v>
      </c>
      <c r="H110" s="559">
        <v>1.0001</v>
      </c>
      <c r="I110" s="578"/>
      <c r="J110" s="578"/>
      <c r="K110" s="579"/>
      <c r="L110" s="580"/>
      <c r="M110" s="581"/>
      <c r="N110" s="2979"/>
      <c r="O110" s="2979"/>
      <c r="P110" s="2970"/>
      <c r="Q110" s="2965"/>
      <c r="R110" s="2951"/>
      <c r="S110" s="2951"/>
      <c r="T110" s="2951"/>
      <c r="U110" s="2951"/>
      <c r="V110" s="2951"/>
      <c r="W110" s="2951"/>
      <c r="X110" s="2951"/>
      <c r="Y110" s="2951"/>
      <c r="Z110" s="2951"/>
      <c r="AA110" s="2951"/>
      <c r="AB110" s="2951"/>
      <c r="AC110" s="295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0"/>
      <c r="O111" s="2980"/>
      <c r="P111" s="2970"/>
      <c r="Q111" s="2965"/>
      <c r="R111" s="2951"/>
      <c r="S111" s="2951"/>
      <c r="T111" s="2951"/>
      <c r="U111" s="2951"/>
      <c r="V111" s="2951"/>
      <c r="W111" s="2951"/>
      <c r="X111" s="2951"/>
      <c r="Y111" s="2951"/>
      <c r="Z111" s="2951"/>
      <c r="AA111" s="2951"/>
      <c r="AB111" s="2951"/>
      <c r="AC111" s="2951"/>
    </row>
    <row r="112" spans="1:29" s="429" customFormat="1" ht="15" thickTop="1">
      <c r="A112" s="549"/>
      <c r="B112" s="494" t="s">
        <v>2437</v>
      </c>
      <c r="C112" s="510"/>
      <c r="D112" s="510"/>
      <c r="E112" s="510"/>
      <c r="F112" s="510"/>
      <c r="G112" s="510"/>
      <c r="H112" s="539"/>
      <c r="I112" s="539"/>
      <c r="J112" s="539"/>
      <c r="K112" s="540"/>
      <c r="L112" s="541"/>
      <c r="M112" s="542"/>
      <c r="N112" s="2981"/>
      <c r="O112" s="2981"/>
      <c r="P112" s="2971"/>
      <c r="Q112" s="2972"/>
      <c r="R112" s="2973"/>
      <c r="S112" s="2973"/>
      <c r="T112" s="2973"/>
      <c r="U112" s="2973"/>
      <c r="V112" s="2973"/>
      <c r="W112" s="2973"/>
      <c r="X112" s="2973"/>
      <c r="Y112" s="2973"/>
      <c r="Z112" s="2973"/>
      <c r="AA112" s="2973"/>
      <c r="AB112" s="2973"/>
      <c r="AC112" s="297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5"/>
      <c r="B114" s="494" t="s">
        <v>2501</v>
      </c>
      <c r="C114" s="510"/>
      <c r="D114" s="510"/>
      <c r="E114" s="539"/>
      <c r="F114" s="539"/>
      <c r="G114" s="539"/>
      <c r="H114" s="539"/>
      <c r="I114" s="539"/>
      <c r="J114" s="539"/>
      <c r="K114" s="540"/>
      <c r="L114" s="541"/>
      <c r="M114" s="542"/>
      <c r="N114" s="2979"/>
      <c r="O114" s="2979"/>
      <c r="P114" s="2970"/>
      <c r="Q114" s="2965"/>
      <c r="R114" s="2951"/>
      <c r="S114" s="2951"/>
      <c r="T114" s="2951"/>
      <c r="U114" s="2951"/>
      <c r="V114" s="2951"/>
      <c r="W114" s="2951"/>
      <c r="X114" s="2951"/>
      <c r="Y114" s="2951"/>
      <c r="Z114" s="2951"/>
      <c r="AA114" s="2951"/>
      <c r="AB114" s="2951"/>
      <c r="AC114" s="295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5"/>
      <c r="B116" s="494" t="s">
        <v>2502</v>
      </c>
      <c r="C116" s="510"/>
      <c r="D116" s="510"/>
      <c r="E116" s="510"/>
      <c r="F116" s="510"/>
      <c r="G116" s="510"/>
      <c r="H116" s="539"/>
      <c r="I116" s="539"/>
      <c r="J116" s="539"/>
      <c r="K116" s="540"/>
      <c r="L116" s="541"/>
      <c r="M116" s="542"/>
      <c r="N116" s="2979"/>
      <c r="O116" s="2979"/>
      <c r="P116" s="2970"/>
      <c r="Q116" s="2965"/>
      <c r="R116" s="2951"/>
      <c r="S116" s="2951"/>
      <c r="T116" s="2951"/>
      <c r="U116" s="2951"/>
      <c r="V116" s="2951"/>
      <c r="W116" s="2951"/>
      <c r="X116" s="2951"/>
      <c r="Y116" s="2951"/>
      <c r="Z116" s="2951"/>
      <c r="AA116" s="2951"/>
      <c r="AB116" s="2951"/>
      <c r="AC116" s="295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0"/>
      <c r="O117" s="2980"/>
      <c r="P117" s="2970"/>
      <c r="Q117" s="2965"/>
      <c r="R117" s="2951"/>
      <c r="S117" s="2951"/>
      <c r="T117" s="2951"/>
      <c r="U117" s="2951"/>
      <c r="V117" s="2951"/>
      <c r="W117" s="2951"/>
      <c r="X117" s="2951"/>
      <c r="Y117" s="2951"/>
      <c r="Z117" s="2951"/>
      <c r="AA117" s="2951"/>
      <c r="AB117" s="2951"/>
      <c r="AC117" s="2951"/>
    </row>
    <row r="118" spans="1:29" ht="15" thickTop="1">
      <c r="A118" s="555"/>
      <c r="B118" s="494" t="s">
        <v>2503</v>
      </c>
      <c r="C118" s="582"/>
      <c r="D118" s="582"/>
      <c r="E118" s="582"/>
      <c r="F118" s="582"/>
      <c r="G118" s="582"/>
      <c r="H118" s="511"/>
      <c r="I118" s="511"/>
      <c r="J118" s="511"/>
      <c r="K118" s="511"/>
      <c r="L118" s="512"/>
      <c r="M118" s="513"/>
      <c r="N118" s="2979"/>
      <c r="O118" s="2979"/>
      <c r="P118" s="2970"/>
      <c r="Q118" s="2965"/>
      <c r="R118" s="2951"/>
      <c r="S118" s="2951"/>
      <c r="T118" s="2951"/>
      <c r="U118" s="2951"/>
      <c r="V118" s="2951"/>
      <c r="W118" s="2951"/>
      <c r="X118" s="2951"/>
      <c r="Y118" s="2951"/>
      <c r="Z118" s="2951"/>
      <c r="AA118" s="2951"/>
      <c r="AB118" s="2951"/>
      <c r="AC118" s="2951"/>
    </row>
    <row r="119" spans="1:29" ht="15.75" thickBot="1">
      <c r="A119" s="490"/>
      <c r="B119" s="499"/>
      <c r="C119" s="516"/>
      <c r="D119" s="492"/>
      <c r="E119" s="492"/>
      <c r="F119" s="492"/>
      <c r="G119" s="492"/>
      <c r="H119" s="492"/>
      <c r="I119" s="492"/>
      <c r="J119" s="492"/>
      <c r="K119" s="492"/>
      <c r="L119" s="492"/>
      <c r="M119" s="493"/>
      <c r="N119" s="2980"/>
      <c r="O119" s="2980"/>
      <c r="P119" s="2970"/>
      <c r="Q119" s="2965"/>
      <c r="R119" s="2951"/>
      <c r="S119" s="2951"/>
      <c r="T119" s="2951"/>
      <c r="U119" s="2951"/>
      <c r="V119" s="2951"/>
      <c r="W119" s="2951"/>
      <c r="X119" s="2951"/>
      <c r="Y119" s="2951"/>
      <c r="Z119" s="2951"/>
      <c r="AA119" s="2951"/>
      <c r="AB119" s="2951"/>
      <c r="AC119" s="2951"/>
    </row>
    <row r="120" spans="1:29" s="429" customFormat="1" ht="15" thickTop="1">
      <c r="A120" s="549"/>
      <c r="B120" s="494" t="s">
        <v>2504</v>
      </c>
      <c r="C120" s="539"/>
      <c r="D120" s="539"/>
      <c r="E120" s="539"/>
      <c r="F120" s="539"/>
      <c r="G120" s="511"/>
      <c r="H120" s="511"/>
      <c r="I120" s="511"/>
      <c r="J120" s="511"/>
      <c r="K120" s="511"/>
      <c r="L120" s="512"/>
      <c r="M120" s="513"/>
      <c r="N120" s="2981"/>
      <c r="O120" s="2981"/>
      <c r="P120" s="2971"/>
      <c r="Q120" s="2972"/>
      <c r="R120" s="2973"/>
      <c r="S120" s="2973"/>
      <c r="T120" s="2973"/>
      <c r="U120" s="2973"/>
      <c r="V120" s="2973"/>
      <c r="W120" s="2973"/>
      <c r="X120" s="2973"/>
      <c r="Y120" s="2973"/>
      <c r="Z120" s="2973"/>
      <c r="AA120" s="2973"/>
      <c r="AB120" s="2973"/>
      <c r="AC120" s="297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5"/>
      <c r="B122" s="494" t="s">
        <v>2439</v>
      </c>
      <c r="C122" s="510"/>
      <c r="D122" s="510"/>
      <c r="E122" s="510"/>
      <c r="F122" s="539"/>
      <c r="G122" s="539"/>
      <c r="H122" s="539"/>
      <c r="I122" s="539"/>
      <c r="J122" s="539"/>
      <c r="K122" s="540"/>
      <c r="L122" s="541"/>
      <c r="M122" s="542"/>
      <c r="N122" s="2979"/>
      <c r="O122" s="2979"/>
      <c r="P122" s="2970"/>
      <c r="Q122" s="2965"/>
      <c r="R122" s="2951"/>
      <c r="S122" s="2951"/>
      <c r="T122" s="2951"/>
      <c r="U122" s="2951"/>
      <c r="V122" s="2951"/>
      <c r="W122" s="2951"/>
      <c r="X122" s="2951"/>
      <c r="Y122" s="2951"/>
      <c r="Z122" s="2951"/>
      <c r="AA122" s="2951"/>
      <c r="AB122" s="2951"/>
      <c r="AC122" s="295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5"/>
      <c r="B124" s="494" t="s">
        <v>2440</v>
      </c>
      <c r="C124" s="534" t="s">
        <v>2416</v>
      </c>
      <c r="D124" s="534" t="s">
        <v>2417</v>
      </c>
      <c r="E124" s="534" t="s">
        <v>2418</v>
      </c>
      <c r="F124" s="534" t="s">
        <v>2419</v>
      </c>
      <c r="G124" s="534" t="s">
        <v>2420</v>
      </c>
      <c r="H124" s="495"/>
      <c r="I124" s="495"/>
      <c r="J124" s="495"/>
      <c r="K124" s="496"/>
      <c r="L124" s="497"/>
      <c r="M124" s="498"/>
      <c r="N124" s="2979"/>
      <c r="O124" s="2979"/>
      <c r="P124" s="2971"/>
      <c r="Q124" s="2965"/>
      <c r="R124" s="2951"/>
      <c r="S124" s="2951"/>
      <c r="T124" s="2951"/>
      <c r="U124" s="2951"/>
      <c r="V124" s="2951"/>
      <c r="W124" s="2951"/>
      <c r="X124" s="2951"/>
      <c r="Y124" s="2951"/>
      <c r="Z124" s="2951"/>
      <c r="AA124" s="2951"/>
      <c r="AB124" s="2951"/>
      <c r="AC124" s="295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0"/>
      <c r="O125" s="2980"/>
      <c r="P125" s="2970"/>
      <c r="Q125" s="2965"/>
      <c r="R125" s="2951"/>
      <c r="S125" s="2951"/>
      <c r="T125" s="2951"/>
      <c r="U125" s="2951"/>
      <c r="V125" s="2951"/>
      <c r="W125" s="2951"/>
      <c r="X125" s="2951"/>
      <c r="Y125" s="2951"/>
      <c r="Z125" s="2951"/>
      <c r="AA125" s="2951"/>
      <c r="AB125" s="2951"/>
      <c r="AC125" s="2951"/>
    </row>
    <row r="126" spans="1:29" s="429" customFormat="1" ht="15" thickTop="1">
      <c r="A126" s="549"/>
      <c r="B126" s="494">
        <f>B44</f>
        <v>111</v>
      </c>
      <c r="C126" s="510"/>
      <c r="D126" s="510"/>
      <c r="E126" s="510"/>
      <c r="F126" s="510"/>
      <c r="G126" s="510"/>
      <c r="H126" s="511"/>
      <c r="I126" s="511"/>
      <c r="J126" s="511"/>
      <c r="K126" s="511"/>
      <c r="L126" s="512"/>
      <c r="M126" s="513"/>
      <c r="N126" s="2981"/>
      <c r="O126" s="2981"/>
      <c r="P126" s="2971"/>
      <c r="Q126" s="2972"/>
      <c r="R126" s="2973"/>
      <c r="S126" s="2973"/>
      <c r="T126" s="2973"/>
      <c r="U126" s="2973"/>
      <c r="V126" s="2973"/>
      <c r="W126" s="2973"/>
      <c r="X126" s="2973"/>
      <c r="Y126" s="2973"/>
      <c r="Z126" s="2973"/>
      <c r="AA126" s="2973"/>
      <c r="AB126" s="2973"/>
      <c r="AC126" s="2973"/>
    </row>
    <row r="127" spans="1:29" s="429" customFormat="1" ht="15.75" thickBot="1">
      <c r="A127" s="509"/>
      <c r="B127" s="499"/>
      <c r="C127" s="516"/>
      <c r="D127" s="492"/>
      <c r="E127" s="492"/>
      <c r="F127" s="492"/>
      <c r="G127" s="516"/>
      <c r="H127" s="518"/>
      <c r="I127" s="518"/>
      <c r="J127" s="518"/>
      <c r="K127" s="518"/>
      <c r="L127" s="518"/>
      <c r="M127" s="519"/>
      <c r="N127" s="2981"/>
      <c r="O127" s="2981"/>
      <c r="P127" s="2971"/>
      <c r="Q127" s="2972"/>
      <c r="R127" s="2973"/>
      <c r="S127" s="2973"/>
      <c r="T127" s="2973"/>
      <c r="U127" s="2973"/>
      <c r="V127" s="2973"/>
      <c r="W127" s="2973"/>
      <c r="X127" s="2973"/>
      <c r="Y127" s="2973"/>
      <c r="Z127" s="2973"/>
      <c r="AA127" s="2973"/>
      <c r="AB127" s="2973"/>
      <c r="AC127" s="2973"/>
    </row>
    <row r="128" spans="1:29" ht="15" thickTop="1">
      <c r="A128" s="555"/>
      <c r="B128" s="494">
        <f>B45</f>
        <v>111</v>
      </c>
      <c r="C128" s="510"/>
      <c r="D128" s="510"/>
      <c r="E128" s="510"/>
      <c r="F128" s="510"/>
      <c r="G128" s="539"/>
      <c r="H128" s="539"/>
      <c r="I128" s="539"/>
      <c r="J128" s="539"/>
      <c r="K128" s="540"/>
      <c r="L128" s="541"/>
      <c r="M128" s="542"/>
      <c r="N128" s="2979"/>
      <c r="O128" s="2979"/>
      <c r="P128" s="2970"/>
      <c r="Q128" s="2965"/>
      <c r="R128" s="2951"/>
      <c r="S128" s="2951"/>
      <c r="T128" s="2951"/>
      <c r="U128" s="2951"/>
      <c r="V128" s="2951"/>
      <c r="W128" s="2951"/>
      <c r="X128" s="2951"/>
      <c r="Y128" s="2951"/>
      <c r="Z128" s="2951"/>
      <c r="AA128" s="2951"/>
      <c r="AB128" s="2951"/>
      <c r="AC128" s="2951"/>
    </row>
    <row r="129" spans="1:29" ht="15.75" thickBot="1">
      <c r="A129" s="490"/>
      <c r="B129" s="499"/>
      <c r="C129" s="516"/>
      <c r="D129" s="492"/>
      <c r="E129" s="492"/>
      <c r="F129" s="492"/>
      <c r="G129" s="492"/>
      <c r="H129" s="492"/>
      <c r="I129" s="492"/>
      <c r="J129" s="492"/>
      <c r="K129" s="492"/>
      <c r="L129" s="492"/>
      <c r="M129" s="493"/>
      <c r="N129" s="2980"/>
      <c r="O129" s="2980"/>
      <c r="P129" s="2970"/>
      <c r="Q129" s="2965"/>
      <c r="R129" s="2951"/>
      <c r="S129" s="2951"/>
      <c r="T129" s="2951"/>
      <c r="U129" s="2951"/>
      <c r="V129" s="2951"/>
      <c r="W129" s="2951"/>
      <c r="X129" s="2951"/>
      <c r="Y129" s="2951"/>
      <c r="Z129" s="2951"/>
      <c r="AA129" s="2951"/>
      <c r="AB129" s="2951"/>
      <c r="AC129" s="2951"/>
    </row>
    <row r="130" spans="1:29" ht="15" thickTop="1">
      <c r="A130" s="555"/>
      <c r="B130" s="502">
        <f>B46</f>
        <v>111</v>
      </c>
      <c r="C130" s="510"/>
      <c r="D130" s="510"/>
      <c r="E130" s="510"/>
      <c r="F130" s="510"/>
      <c r="G130" s="543"/>
      <c r="H130" s="543"/>
      <c r="I130" s="543"/>
      <c r="J130" s="543"/>
      <c r="K130" s="479"/>
      <c r="L130" s="480"/>
      <c r="M130" s="546"/>
      <c r="N130" s="2979"/>
      <c r="O130" s="2979"/>
      <c r="P130" s="2970"/>
      <c r="Q130" s="2965"/>
      <c r="R130" s="2951"/>
      <c r="S130" s="2951"/>
      <c r="T130" s="2951"/>
      <c r="U130" s="2951"/>
      <c r="V130" s="2951"/>
      <c r="W130" s="2951"/>
      <c r="X130" s="2951"/>
      <c r="Y130" s="2951"/>
      <c r="Z130" s="2951"/>
      <c r="AA130" s="2951"/>
      <c r="AB130" s="2951"/>
      <c r="AC130" s="2951"/>
    </row>
    <row r="131" spans="1:29" ht="15.75" thickBot="1">
      <c r="A131" s="2111"/>
      <c r="B131" s="525"/>
      <c r="C131" s="526"/>
      <c r="D131" s="526"/>
      <c r="E131" s="526"/>
      <c r="F131" s="526"/>
      <c r="G131" s="547"/>
      <c r="H131" s="547"/>
      <c r="I131" s="547"/>
      <c r="J131" s="547"/>
      <c r="K131" s="547"/>
      <c r="L131" s="547"/>
      <c r="M131" s="548"/>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140" t="s">
        <v>2505</v>
      </c>
      <c r="C1" s="1391" t="s">
        <v>2349</v>
      </c>
      <c r="D1" s="1392"/>
      <c r="E1" s="1401"/>
      <c r="F1" s="2064"/>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IF(C2="——",ROUND(C50*D3/10000,0),ROUND(C50*D3/10000,0)-D2)</f>
        <v>#DIV/0!</v>
      </c>
      <c r="C2" s="2066"/>
      <c r="D2" s="1274" t="e">
        <f ca="1">SUMIF(INDIRECT("'"&amp;F2&amp;"'"&amp;"!A:A"),"承租人权益价值",INDIRECT("'"&amp;F2&amp;"'"&amp;"!c:c"))</f>
        <v>#REF!</v>
      </c>
      <c r="E2" s="2067" t="s">
        <v>2150</v>
      </c>
      <c r="F2" s="2068"/>
      <c r="G2" s="1038"/>
      <c r="H2" s="1038"/>
      <c r="I2" s="1038"/>
      <c r="J2" s="1038"/>
      <c r="K2" s="1038"/>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 ca="1">IF(C2="——",C50,ROUND(B2*10000/D3,0))</f>
        <v>#DIV/0!</v>
      </c>
      <c r="C3" s="359" t="s">
        <v>2463</v>
      </c>
      <c r="D3" s="358">
        <f>IF(D1="",'数据-汇总表'!E3,SUMIF('数据-汇总表'!$C19:$C33,D1,'数据-汇总表'!$E19:$E33))</f>
        <v>117964.09999999983</v>
      </c>
      <c r="E3" s="2137"/>
      <c r="F3" s="1039"/>
      <c r="G3" s="1038"/>
      <c r="H3" s="1038"/>
      <c r="I3" s="1038"/>
      <c r="J3" s="1038"/>
      <c r="K3" s="1040"/>
      <c r="L3" s="2960"/>
      <c r="M3" s="2961"/>
      <c r="N3" s="2961"/>
      <c r="O3" s="2961"/>
      <c r="P3" s="707"/>
      <c r="Q3" s="707"/>
      <c r="R3" s="707"/>
      <c r="S3" s="707"/>
      <c r="T3" s="707"/>
      <c r="U3" s="707"/>
      <c r="V3" s="707"/>
      <c r="W3" s="707"/>
      <c r="X3" s="707"/>
      <c r="Y3" s="707"/>
      <c r="Z3" s="707"/>
      <c r="AA3" s="707"/>
      <c r="AB3" s="707"/>
      <c r="AC3" s="708"/>
    </row>
    <row r="4" spans="1:29" ht="15">
      <c r="A4" s="360" t="s">
        <v>2464</v>
      </c>
      <c r="B4" s="361"/>
      <c r="C4" s="3295" t="s">
        <v>2465</v>
      </c>
      <c r="D4" s="3308"/>
      <c r="E4" s="3309" t="s">
        <v>2466</v>
      </c>
      <c r="F4" s="3310"/>
      <c r="G4" s="3295" t="s">
        <v>2467</v>
      </c>
      <c r="H4" s="3308"/>
      <c r="I4" s="3295" t="s">
        <v>2468</v>
      </c>
      <c r="J4" s="3308"/>
      <c r="K4" s="566" t="s">
        <v>2469</v>
      </c>
      <c r="L4" s="2941"/>
      <c r="M4" s="2942"/>
      <c r="N4" s="2942"/>
      <c r="O4" s="2942"/>
      <c r="P4" s="3378" t="s">
        <v>2470</v>
      </c>
      <c r="Q4" s="3379"/>
      <c r="R4" s="3382" t="s">
        <v>2466</v>
      </c>
      <c r="S4" s="3383"/>
      <c r="T4" s="3382" t="s">
        <v>2467</v>
      </c>
      <c r="U4" s="3383"/>
      <c r="V4" s="3384" t="s">
        <v>2468</v>
      </c>
      <c r="W4" s="3384"/>
      <c r="X4" s="2141"/>
      <c r="Y4" s="3382" t="s">
        <v>2470</v>
      </c>
      <c r="Z4" s="3383"/>
      <c r="AA4" s="3386" t="s">
        <v>2466</v>
      </c>
      <c r="AB4" s="3386" t="s">
        <v>2467</v>
      </c>
      <c r="AC4" s="3375" t="s">
        <v>2468</v>
      </c>
    </row>
    <row r="5" spans="1:29" ht="15">
      <c r="A5" s="363"/>
      <c r="B5" s="364"/>
      <c r="C5" s="3325" t="s">
        <v>2361</v>
      </c>
      <c r="D5" s="3326"/>
      <c r="E5" s="3332" t="s">
        <v>2362</v>
      </c>
      <c r="F5" s="3333"/>
      <c r="G5" s="3325" t="s">
        <v>2363</v>
      </c>
      <c r="H5" s="3326"/>
      <c r="I5" s="3325" t="s">
        <v>2364</v>
      </c>
      <c r="J5" s="3326"/>
      <c r="K5" s="566"/>
      <c r="L5" s="2941"/>
      <c r="M5" s="2942"/>
      <c r="N5" s="2942"/>
      <c r="O5" s="2942"/>
      <c r="P5" s="3380"/>
      <c r="Q5" s="3314"/>
      <c r="R5" s="3319"/>
      <c r="S5" s="3320"/>
      <c r="T5" s="3319"/>
      <c r="U5" s="3320"/>
      <c r="V5" s="3304"/>
      <c r="W5" s="3304"/>
      <c r="X5" s="1538"/>
      <c r="Y5" s="3319"/>
      <c r="Z5" s="3320"/>
      <c r="AA5" s="3306"/>
      <c r="AB5" s="3306"/>
      <c r="AC5" s="3376"/>
    </row>
    <row r="6" spans="1:29" ht="15.75" thickBot="1">
      <c r="A6" s="365"/>
      <c r="B6" s="366"/>
      <c r="C6" s="3323" t="s">
        <v>2365</v>
      </c>
      <c r="D6" s="3324"/>
      <c r="E6" s="3330" t="s">
        <v>2365</v>
      </c>
      <c r="F6" s="3331"/>
      <c r="G6" s="3323" t="s">
        <v>2365</v>
      </c>
      <c r="H6" s="3324"/>
      <c r="I6" s="3323" t="s">
        <v>2365</v>
      </c>
      <c r="J6" s="3324"/>
      <c r="K6" s="566" t="s">
        <v>2366</v>
      </c>
      <c r="L6" s="2941"/>
      <c r="M6" s="2942"/>
      <c r="N6" s="2942"/>
      <c r="O6" s="2942"/>
      <c r="P6" s="3381"/>
      <c r="Q6" s="3316"/>
      <c r="R6" s="3319"/>
      <c r="S6" s="3320"/>
      <c r="T6" s="3321"/>
      <c r="U6" s="3322"/>
      <c r="V6" s="3304"/>
      <c r="W6" s="3304"/>
      <c r="X6" s="1538"/>
      <c r="Y6" s="3321"/>
      <c r="Z6" s="3322"/>
      <c r="AA6" s="3307"/>
      <c r="AB6" s="3307"/>
      <c r="AC6" s="3377"/>
    </row>
    <row r="7" spans="1:29" s="112" customFormat="1" ht="15.75" thickBot="1">
      <c r="A7" s="367" t="s">
        <v>2367</v>
      </c>
      <c r="B7" s="368"/>
      <c r="C7" s="369">
        <f>'数据-取费表'!B2</f>
        <v>44478</v>
      </c>
      <c r="D7" s="370">
        <v>100</v>
      </c>
      <c r="E7" s="371"/>
      <c r="F7" s="372">
        <f>SUMIF(59:59,YEAR(E7)&amp;"-"&amp;MONTH(E7),60:60)</f>
        <v>0</v>
      </c>
      <c r="G7" s="371"/>
      <c r="H7" s="370">
        <f>SUMIF(59:59,YEAR(G7)&amp;"-"&amp;MONTH(G7),60:60)</f>
        <v>0</v>
      </c>
      <c r="I7" s="371"/>
      <c r="J7" s="370">
        <f>SUMIF(59:59,YEAR(I7)&amp;"-"&amp;MONTH(I7),60:60)</f>
        <v>0</v>
      </c>
      <c r="K7" s="567"/>
      <c r="L7" s="2943"/>
      <c r="M7" s="2944"/>
      <c r="N7" s="2944"/>
      <c r="O7" s="2944"/>
      <c r="P7" s="3385" t="s">
        <v>2368</v>
      </c>
      <c r="Q7" s="3329"/>
      <c r="R7" s="709" t="s">
        <v>17</v>
      </c>
      <c r="S7" s="710">
        <f t="shared" ref="S7:S15" si="0">F7</f>
        <v>0</v>
      </c>
      <c r="T7" s="709" t="s">
        <v>17</v>
      </c>
      <c r="U7" s="710">
        <f t="shared" ref="U7:U15" si="1">H7</f>
        <v>0</v>
      </c>
      <c r="V7" s="709" t="s">
        <v>17</v>
      </c>
      <c r="W7" s="710">
        <f t="shared" ref="W7:W15" si="2">J7</f>
        <v>0</v>
      </c>
      <c r="X7" s="711"/>
      <c r="Y7" s="3327" t="s">
        <v>2368</v>
      </c>
      <c r="Z7" s="3328"/>
      <c r="AA7" s="712" t="e">
        <f>D7/F7</f>
        <v>#DIV/0!</v>
      </c>
      <c r="AB7" s="712" t="e">
        <f>D7/H7</f>
        <v>#DIV/0!</v>
      </c>
      <c r="AC7" s="2142" t="e">
        <f>D7/J7</f>
        <v>#DIV/0!</v>
      </c>
    </row>
    <row r="8" spans="1:29" s="112" customFormat="1" ht="15.75" thickBot="1">
      <c r="A8" s="367" t="s">
        <v>2369</v>
      </c>
      <c r="B8" s="368"/>
      <c r="C8" s="373" t="s">
        <v>2471</v>
      </c>
      <c r="D8" s="370">
        <v>100</v>
      </c>
      <c r="E8" s="373"/>
      <c r="F8" s="372">
        <f>SUMIF(62:62,E8,63:63)-SUMIF(62:62,C8,63:63)+100</f>
        <v>0</v>
      </c>
      <c r="G8" s="373"/>
      <c r="H8" s="370">
        <f>SUMIF(62:62,G8,63:63)-SUMIF(62:62,C8,63:63)+100</f>
        <v>0</v>
      </c>
      <c r="I8" s="373"/>
      <c r="J8" s="370">
        <f>SUMIF(62:62,I8,63:63)-SUMIF(62:62,C8,63:63)+100</f>
        <v>0</v>
      </c>
      <c r="K8" s="567"/>
      <c r="L8" s="2943"/>
      <c r="M8" s="2944"/>
      <c r="N8" s="2944"/>
      <c r="O8" s="2944"/>
      <c r="P8" s="3385" t="s">
        <v>2371</v>
      </c>
      <c r="Q8" s="3328"/>
      <c r="R8" s="709" t="s">
        <v>17</v>
      </c>
      <c r="S8" s="710">
        <f t="shared" si="0"/>
        <v>0</v>
      </c>
      <c r="T8" s="709" t="s">
        <v>17</v>
      </c>
      <c r="U8" s="710">
        <f t="shared" si="1"/>
        <v>0</v>
      </c>
      <c r="V8" s="709" t="s">
        <v>17</v>
      </c>
      <c r="W8" s="710">
        <f t="shared" si="2"/>
        <v>0</v>
      </c>
      <c r="X8" s="711"/>
      <c r="Y8" s="3327" t="s">
        <v>2371</v>
      </c>
      <c r="Z8" s="3328"/>
      <c r="AA8" s="712" t="e">
        <f t="shared" ref="AA8:AA47" si="3">D8/F8</f>
        <v>#DIV/0!</v>
      </c>
      <c r="AB8" s="712" t="e">
        <f t="shared" ref="AB8:AB47" si="4">D8/H8</f>
        <v>#DIV/0!</v>
      </c>
      <c r="AC8" s="2142" t="e">
        <f t="shared" ref="AC8:AC47" si="5">D8/J8</f>
        <v>#DIV/0!</v>
      </c>
    </row>
    <row r="9" spans="1:29" s="112" customFormat="1">
      <c r="A9" s="374" t="s">
        <v>2372</v>
      </c>
      <c r="B9" s="66" t="s">
        <v>2373</v>
      </c>
      <c r="C9" s="375"/>
      <c r="D9" s="130">
        <v>100</v>
      </c>
      <c r="E9" s="378"/>
      <c r="F9" s="130">
        <f>SUMIF(64:64,E9,65:65)-SUMIF(64:64,C9,65:65)+100</f>
        <v>100</v>
      </c>
      <c r="G9" s="376"/>
      <c r="H9" s="130">
        <f>SUMIF(64:64,G9,65:65)-SUMIF(64:64,C9,65:65)+100</f>
        <v>100</v>
      </c>
      <c r="I9" s="376"/>
      <c r="J9" s="130">
        <f>SUMIF(64:64,I9,65:65)-SUMIF(64:64,C9,65:65)+100</f>
        <v>100</v>
      </c>
      <c r="K9" s="567"/>
      <c r="L9" s="2943"/>
      <c r="M9" s="2944"/>
      <c r="N9" s="2944"/>
      <c r="O9" s="2944"/>
      <c r="P9" s="3297" t="s">
        <v>2374</v>
      </c>
      <c r="Q9" s="1526" t="str">
        <f t="shared" ref="Q9:Q15" si="6">B9</f>
        <v>用途</v>
      </c>
      <c r="R9" s="709" t="s">
        <v>17</v>
      </c>
      <c r="S9" s="710">
        <f t="shared" si="0"/>
        <v>100</v>
      </c>
      <c r="T9" s="709" t="s">
        <v>17</v>
      </c>
      <c r="U9" s="710">
        <f t="shared" si="1"/>
        <v>100</v>
      </c>
      <c r="V9" s="709" t="s">
        <v>17</v>
      </c>
      <c r="W9" s="710">
        <f t="shared" si="2"/>
        <v>100</v>
      </c>
      <c r="X9" s="711"/>
      <c r="Y9" s="3192" t="s">
        <v>2375</v>
      </c>
      <c r="Z9" s="55" t="str">
        <f t="shared" ref="Z9:Z15" si="7">Q9</f>
        <v>用途</v>
      </c>
      <c r="AA9" s="712">
        <f t="shared" si="3"/>
        <v>1</v>
      </c>
      <c r="AB9" s="712">
        <f t="shared" si="4"/>
        <v>1</v>
      </c>
      <c r="AC9" s="2142">
        <f t="shared" si="5"/>
        <v>1</v>
      </c>
    </row>
    <row r="10" spans="1:29" s="385" customFormat="1" ht="27">
      <c r="A10" s="379"/>
      <c r="B10" s="380" t="s">
        <v>2376</v>
      </c>
      <c r="C10" s="381"/>
      <c r="D10" s="131">
        <v>100</v>
      </c>
      <c r="E10" s="381"/>
      <c r="F10" s="131">
        <f>SUMIF(66:66,E10,67:67)-SUMIF(66:66,C10,67:67)+100</f>
        <v>100</v>
      </c>
      <c r="G10" s="382"/>
      <c r="H10" s="131">
        <f>SUMIF(66:66,G10,67:67)-SUMIF(66:66,C10,67:67)+100</f>
        <v>100</v>
      </c>
      <c r="I10" s="381"/>
      <c r="J10" s="131">
        <f>SUMIF(66:66,I10,67:67)-SUMIF(66:66,C10,67:67)+100</f>
        <v>100</v>
      </c>
      <c r="K10" s="568"/>
      <c r="L10" s="2945"/>
      <c r="M10" s="2946"/>
      <c r="N10" s="2946"/>
      <c r="O10" s="2946"/>
      <c r="P10" s="3297"/>
      <c r="Q10" s="1526" t="str">
        <f t="shared" si="6"/>
        <v>土地使用年限（年）</v>
      </c>
      <c r="R10" s="709" t="s">
        <v>17</v>
      </c>
      <c r="S10" s="710">
        <f t="shared" si="0"/>
        <v>100</v>
      </c>
      <c r="T10" s="709" t="s">
        <v>17</v>
      </c>
      <c r="U10" s="710">
        <f t="shared" si="1"/>
        <v>100</v>
      </c>
      <c r="V10" s="709" t="s">
        <v>17</v>
      </c>
      <c r="W10" s="710">
        <f t="shared" si="2"/>
        <v>100</v>
      </c>
      <c r="X10" s="711"/>
      <c r="Y10" s="3192"/>
      <c r="Z10" s="55" t="str">
        <f t="shared" si="7"/>
        <v>土地使用年限（年）</v>
      </c>
      <c r="AA10" s="712">
        <f t="shared" si="3"/>
        <v>1</v>
      </c>
      <c r="AB10" s="712">
        <f t="shared" si="4"/>
        <v>1</v>
      </c>
      <c r="AC10" s="2142">
        <f t="shared" si="5"/>
        <v>1</v>
      </c>
    </row>
    <row r="11" spans="1:29" ht="15">
      <c r="A11" s="386"/>
      <c r="B11" s="380" t="s">
        <v>2377</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7"/>
      <c r="M11" s="2942"/>
      <c r="N11" s="2942"/>
      <c r="O11" s="2942"/>
      <c r="P11" s="3297"/>
      <c r="Q11" s="1526" t="str">
        <f t="shared" si="6"/>
        <v>容积率</v>
      </c>
      <c r="R11" s="709" t="s">
        <v>17</v>
      </c>
      <c r="S11" s="710" t="e">
        <f t="shared" si="0"/>
        <v>#N/A</v>
      </c>
      <c r="T11" s="709" t="s">
        <v>17</v>
      </c>
      <c r="U11" s="710" t="e">
        <f t="shared" si="1"/>
        <v>#N/A</v>
      </c>
      <c r="V11" s="709" t="s">
        <v>17</v>
      </c>
      <c r="W11" s="710" t="e">
        <f t="shared" si="2"/>
        <v>#N/A</v>
      </c>
      <c r="X11" s="711"/>
      <c r="Y11" s="3192"/>
      <c r="Z11" s="55" t="str">
        <f t="shared" si="7"/>
        <v>容积率</v>
      </c>
      <c r="AA11" s="712" t="e">
        <f t="shared" si="3"/>
        <v>#N/A</v>
      </c>
      <c r="AB11" s="712" t="e">
        <f t="shared" si="4"/>
        <v>#N/A</v>
      </c>
      <c r="AC11" s="2142" t="e">
        <f t="shared" si="5"/>
        <v>#N/A</v>
      </c>
    </row>
    <row r="12" spans="1:29" s="112" customFormat="1" ht="15">
      <c r="A12" s="389"/>
      <c r="B12" s="2078">
        <v>111</v>
      </c>
      <c r="C12" s="390"/>
      <c r="D12" s="391">
        <v>100</v>
      </c>
      <c r="E12" s="390"/>
      <c r="F12" s="131">
        <f>SUMIF(71:71,E12,72:72)-SUMIF(71:71,C12,72:72)+100</f>
        <v>100</v>
      </c>
      <c r="G12" s="2143"/>
      <c r="H12" s="131">
        <f>SUMIF(71:71,G12,72:72)-SUMIF(71:71,C12,72:72)+100</f>
        <v>100</v>
      </c>
      <c r="I12" s="390"/>
      <c r="J12" s="131">
        <f>SUMIF(71:71,I12,72:72)-SUMIF(71:71,C12,72:72)+100</f>
        <v>100</v>
      </c>
      <c r="K12" s="569"/>
      <c r="L12" s="2943"/>
      <c r="M12" s="2944"/>
      <c r="N12" s="2944"/>
      <c r="O12" s="2944"/>
      <c r="P12" s="3297"/>
      <c r="Q12" s="1526">
        <f t="shared" si="6"/>
        <v>111</v>
      </c>
      <c r="R12" s="709" t="s">
        <v>17</v>
      </c>
      <c r="S12" s="710">
        <f t="shared" si="0"/>
        <v>100</v>
      </c>
      <c r="T12" s="709" t="s">
        <v>17</v>
      </c>
      <c r="U12" s="710">
        <f t="shared" si="1"/>
        <v>100</v>
      </c>
      <c r="V12" s="709" t="s">
        <v>17</v>
      </c>
      <c r="W12" s="710">
        <f t="shared" si="2"/>
        <v>100</v>
      </c>
      <c r="X12" s="711"/>
      <c r="Y12" s="3192"/>
      <c r="Z12" s="55">
        <f t="shared" si="7"/>
        <v>111</v>
      </c>
      <c r="AA12" s="712">
        <f>D12/F12</f>
        <v>1</v>
      </c>
      <c r="AB12" s="712">
        <f>D12/H12</f>
        <v>1</v>
      </c>
      <c r="AC12" s="2142">
        <f>D12/J12</f>
        <v>1</v>
      </c>
    </row>
    <row r="13" spans="1:29" ht="15">
      <c r="A13" s="386"/>
      <c r="B13" s="2078">
        <v>111</v>
      </c>
      <c r="C13" s="392"/>
      <c r="D13" s="393">
        <v>100</v>
      </c>
      <c r="E13" s="390"/>
      <c r="F13" s="131">
        <f>SUMIF(73:73,E13,74:74)-SUMIF(73:73,C13,74:74)+100</f>
        <v>100</v>
      </c>
      <c r="G13" s="2143"/>
      <c r="H13" s="393">
        <f>SUMIF(73:73,G13,74:74)-SUMIF(73:73,C13,74:74)+100</f>
        <v>100</v>
      </c>
      <c r="I13" s="390"/>
      <c r="J13" s="393">
        <f>SUMIF(73:73,I13,74:74)-SUMIF(73:73,C13,74:74)+100</f>
        <v>100</v>
      </c>
      <c r="K13" s="569"/>
      <c r="L13" s="2948"/>
      <c r="M13" s="2942"/>
      <c r="N13" s="2942"/>
      <c r="O13" s="2942"/>
      <c r="P13" s="3297"/>
      <c r="Q13" s="1526">
        <f t="shared" si="6"/>
        <v>111</v>
      </c>
      <c r="R13" s="709" t="s">
        <v>17</v>
      </c>
      <c r="S13" s="710">
        <f t="shared" si="0"/>
        <v>100</v>
      </c>
      <c r="T13" s="709" t="s">
        <v>17</v>
      </c>
      <c r="U13" s="710">
        <f t="shared" si="1"/>
        <v>100</v>
      </c>
      <c r="V13" s="709" t="s">
        <v>17</v>
      </c>
      <c r="W13" s="710">
        <f t="shared" si="2"/>
        <v>100</v>
      </c>
      <c r="X13" s="711"/>
      <c r="Y13" s="3192"/>
      <c r="Z13" s="55">
        <f t="shared" si="7"/>
        <v>111</v>
      </c>
      <c r="AA13" s="712">
        <f t="shared" si="3"/>
        <v>1</v>
      </c>
      <c r="AB13" s="712">
        <f t="shared" si="4"/>
        <v>1</v>
      </c>
      <c r="AC13" s="2142">
        <f t="shared" si="5"/>
        <v>1</v>
      </c>
    </row>
    <row r="14" spans="1:29" ht="15.75" thickBot="1">
      <c r="A14" s="394"/>
      <c r="B14" s="2080">
        <v>111</v>
      </c>
      <c r="C14" s="395"/>
      <c r="D14" s="396">
        <v>100</v>
      </c>
      <c r="E14" s="583"/>
      <c r="F14" s="396">
        <f>SUMIF(75:75,E14,76:76)-SUMIF(75:75,C14,76:76)+100</f>
        <v>100</v>
      </c>
      <c r="G14" s="2143"/>
      <c r="H14" s="396">
        <f>SUMIF(75:75,G14,76:76)-SUMIF(75:75,C14,76:76)+100</f>
        <v>100</v>
      </c>
      <c r="I14" s="390"/>
      <c r="J14" s="396">
        <f>SUMIF(75:75,I14,76:76)-SUMIF(75:75,C14,76:76)+100</f>
        <v>100</v>
      </c>
      <c r="K14" s="569"/>
      <c r="L14" s="2948"/>
      <c r="M14" s="2942"/>
      <c r="N14" s="2942"/>
      <c r="O14" s="2942"/>
      <c r="P14" s="3297"/>
      <c r="Q14" s="1526">
        <f t="shared" si="6"/>
        <v>111</v>
      </c>
      <c r="R14" s="709" t="s">
        <v>17</v>
      </c>
      <c r="S14" s="710">
        <f t="shared" si="0"/>
        <v>100</v>
      </c>
      <c r="T14" s="709" t="s">
        <v>17</v>
      </c>
      <c r="U14" s="710">
        <f t="shared" si="1"/>
        <v>100</v>
      </c>
      <c r="V14" s="709" t="s">
        <v>17</v>
      </c>
      <c r="W14" s="710">
        <f t="shared" si="2"/>
        <v>100</v>
      </c>
      <c r="X14" s="711"/>
      <c r="Y14" s="3192"/>
      <c r="Z14" s="55">
        <f t="shared" si="7"/>
        <v>111</v>
      </c>
      <c r="AA14" s="712">
        <f t="shared" si="3"/>
        <v>1</v>
      </c>
      <c r="AB14" s="712">
        <f t="shared" si="4"/>
        <v>1</v>
      </c>
      <c r="AC14" s="2142">
        <f t="shared" si="5"/>
        <v>1</v>
      </c>
    </row>
    <row r="15" spans="1:29" ht="15">
      <c r="A15" s="398" t="s">
        <v>2378</v>
      </c>
      <c r="B15" s="584" t="s">
        <v>2506</v>
      </c>
      <c r="C15" s="2144">
        <f>估价对象房地状况!C5</f>
        <v>0</v>
      </c>
      <c r="D15" s="399">
        <v>100</v>
      </c>
      <c r="E15" s="402"/>
      <c r="F15" s="399">
        <f>SUMIF(77:77,E16,78:78)-SUMIF(77:77,C16,78:78)+100</f>
        <v>100</v>
      </c>
      <c r="G15" s="400"/>
      <c r="H15" s="399">
        <f>SUMIF(77:77,G16,78:78)-SUMIF(77:77,C16,78:78)+100</f>
        <v>100</v>
      </c>
      <c r="I15" s="400"/>
      <c r="J15" s="399">
        <f>SUMIF(77:77,I16,78:78)-SUMIF(77:77,C16,78:78)+100</f>
        <v>100</v>
      </c>
      <c r="K15" s="570"/>
      <c r="L15" s="2948"/>
      <c r="M15" s="2942"/>
      <c r="N15" s="2942"/>
      <c r="O15" s="2942"/>
      <c r="P15" s="3340" t="s">
        <v>2379</v>
      </c>
      <c r="Q15" s="1535" t="str">
        <f t="shared" si="6"/>
        <v>办公集聚程度</v>
      </c>
      <c r="R15" s="713" t="s">
        <v>17</v>
      </c>
      <c r="S15" s="714">
        <f t="shared" si="0"/>
        <v>100</v>
      </c>
      <c r="T15" s="713" t="s">
        <v>17</v>
      </c>
      <c r="U15" s="714">
        <f t="shared" si="1"/>
        <v>100</v>
      </c>
      <c r="V15" s="713" t="s">
        <v>17</v>
      </c>
      <c r="W15" s="714">
        <f t="shared" si="2"/>
        <v>100</v>
      </c>
      <c r="X15" s="1538"/>
      <c r="Y15" s="3300" t="s">
        <v>2379</v>
      </c>
      <c r="Z15" s="1539" t="str">
        <f t="shared" si="7"/>
        <v>办公集聚程度</v>
      </c>
      <c r="AA15" s="1536">
        <f t="shared" si="3"/>
        <v>1</v>
      </c>
      <c r="AB15" s="1536">
        <f t="shared" si="4"/>
        <v>1</v>
      </c>
      <c r="AC15" s="2145">
        <f t="shared" si="5"/>
        <v>1</v>
      </c>
    </row>
    <row r="16" spans="1:29" ht="15">
      <c r="A16" s="386"/>
      <c r="B16" s="585"/>
      <c r="C16" s="2089"/>
      <c r="D16" s="406"/>
      <c r="E16" s="405"/>
      <c r="F16" s="406"/>
      <c r="G16" s="2089"/>
      <c r="H16" s="408"/>
      <c r="I16" s="405"/>
      <c r="J16" s="406"/>
      <c r="K16" s="571"/>
      <c r="L16" s="2948"/>
      <c r="M16" s="2942"/>
      <c r="N16" s="2942"/>
      <c r="O16" s="2942"/>
      <c r="P16" s="3341"/>
      <c r="Q16" s="1535"/>
      <c r="R16" s="713"/>
      <c r="S16" s="714"/>
      <c r="T16" s="713"/>
      <c r="U16" s="714"/>
      <c r="V16" s="713"/>
      <c r="W16" s="714"/>
      <c r="X16" s="1538"/>
      <c r="Y16" s="3301"/>
      <c r="Z16" s="1539"/>
      <c r="AA16" s="1536">
        <v>1</v>
      </c>
      <c r="AB16" s="1536">
        <v>1</v>
      </c>
      <c r="AC16" s="2145">
        <v>1</v>
      </c>
    </row>
    <row r="17" spans="1:29" ht="15">
      <c r="A17" s="386"/>
      <c r="B17" s="586" t="s">
        <v>1946</v>
      </c>
      <c r="C17" s="2146">
        <f>估价对象房地状况!C6</f>
        <v>0</v>
      </c>
      <c r="D17" s="408">
        <v>100</v>
      </c>
      <c r="E17" s="412"/>
      <c r="F17" s="408">
        <f>SUMIF(79:79,E18,80:80)-SUMIF(79:79,C18,80:80)+100</f>
        <v>100</v>
      </c>
      <c r="G17" s="410"/>
      <c r="H17" s="413">
        <f>SUMIF(79:79,G18,80:80)-SUMIF(79:79,C18,80:80)+100</f>
        <v>100</v>
      </c>
      <c r="I17" s="410"/>
      <c r="J17" s="413">
        <f>SUMIF(79:79,I18,80:80)-SUMIF(79:79,C18,80:80)+100</f>
        <v>100</v>
      </c>
      <c r="K17" s="570"/>
      <c r="L17" s="2948"/>
      <c r="M17" s="2942"/>
      <c r="N17" s="2942"/>
      <c r="O17" s="2942"/>
      <c r="P17" s="3341"/>
      <c r="Q17" s="1535" t="str">
        <f>B17</f>
        <v>交通便捷度</v>
      </c>
      <c r="R17" s="713" t="s">
        <v>17</v>
      </c>
      <c r="S17" s="714">
        <f>F17</f>
        <v>100</v>
      </c>
      <c r="T17" s="713" t="s">
        <v>17</v>
      </c>
      <c r="U17" s="714">
        <f>H17</f>
        <v>100</v>
      </c>
      <c r="V17" s="713" t="s">
        <v>17</v>
      </c>
      <c r="W17" s="714">
        <f>J17</f>
        <v>100</v>
      </c>
      <c r="X17" s="1538"/>
      <c r="Y17" s="3301"/>
      <c r="Z17" s="1539" t="str">
        <f>Q17</f>
        <v>交通便捷度</v>
      </c>
      <c r="AA17" s="1536">
        <f t="shared" si="3"/>
        <v>1</v>
      </c>
      <c r="AB17" s="1536">
        <f t="shared" si="4"/>
        <v>1</v>
      </c>
      <c r="AC17" s="2145">
        <f t="shared" si="5"/>
        <v>1</v>
      </c>
    </row>
    <row r="18" spans="1:29" ht="15">
      <c r="A18" s="386"/>
      <c r="B18" s="587"/>
      <c r="C18" s="2147"/>
      <c r="D18" s="408"/>
      <c r="E18" s="2087"/>
      <c r="F18" s="408"/>
      <c r="G18" s="2088"/>
      <c r="H18" s="406"/>
      <c r="I18" s="2088"/>
      <c r="J18" s="406"/>
      <c r="K18" s="571"/>
      <c r="L18" s="2948"/>
      <c r="M18" s="2942"/>
      <c r="N18" s="2942"/>
      <c r="O18" s="2942"/>
      <c r="P18" s="3341"/>
      <c r="Q18" s="1535"/>
      <c r="R18" s="713"/>
      <c r="S18" s="714"/>
      <c r="T18" s="713"/>
      <c r="U18" s="714"/>
      <c r="V18" s="713"/>
      <c r="W18" s="714"/>
      <c r="X18" s="1538"/>
      <c r="Y18" s="3301"/>
      <c r="Z18" s="1539"/>
      <c r="AA18" s="1536">
        <v>1</v>
      </c>
      <c r="AB18" s="1536">
        <v>1</v>
      </c>
      <c r="AC18" s="2145">
        <v>1</v>
      </c>
    </row>
    <row r="19" spans="1:29" ht="15">
      <c r="A19" s="386"/>
      <c r="B19" s="586" t="s">
        <v>2507</v>
      </c>
      <c r="C19" s="2146">
        <f>估价对象房地状况!C7</f>
        <v>0</v>
      </c>
      <c r="D19" s="413">
        <v>100</v>
      </c>
      <c r="E19" s="417"/>
      <c r="F19" s="413">
        <f>SUMIF(81:81,E20,82:82)-SUMIF(81:81,C20,82:82)+100</f>
        <v>100</v>
      </c>
      <c r="G19" s="415"/>
      <c r="H19" s="408">
        <f>SUMIF(81:81,G20,82:82)-SUMIF(81:81,C20,82:82)+100</f>
        <v>100</v>
      </c>
      <c r="I19" s="415"/>
      <c r="J19" s="408">
        <f>SUMIF(81:81,I20,82:82)-SUMIF(81:81,C20,82:82)+100</f>
        <v>100</v>
      </c>
      <c r="K19" s="570"/>
      <c r="L19" s="2948"/>
      <c r="M19" s="2942"/>
      <c r="N19" s="2942"/>
      <c r="O19" s="2942"/>
      <c r="P19" s="3341"/>
      <c r="Q19" s="1535" t="str">
        <f>B19</f>
        <v>公共配套设施</v>
      </c>
      <c r="R19" s="713" t="s">
        <v>17</v>
      </c>
      <c r="S19" s="714">
        <f>F19</f>
        <v>100</v>
      </c>
      <c r="T19" s="713" t="s">
        <v>17</v>
      </c>
      <c r="U19" s="714">
        <f>H19</f>
        <v>100</v>
      </c>
      <c r="V19" s="713" t="s">
        <v>17</v>
      </c>
      <c r="W19" s="714">
        <f>J19</f>
        <v>100</v>
      </c>
      <c r="X19" s="1538"/>
      <c r="Y19" s="3301"/>
      <c r="Z19" s="1539" t="str">
        <f>Q19</f>
        <v>公共配套设施</v>
      </c>
      <c r="AA19" s="1536">
        <f t="shared" si="3"/>
        <v>1</v>
      </c>
      <c r="AB19" s="1536">
        <f t="shared" si="4"/>
        <v>1</v>
      </c>
      <c r="AC19" s="2145">
        <f t="shared" si="5"/>
        <v>1</v>
      </c>
    </row>
    <row r="20" spans="1:29" ht="15">
      <c r="A20" s="386"/>
      <c r="B20" s="587"/>
      <c r="C20" s="2089"/>
      <c r="D20" s="406"/>
      <c r="E20" s="2082"/>
      <c r="F20" s="406"/>
      <c r="G20" s="2083"/>
      <c r="H20" s="406"/>
      <c r="I20" s="2083"/>
      <c r="J20" s="406"/>
      <c r="K20" s="571"/>
      <c r="L20" s="2948"/>
      <c r="M20" s="2942"/>
      <c r="N20" s="2942"/>
      <c r="O20" s="2942"/>
      <c r="P20" s="3341"/>
      <c r="Q20" s="1535"/>
      <c r="R20" s="713"/>
      <c r="S20" s="714"/>
      <c r="T20" s="713"/>
      <c r="U20" s="714"/>
      <c r="V20" s="713"/>
      <c r="W20" s="714"/>
      <c r="X20" s="1538"/>
      <c r="Y20" s="3301"/>
      <c r="Z20" s="1539"/>
      <c r="AA20" s="1536">
        <v>1</v>
      </c>
      <c r="AB20" s="1536">
        <v>1</v>
      </c>
      <c r="AC20" s="2145">
        <v>1</v>
      </c>
    </row>
    <row r="21" spans="1:29" ht="15">
      <c r="A21" s="386"/>
      <c r="B21" s="588" t="s">
        <v>2508</v>
      </c>
      <c r="C21" s="2146">
        <f>估价对象房地状况!C8</f>
        <v>0</v>
      </c>
      <c r="D21" s="408">
        <v>100</v>
      </c>
      <c r="E21" s="417"/>
      <c r="F21" s="413">
        <f>SUMIF(83:83,E22,84:84)-SUMIF(83:83,C22,84:84)+100</f>
        <v>100</v>
      </c>
      <c r="G21" s="415"/>
      <c r="H21" s="408">
        <f>SUMIF(83:83,G22,84:84)-SUMIF(83:83,C22,84:84)+100</f>
        <v>100</v>
      </c>
      <c r="I21" s="415"/>
      <c r="J21" s="408">
        <f>SUMIF(83:83,I22,84:84)-SUMIF(83:83,C22,84:84)+100</f>
        <v>100</v>
      </c>
      <c r="K21" s="570"/>
      <c r="L21" s="2948"/>
      <c r="M21" s="2942"/>
      <c r="N21" s="2942"/>
      <c r="O21" s="2942"/>
      <c r="P21" s="3341"/>
      <c r="Q21" s="1535" t="str">
        <f>B21</f>
        <v>基础设施水平</v>
      </c>
      <c r="R21" s="713" t="s">
        <v>17</v>
      </c>
      <c r="S21" s="714">
        <f>F21</f>
        <v>100</v>
      </c>
      <c r="T21" s="713" t="s">
        <v>17</v>
      </c>
      <c r="U21" s="714">
        <f>H21</f>
        <v>100</v>
      </c>
      <c r="V21" s="713" t="s">
        <v>17</v>
      </c>
      <c r="W21" s="714">
        <f>J21</f>
        <v>100</v>
      </c>
      <c r="X21" s="1538"/>
      <c r="Y21" s="3301"/>
      <c r="Z21" s="1539" t="str">
        <f>Q21</f>
        <v>基础设施水平</v>
      </c>
      <c r="AA21" s="1536">
        <f t="shared" ref="AA21" si="8">D21/F21</f>
        <v>1</v>
      </c>
      <c r="AB21" s="1536">
        <f t="shared" ref="AB21" si="9">D21/H21</f>
        <v>1</v>
      </c>
      <c r="AC21" s="2145">
        <f t="shared" ref="AC21" si="10">D21/J21</f>
        <v>1</v>
      </c>
    </row>
    <row r="22" spans="1:29" ht="15">
      <c r="A22" s="386"/>
      <c r="B22" s="588"/>
      <c r="C22" s="2147"/>
      <c r="D22" s="406"/>
      <c r="E22" s="405"/>
      <c r="F22" s="406"/>
      <c r="G22" s="2089"/>
      <c r="H22" s="406"/>
      <c r="I22" s="2089"/>
      <c r="J22" s="406"/>
      <c r="K22" s="1291"/>
      <c r="L22" s="2948"/>
      <c r="M22" s="2942"/>
      <c r="N22" s="2942"/>
      <c r="O22" s="2942"/>
      <c r="P22" s="3341"/>
      <c r="Q22" s="1535"/>
      <c r="R22" s="713"/>
      <c r="S22" s="714"/>
      <c r="T22" s="713"/>
      <c r="U22" s="714"/>
      <c r="V22" s="713"/>
      <c r="W22" s="714"/>
      <c r="X22" s="1538"/>
      <c r="Y22" s="3301"/>
      <c r="Z22" s="1539"/>
      <c r="AA22" s="1536">
        <v>1</v>
      </c>
      <c r="AB22" s="1536">
        <v>1</v>
      </c>
      <c r="AC22" s="2145">
        <v>1</v>
      </c>
    </row>
    <row r="23" spans="1:29" ht="15">
      <c r="A23" s="386"/>
      <c r="B23" s="586" t="s">
        <v>2509</v>
      </c>
      <c r="C23" s="2146">
        <f>估价对象房地状况!C9</f>
        <v>0</v>
      </c>
      <c r="D23" s="408">
        <v>100</v>
      </c>
      <c r="E23" s="412"/>
      <c r="F23" s="408">
        <f>SUMIF(85:85,E24,86:86)-SUMIF(85:85,C24,86:86)+100</f>
        <v>100</v>
      </c>
      <c r="G23" s="410"/>
      <c r="H23" s="408">
        <f>SUMIF(85:85,G24,86:86)-SUMIF(85:85,C24,86:86)+100</f>
        <v>100</v>
      </c>
      <c r="I23" s="410"/>
      <c r="J23" s="408">
        <f>SUMIF(85:85,I24,86:86)-SUMIF(85:85,C24,86:86)+100</f>
        <v>100</v>
      </c>
      <c r="K23" s="570"/>
      <c r="L23" s="2948"/>
      <c r="M23" s="2942"/>
      <c r="N23" s="2942"/>
      <c r="O23" s="2942"/>
      <c r="P23" s="3341"/>
      <c r="Q23" s="1535" t="str">
        <f>B23</f>
        <v>环境质量</v>
      </c>
      <c r="R23" s="713" t="s">
        <v>17</v>
      </c>
      <c r="S23" s="714">
        <f>F23</f>
        <v>100</v>
      </c>
      <c r="T23" s="713" t="s">
        <v>17</v>
      </c>
      <c r="U23" s="714">
        <f>H23</f>
        <v>100</v>
      </c>
      <c r="V23" s="713" t="s">
        <v>17</v>
      </c>
      <c r="W23" s="714">
        <f>J23</f>
        <v>100</v>
      </c>
      <c r="X23" s="1538"/>
      <c r="Y23" s="3301"/>
      <c r="Z23" s="1539" t="str">
        <f>Q23</f>
        <v>环境质量</v>
      </c>
      <c r="AA23" s="1536">
        <f t="shared" si="3"/>
        <v>1</v>
      </c>
      <c r="AB23" s="1536">
        <f t="shared" si="4"/>
        <v>1</v>
      </c>
      <c r="AC23" s="2145">
        <f t="shared" si="5"/>
        <v>1</v>
      </c>
    </row>
    <row r="24" spans="1:29" ht="15">
      <c r="A24" s="386"/>
      <c r="B24" s="588"/>
      <c r="C24" s="2089"/>
      <c r="D24" s="406"/>
      <c r="E24" s="2082"/>
      <c r="F24" s="406"/>
      <c r="G24" s="2083"/>
      <c r="H24" s="406"/>
      <c r="I24" s="2083"/>
      <c r="J24" s="406"/>
      <c r="K24" s="571"/>
      <c r="L24" s="2948"/>
      <c r="M24" s="2942"/>
      <c r="N24" s="2942"/>
      <c r="O24" s="2942"/>
      <c r="P24" s="3341"/>
      <c r="Q24" s="1535"/>
      <c r="R24" s="713"/>
      <c r="S24" s="714"/>
      <c r="T24" s="713"/>
      <c r="U24" s="714"/>
      <c r="V24" s="713"/>
      <c r="W24" s="714"/>
      <c r="X24" s="1538"/>
      <c r="Y24" s="3301"/>
      <c r="Z24" s="1539"/>
      <c r="AA24" s="1536">
        <v>1</v>
      </c>
      <c r="AB24" s="1536">
        <v>1</v>
      </c>
      <c r="AC24" s="2145">
        <v>1</v>
      </c>
    </row>
    <row r="25" spans="1:29" ht="27">
      <c r="A25" s="363"/>
      <c r="B25" s="586" t="s">
        <v>2510</v>
      </c>
      <c r="C25" s="2093"/>
      <c r="D25" s="393">
        <v>100</v>
      </c>
      <c r="E25" s="392"/>
      <c r="F25" s="393">
        <f>SUMIF(87:87,E26,88:88)-SUMIF(87:87,C26,88:88)+100</f>
        <v>100</v>
      </c>
      <c r="G25" s="2093"/>
      <c r="H25" s="393">
        <f>SUMIF(87:87,G26,88:88)-SUMIF(87:87,C26,88:88)+100</f>
        <v>100</v>
      </c>
      <c r="I25" s="392"/>
      <c r="J25" s="393">
        <f>SUMIF(87:87,I26,88:88)-SUMIF(87:87,C26,88:88)+100</f>
        <v>100</v>
      </c>
      <c r="K25" s="570"/>
      <c r="L25" s="2948"/>
      <c r="M25" s="2942"/>
      <c r="N25" s="2942"/>
      <c r="O25" s="2942"/>
      <c r="P25" s="3341"/>
      <c r="Q25" s="1535" t="str">
        <f>B25</f>
        <v>毗邻道路的类型与等级</v>
      </c>
      <c r="R25" s="713" t="s">
        <v>17</v>
      </c>
      <c r="S25" s="714">
        <f>F25</f>
        <v>100</v>
      </c>
      <c r="T25" s="713" t="s">
        <v>17</v>
      </c>
      <c r="U25" s="714">
        <f>H25</f>
        <v>100</v>
      </c>
      <c r="V25" s="713" t="s">
        <v>17</v>
      </c>
      <c r="W25" s="714">
        <f>J25</f>
        <v>100</v>
      </c>
      <c r="X25" s="1538"/>
      <c r="Y25" s="3301"/>
      <c r="Z25" s="1539" t="str">
        <f>Q25</f>
        <v>毗邻道路的类型与等级</v>
      </c>
      <c r="AA25" s="1536">
        <f t="shared" si="3"/>
        <v>1</v>
      </c>
      <c r="AB25" s="1536">
        <f t="shared" si="4"/>
        <v>1</v>
      </c>
      <c r="AC25" s="2145">
        <f t="shared" si="5"/>
        <v>1</v>
      </c>
    </row>
    <row r="26" spans="1:29" ht="15">
      <c r="A26" s="363"/>
      <c r="B26" s="587"/>
      <c r="C26" s="589"/>
      <c r="D26" s="393"/>
      <c r="E26" s="572"/>
      <c r="F26" s="393"/>
      <c r="G26" s="589"/>
      <c r="H26" s="393"/>
      <c r="I26" s="572"/>
      <c r="J26" s="393"/>
      <c r="K26" s="571"/>
      <c r="L26" s="2948"/>
      <c r="M26" s="2942"/>
      <c r="N26" s="2942"/>
      <c r="O26" s="2942"/>
      <c r="P26" s="3341"/>
      <c r="Q26" s="1535"/>
      <c r="R26" s="713"/>
      <c r="S26" s="714"/>
      <c r="T26" s="713"/>
      <c r="U26" s="714"/>
      <c r="V26" s="713"/>
      <c r="W26" s="714"/>
      <c r="X26" s="1538"/>
      <c r="Y26" s="3301"/>
      <c r="Z26" s="1539"/>
      <c r="AA26" s="1536">
        <v>1</v>
      </c>
      <c r="AB26" s="1536">
        <v>1</v>
      </c>
      <c r="AC26" s="2145">
        <v>1</v>
      </c>
    </row>
    <row r="27" spans="1:29" ht="15">
      <c r="A27" s="386"/>
      <c r="B27" s="587" t="s">
        <v>2478</v>
      </c>
      <c r="C27" s="589"/>
      <c r="D27" s="393">
        <v>100</v>
      </c>
      <c r="E27" s="572"/>
      <c r="F27" s="393">
        <f>SUMIF(89:89,E27,90:90)-SUMIF(89:89,C27,90:90)+100</f>
        <v>100</v>
      </c>
      <c r="G27" s="589"/>
      <c r="H27" s="393">
        <f>SUMIF(89:89,G27,90:90)-SUMIF(89:89,C27,90:90)+100</f>
        <v>100</v>
      </c>
      <c r="I27" s="572"/>
      <c r="J27" s="393">
        <f>SUMIF(89:89,I27,90:90)-SUMIF(89:89,C27,90:90)+100</f>
        <v>100</v>
      </c>
      <c r="K27" s="568"/>
      <c r="L27" s="2948"/>
      <c r="M27" s="2942"/>
      <c r="N27" s="2942"/>
      <c r="O27" s="2942"/>
      <c r="P27" s="3341"/>
      <c r="Q27" s="1535" t="str">
        <f t="shared" ref="Q27:Q47" si="11">B27</f>
        <v>楼层</v>
      </c>
      <c r="R27" s="713" t="s">
        <v>17</v>
      </c>
      <c r="S27" s="714">
        <f>F27</f>
        <v>100</v>
      </c>
      <c r="T27" s="713" t="s">
        <v>17</v>
      </c>
      <c r="U27" s="714">
        <f>H27</f>
        <v>100</v>
      </c>
      <c r="V27" s="713" t="s">
        <v>17</v>
      </c>
      <c r="W27" s="714">
        <f>J27</f>
        <v>100</v>
      </c>
      <c r="X27" s="1538"/>
      <c r="Y27" s="3301"/>
      <c r="Z27" s="1539" t="str">
        <f>Q27</f>
        <v>楼层</v>
      </c>
      <c r="AA27" s="1536">
        <f t="shared" si="3"/>
        <v>1</v>
      </c>
      <c r="AB27" s="1536">
        <f t="shared" si="4"/>
        <v>1</v>
      </c>
      <c r="AC27" s="2145">
        <f t="shared" si="5"/>
        <v>1</v>
      </c>
    </row>
    <row r="28" spans="1:29" s="112" customFormat="1" ht="15">
      <c r="A28" s="389"/>
      <c r="B28" s="586" t="s">
        <v>2511</v>
      </c>
      <c r="C28" s="2148"/>
      <c r="D28" s="420">
        <v>100</v>
      </c>
      <c r="E28" s="2139"/>
      <c r="F28" s="420">
        <f>SUMIF(91:91,E28,92:92)-SUMIF(91:91,C28,92:92)+100</f>
        <v>100</v>
      </c>
      <c r="G28" s="2148"/>
      <c r="H28" s="420">
        <f>SUMIF(91:91,G28,92:92)-SUMIF(91:91,C28,92:92)+100</f>
        <v>100</v>
      </c>
      <c r="I28" s="2139"/>
      <c r="J28" s="420">
        <f>SUMIF(91:91,I28,92:92)-SUMIF(91:91,C28,92:92)+100</f>
        <v>100</v>
      </c>
      <c r="K28" s="568"/>
      <c r="L28" s="2943"/>
      <c r="M28" s="2944"/>
      <c r="N28" s="2944"/>
      <c r="O28" s="2944"/>
      <c r="P28" s="3341"/>
      <c r="Q28" s="1526" t="str">
        <f t="shared" si="11"/>
        <v>朝向</v>
      </c>
      <c r="R28" s="709" t="s">
        <v>17</v>
      </c>
      <c r="S28" s="710">
        <f>F28</f>
        <v>100</v>
      </c>
      <c r="T28" s="709" t="s">
        <v>17</v>
      </c>
      <c r="U28" s="710">
        <f>H28</f>
        <v>100</v>
      </c>
      <c r="V28" s="709" t="s">
        <v>17</v>
      </c>
      <c r="W28" s="710">
        <f>J28</f>
        <v>100</v>
      </c>
      <c r="X28" s="711"/>
      <c r="Y28" s="3301"/>
      <c r="Z28" s="55" t="str">
        <f>Q28</f>
        <v>朝向</v>
      </c>
      <c r="AA28" s="1536">
        <f>D28/F28</f>
        <v>1</v>
      </c>
      <c r="AB28" s="1536">
        <f>D28/H28</f>
        <v>1</v>
      </c>
      <c r="AC28" s="2145">
        <f>D28/J28</f>
        <v>1</v>
      </c>
    </row>
    <row r="29" spans="1:29" ht="15">
      <c r="A29" s="386"/>
      <c r="B29" s="2149">
        <v>111</v>
      </c>
      <c r="C29" s="2093"/>
      <c r="D29" s="393">
        <v>100</v>
      </c>
      <c r="E29" s="390"/>
      <c r="F29" s="393">
        <f>SUMIF(93:93,E29,94:94)-SUMIF(93:93,C29,94:94)+100</f>
        <v>100</v>
      </c>
      <c r="G29" s="2143"/>
      <c r="H29" s="393">
        <f>SUMIF(93:93,G29,94:94)-SUMIF(93:93,C29,94:94)+100</f>
        <v>100</v>
      </c>
      <c r="I29" s="390"/>
      <c r="J29" s="393">
        <f>SUMIF(93:93,I29,94:94)-SUMIF(93:93,C29,94:94)+100</f>
        <v>100</v>
      </c>
      <c r="K29" s="569"/>
      <c r="L29" s="2948"/>
      <c r="M29" s="2942"/>
      <c r="N29" s="2942"/>
      <c r="O29" s="2942"/>
      <c r="P29" s="3341"/>
      <c r="Q29" s="1535">
        <f t="shared" si="11"/>
        <v>111</v>
      </c>
      <c r="R29" s="713" t="s">
        <v>17</v>
      </c>
      <c r="S29" s="714">
        <f t="shared" ref="S29:S47" si="12">F29</f>
        <v>100</v>
      </c>
      <c r="T29" s="713" t="s">
        <v>17</v>
      </c>
      <c r="U29" s="714">
        <f t="shared" ref="U29:U47" si="13">H29</f>
        <v>100</v>
      </c>
      <c r="V29" s="713" t="s">
        <v>17</v>
      </c>
      <c r="W29" s="714">
        <f t="shared" ref="W29:W47" si="14">J29</f>
        <v>100</v>
      </c>
      <c r="X29" s="1538"/>
      <c r="Y29" s="3301"/>
      <c r="Z29" s="1539">
        <f t="shared" ref="Z29:Z47" si="15">Q29</f>
        <v>111</v>
      </c>
      <c r="AA29" s="1536">
        <f t="shared" si="3"/>
        <v>1</v>
      </c>
      <c r="AB29" s="1536">
        <f t="shared" si="4"/>
        <v>1</v>
      </c>
      <c r="AC29" s="2145">
        <f t="shared" si="5"/>
        <v>1</v>
      </c>
    </row>
    <row r="30" spans="1:29" ht="15">
      <c r="A30" s="386"/>
      <c r="B30" s="2149">
        <v>111</v>
      </c>
      <c r="C30" s="2093"/>
      <c r="D30" s="393">
        <v>100</v>
      </c>
      <c r="E30" s="390"/>
      <c r="F30" s="393">
        <f>SUMIF(95:95,E30,96:96)-SUMIF(95:95,C30,96:96)+100</f>
        <v>100</v>
      </c>
      <c r="G30" s="2143"/>
      <c r="H30" s="393">
        <f>SUMIF(95:95,G30,96:96)-SUMIF(95:95,C30,96:96)+100</f>
        <v>100</v>
      </c>
      <c r="I30" s="390"/>
      <c r="J30" s="393">
        <f>SUMIF(95:95,I30,96:96)-SUMIF(95:95,C30,96:96)+100</f>
        <v>100</v>
      </c>
      <c r="K30" s="569"/>
      <c r="L30" s="2948"/>
      <c r="M30" s="2942"/>
      <c r="N30" s="2942"/>
      <c r="O30" s="2942"/>
      <c r="P30" s="3341"/>
      <c r="Q30" s="1535">
        <f t="shared" si="11"/>
        <v>111</v>
      </c>
      <c r="R30" s="713" t="s">
        <v>17</v>
      </c>
      <c r="S30" s="714">
        <f t="shared" si="12"/>
        <v>100</v>
      </c>
      <c r="T30" s="713" t="s">
        <v>17</v>
      </c>
      <c r="U30" s="714">
        <f t="shared" si="13"/>
        <v>100</v>
      </c>
      <c r="V30" s="713" t="s">
        <v>17</v>
      </c>
      <c r="W30" s="714">
        <f t="shared" si="14"/>
        <v>100</v>
      </c>
      <c r="X30" s="1538"/>
      <c r="Y30" s="3301"/>
      <c r="Z30" s="1539">
        <f t="shared" si="15"/>
        <v>111</v>
      </c>
      <c r="AA30" s="1536">
        <f t="shared" si="3"/>
        <v>1</v>
      </c>
      <c r="AB30" s="1536">
        <f t="shared" si="4"/>
        <v>1</v>
      </c>
      <c r="AC30" s="2145">
        <f t="shared" si="5"/>
        <v>1</v>
      </c>
    </row>
    <row r="31" spans="1:29" ht="15">
      <c r="A31" s="386"/>
      <c r="B31" s="2149">
        <v>111</v>
      </c>
      <c r="C31" s="2093"/>
      <c r="D31" s="393">
        <v>100</v>
      </c>
      <c r="E31" s="390"/>
      <c r="F31" s="393">
        <f>SUMIF(97:97,E31,98:98)-SUMIF(97:97,C31,98:98)+100</f>
        <v>100</v>
      </c>
      <c r="G31" s="2143"/>
      <c r="H31" s="393">
        <f>SUMIF(97:97,G31,98:98)-SUMIF(97:97,C31,98:98)+100</f>
        <v>100</v>
      </c>
      <c r="I31" s="390"/>
      <c r="J31" s="393">
        <f>SUMIF(97:97,I31,98:98)-SUMIF(97:97,C31,98:98)+100</f>
        <v>100</v>
      </c>
      <c r="K31" s="569"/>
      <c r="L31" s="2948"/>
      <c r="M31" s="2942"/>
      <c r="N31" s="2942"/>
      <c r="O31" s="2942"/>
      <c r="P31" s="3341"/>
      <c r="Q31" s="1535">
        <f t="shared" si="11"/>
        <v>111</v>
      </c>
      <c r="R31" s="713" t="s">
        <v>17</v>
      </c>
      <c r="S31" s="714">
        <f t="shared" si="12"/>
        <v>100</v>
      </c>
      <c r="T31" s="713" t="s">
        <v>17</v>
      </c>
      <c r="U31" s="714">
        <f t="shared" si="13"/>
        <v>100</v>
      </c>
      <c r="V31" s="713" t="s">
        <v>17</v>
      </c>
      <c r="W31" s="714">
        <f t="shared" si="14"/>
        <v>100</v>
      </c>
      <c r="X31" s="1538"/>
      <c r="Y31" s="3301"/>
      <c r="Z31" s="1539">
        <f t="shared" si="15"/>
        <v>111</v>
      </c>
      <c r="AA31" s="1536">
        <f t="shared" si="3"/>
        <v>1</v>
      </c>
      <c r="AB31" s="1536">
        <f t="shared" si="4"/>
        <v>1</v>
      </c>
      <c r="AC31" s="2145">
        <f t="shared" si="5"/>
        <v>1</v>
      </c>
    </row>
    <row r="32" spans="1:29" ht="15.75" thickBot="1">
      <c r="A32" s="394"/>
      <c r="B32" s="590">
        <v>111</v>
      </c>
      <c r="C32" s="2094"/>
      <c r="D32" s="396">
        <v>100</v>
      </c>
      <c r="E32" s="583"/>
      <c r="F32" s="396">
        <f>SUMIF(99:99,E32,100:100)-SUMIF(99:99,C32,100:100)+100</f>
        <v>100</v>
      </c>
      <c r="G32" s="2143"/>
      <c r="H32" s="396">
        <f>SUMIF(99:99,G32,100:100)-SUMIF(99:99,C32,100:100)+100</f>
        <v>100</v>
      </c>
      <c r="I32" s="390"/>
      <c r="J32" s="396">
        <f>SUMIF(99:99,I32,100:100)-SUMIF(99:99,C32,100:100)+100</f>
        <v>100</v>
      </c>
      <c r="K32" s="569"/>
      <c r="L32" s="2948"/>
      <c r="M32" s="2942"/>
      <c r="N32" s="2942"/>
      <c r="O32" s="2942"/>
      <c r="P32" s="3341"/>
      <c r="Q32" s="1535">
        <f t="shared" si="11"/>
        <v>111</v>
      </c>
      <c r="R32" s="713" t="s">
        <v>17</v>
      </c>
      <c r="S32" s="714">
        <f t="shared" si="12"/>
        <v>100</v>
      </c>
      <c r="T32" s="713" t="s">
        <v>17</v>
      </c>
      <c r="U32" s="714">
        <f t="shared" si="13"/>
        <v>100</v>
      </c>
      <c r="V32" s="713" t="s">
        <v>17</v>
      </c>
      <c r="W32" s="714">
        <f t="shared" si="14"/>
        <v>100</v>
      </c>
      <c r="X32" s="1538"/>
      <c r="Y32" s="3301"/>
      <c r="Z32" s="1539">
        <f t="shared" si="15"/>
        <v>111</v>
      </c>
      <c r="AA32" s="1536">
        <f t="shared" si="3"/>
        <v>1</v>
      </c>
      <c r="AB32" s="1536">
        <f t="shared" si="4"/>
        <v>1</v>
      </c>
      <c r="AC32" s="2145">
        <f t="shared" si="5"/>
        <v>1</v>
      </c>
    </row>
    <row r="33" spans="1:29" ht="15">
      <c r="A33" s="398" t="s">
        <v>2382</v>
      </c>
      <c r="B33" s="66" t="s">
        <v>2512</v>
      </c>
      <c r="C33" s="2150"/>
      <c r="D33" s="425">
        <v>100</v>
      </c>
      <c r="E33" s="2150"/>
      <c r="F33" s="419">
        <f>SUMIF(101:101,E33,102:102)-SUMIF(101:101,C33,102:102)+100</f>
        <v>100</v>
      </c>
      <c r="G33" s="2150"/>
      <c r="H33" s="393">
        <f>SUMIF(101:101,G33,102:102)-SUMIF(101:101,C33,102:102)+100</f>
        <v>100</v>
      </c>
      <c r="I33" s="2150"/>
      <c r="J33" s="425">
        <f>SUMIF(101:101,I33,102:102)-SUMIF(101:101,C33,102:102)+100</f>
        <v>100</v>
      </c>
      <c r="K33" s="568"/>
      <c r="L33" s="2948"/>
      <c r="M33" s="2942"/>
      <c r="N33" s="2942"/>
      <c r="O33" s="2942"/>
      <c r="P33" s="3336" t="s">
        <v>2384</v>
      </c>
      <c r="Q33" s="1535" t="str">
        <f t="shared" si="11"/>
        <v>建筑类型</v>
      </c>
      <c r="R33" s="713" t="s">
        <v>17</v>
      </c>
      <c r="S33" s="714">
        <f t="shared" si="12"/>
        <v>100</v>
      </c>
      <c r="T33" s="713" t="s">
        <v>17</v>
      </c>
      <c r="U33" s="714">
        <f t="shared" si="13"/>
        <v>100</v>
      </c>
      <c r="V33" s="713" t="s">
        <v>17</v>
      </c>
      <c r="W33" s="714">
        <f t="shared" si="14"/>
        <v>100</v>
      </c>
      <c r="X33" s="1538"/>
      <c r="Y33" s="3303" t="s">
        <v>2384</v>
      </c>
      <c r="Z33" s="1539" t="str">
        <f t="shared" si="15"/>
        <v>建筑类型</v>
      </c>
      <c r="AA33" s="1536">
        <f t="shared" si="3"/>
        <v>1</v>
      </c>
      <c r="AB33" s="1536">
        <f t="shared" si="4"/>
        <v>1</v>
      </c>
      <c r="AC33" s="2145">
        <f t="shared" si="5"/>
        <v>1</v>
      </c>
    </row>
    <row r="34" spans="1:29" s="429" customFormat="1" ht="15">
      <c r="A34" s="426"/>
      <c r="B34" s="380" t="s">
        <v>2385</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7"/>
      <c r="M34" s="2949"/>
      <c r="N34" s="2949"/>
      <c r="O34" s="2949"/>
      <c r="P34" s="3337"/>
      <c r="Q34" s="715" t="str">
        <f t="shared" si="11"/>
        <v>项目建筑规模</v>
      </c>
      <c r="R34" s="716" t="s">
        <v>17</v>
      </c>
      <c r="S34" s="717" t="e">
        <f t="shared" si="12"/>
        <v>#N/A</v>
      </c>
      <c r="T34" s="716" t="s">
        <v>17</v>
      </c>
      <c r="U34" s="717" t="e">
        <f t="shared" si="13"/>
        <v>#N/A</v>
      </c>
      <c r="V34" s="716" t="s">
        <v>17</v>
      </c>
      <c r="W34" s="717" t="e">
        <f t="shared" si="14"/>
        <v>#N/A</v>
      </c>
      <c r="X34" s="718"/>
      <c r="Y34" s="3303"/>
      <c r="Z34" s="719" t="str">
        <f t="shared" si="15"/>
        <v>项目建筑规模</v>
      </c>
      <c r="AA34" s="1536" t="e">
        <f t="shared" si="3"/>
        <v>#N/A</v>
      </c>
      <c r="AB34" s="1536" t="e">
        <f t="shared" si="4"/>
        <v>#N/A</v>
      </c>
      <c r="AC34" s="2145" t="e">
        <f t="shared" si="5"/>
        <v>#N/A</v>
      </c>
    </row>
    <row r="35" spans="1:29" ht="15">
      <c r="A35" s="430"/>
      <c r="B35" s="380" t="s">
        <v>2386</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8"/>
      <c r="M35" s="2942"/>
      <c r="N35" s="2942"/>
      <c r="O35" s="2942"/>
      <c r="P35" s="3337"/>
      <c r="Q35" s="1535" t="str">
        <f t="shared" si="11"/>
        <v>建筑结构</v>
      </c>
      <c r="R35" s="713" t="s">
        <v>17</v>
      </c>
      <c r="S35" s="714">
        <f t="shared" si="12"/>
        <v>100</v>
      </c>
      <c r="T35" s="713" t="s">
        <v>17</v>
      </c>
      <c r="U35" s="714">
        <f t="shared" si="13"/>
        <v>100</v>
      </c>
      <c r="V35" s="713" t="s">
        <v>17</v>
      </c>
      <c r="W35" s="714">
        <f t="shared" si="14"/>
        <v>100</v>
      </c>
      <c r="X35" s="1538"/>
      <c r="Y35" s="3303"/>
      <c r="Z35" s="1539" t="str">
        <f t="shared" si="15"/>
        <v>建筑结构</v>
      </c>
      <c r="AA35" s="1536">
        <f t="shared" si="3"/>
        <v>1</v>
      </c>
      <c r="AB35" s="1536">
        <f t="shared" si="4"/>
        <v>1</v>
      </c>
      <c r="AC35" s="2145">
        <f t="shared" si="5"/>
        <v>1</v>
      </c>
    </row>
    <row r="36" spans="1:29" ht="15">
      <c r="A36" s="430"/>
      <c r="B36" s="380" t="s">
        <v>2480</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8"/>
      <c r="M36" s="2942"/>
      <c r="N36" s="2942"/>
      <c r="O36" s="2942"/>
      <c r="P36" s="3337"/>
      <c r="Q36" s="1535" t="str">
        <f t="shared" si="11"/>
        <v>公共部分装修</v>
      </c>
      <c r="R36" s="713" t="s">
        <v>17</v>
      </c>
      <c r="S36" s="714">
        <f t="shared" si="12"/>
        <v>100</v>
      </c>
      <c r="T36" s="713" t="s">
        <v>17</v>
      </c>
      <c r="U36" s="714">
        <f t="shared" si="13"/>
        <v>100</v>
      </c>
      <c r="V36" s="713" t="s">
        <v>17</v>
      </c>
      <c r="W36" s="714">
        <f t="shared" si="14"/>
        <v>100</v>
      </c>
      <c r="X36" s="1538"/>
      <c r="Y36" s="3303"/>
      <c r="Z36" s="1539" t="str">
        <f t="shared" si="15"/>
        <v>公共部分装修</v>
      </c>
      <c r="AA36" s="1536">
        <f t="shared" si="3"/>
        <v>1</v>
      </c>
      <c r="AB36" s="1536">
        <f t="shared" si="4"/>
        <v>1</v>
      </c>
      <c r="AC36" s="2145">
        <f t="shared" si="5"/>
        <v>1</v>
      </c>
    </row>
    <row r="37" spans="1:29" ht="15">
      <c r="A37" s="430"/>
      <c r="B37" s="380" t="s">
        <v>2481</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8"/>
      <c r="M37" s="2942"/>
      <c r="N37" s="2942"/>
      <c r="O37" s="2942"/>
      <c r="P37" s="3337"/>
      <c r="Q37" s="1535" t="str">
        <f t="shared" si="11"/>
        <v>成新度</v>
      </c>
      <c r="R37" s="713" t="s">
        <v>17</v>
      </c>
      <c r="S37" s="714" t="e">
        <f t="shared" si="12"/>
        <v>#N/A</v>
      </c>
      <c r="T37" s="713" t="s">
        <v>17</v>
      </c>
      <c r="U37" s="714" t="e">
        <f t="shared" si="13"/>
        <v>#N/A</v>
      </c>
      <c r="V37" s="713" t="s">
        <v>17</v>
      </c>
      <c r="W37" s="714" t="e">
        <f t="shared" si="14"/>
        <v>#N/A</v>
      </c>
      <c r="X37" s="1538"/>
      <c r="Y37" s="3303"/>
      <c r="Z37" s="1539" t="str">
        <f t="shared" si="15"/>
        <v>成新度</v>
      </c>
      <c r="AA37" s="1536" t="e">
        <f t="shared" si="3"/>
        <v>#N/A</v>
      </c>
      <c r="AB37" s="1536" t="e">
        <f t="shared" si="4"/>
        <v>#N/A</v>
      </c>
      <c r="AC37" s="2145" t="e">
        <f t="shared" si="5"/>
        <v>#N/A</v>
      </c>
    </row>
    <row r="38" spans="1:29" s="112" customFormat="1" ht="15">
      <c r="A38" s="431"/>
      <c r="B38" s="380" t="s">
        <v>2513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3"/>
      <c r="M38" s="2944"/>
      <c r="N38" s="2944"/>
      <c r="O38" s="2944"/>
      <c r="P38" s="3337"/>
      <c r="Q38" s="1526" t="str">
        <f t="shared" si="11"/>
        <v>写字楼等级</v>
      </c>
      <c r="R38" s="709" t="s">
        <v>17</v>
      </c>
      <c r="S38" s="710">
        <f t="shared" si="12"/>
        <v>100</v>
      </c>
      <c r="T38" s="709" t="s">
        <v>17</v>
      </c>
      <c r="U38" s="710">
        <f t="shared" si="13"/>
        <v>100</v>
      </c>
      <c r="V38" s="709" t="s">
        <v>17</v>
      </c>
      <c r="W38" s="710">
        <f t="shared" si="14"/>
        <v>100</v>
      </c>
      <c r="X38" s="711"/>
      <c r="Y38" s="3303"/>
      <c r="Z38" s="55" t="str">
        <f t="shared" si="15"/>
        <v>写字楼等级</v>
      </c>
      <c r="AA38" s="712">
        <f t="shared" si="3"/>
        <v>1</v>
      </c>
      <c r="AB38" s="712">
        <f t="shared" si="4"/>
        <v>1</v>
      </c>
      <c r="AC38" s="2142">
        <f t="shared" si="5"/>
        <v>1</v>
      </c>
    </row>
    <row r="39" spans="1:29" ht="15">
      <c r="A39" s="430"/>
      <c r="B39" s="380" t="s">
        <v>2514</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8"/>
      <c r="M39" s="2942"/>
      <c r="N39" s="2942"/>
      <c r="O39" s="2942"/>
      <c r="P39" s="3337" t="s">
        <v>2384</v>
      </c>
      <c r="Q39" s="1535" t="str">
        <f t="shared" si="11"/>
        <v>物业管理</v>
      </c>
      <c r="R39" s="713" t="s">
        <v>17</v>
      </c>
      <c r="S39" s="714">
        <f t="shared" si="12"/>
        <v>100</v>
      </c>
      <c r="T39" s="713" t="s">
        <v>17</v>
      </c>
      <c r="U39" s="714">
        <f t="shared" si="13"/>
        <v>100</v>
      </c>
      <c r="V39" s="713" t="s">
        <v>17</v>
      </c>
      <c r="W39" s="714">
        <f t="shared" si="14"/>
        <v>100</v>
      </c>
      <c r="X39" s="1538"/>
      <c r="Y39" s="3303" t="s">
        <v>2384</v>
      </c>
      <c r="Z39" s="1539" t="str">
        <f t="shared" si="15"/>
        <v>物业管理</v>
      </c>
      <c r="AA39" s="1536">
        <f t="shared" si="3"/>
        <v>1</v>
      </c>
      <c r="AB39" s="1536">
        <f t="shared" si="4"/>
        <v>1</v>
      </c>
      <c r="AC39" s="2145">
        <f t="shared" si="5"/>
        <v>1</v>
      </c>
    </row>
    <row r="40" spans="1:29" ht="15">
      <c r="A40" s="430"/>
      <c r="B40" s="380" t="s">
        <v>2482</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8"/>
      <c r="M40" s="2942"/>
      <c r="N40" s="2942"/>
      <c r="O40" s="2942"/>
      <c r="P40" s="3337"/>
      <c r="Q40" s="1535" t="str">
        <f t="shared" si="11"/>
        <v>市政基础设施</v>
      </c>
      <c r="R40" s="713" t="s">
        <v>17</v>
      </c>
      <c r="S40" s="714">
        <f t="shared" si="12"/>
        <v>100</v>
      </c>
      <c r="T40" s="713" t="s">
        <v>17</v>
      </c>
      <c r="U40" s="714">
        <f t="shared" si="13"/>
        <v>100</v>
      </c>
      <c r="V40" s="713" t="s">
        <v>17</v>
      </c>
      <c r="W40" s="714">
        <f t="shared" si="14"/>
        <v>100</v>
      </c>
      <c r="X40" s="1538"/>
      <c r="Y40" s="3303"/>
      <c r="Z40" s="1539" t="str">
        <f t="shared" si="15"/>
        <v>市政基础设施</v>
      </c>
      <c r="AA40" s="1536">
        <f t="shared" si="3"/>
        <v>1</v>
      </c>
      <c r="AB40" s="1536">
        <f t="shared" si="4"/>
        <v>1</v>
      </c>
      <c r="AC40" s="2145">
        <f t="shared" si="5"/>
        <v>1</v>
      </c>
    </row>
    <row r="41" spans="1:29" ht="15">
      <c r="A41" s="430"/>
      <c r="B41" s="380" t="s">
        <v>2484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8"/>
      <c r="M41" s="2942"/>
      <c r="N41" s="2942"/>
      <c r="O41" s="2942"/>
      <c r="P41" s="3337"/>
      <c r="Q41" s="1535" t="str">
        <f t="shared" si="11"/>
        <v>层高</v>
      </c>
      <c r="R41" s="713" t="s">
        <v>17</v>
      </c>
      <c r="S41" s="714">
        <f t="shared" si="12"/>
        <v>100</v>
      </c>
      <c r="T41" s="713" t="s">
        <v>17</v>
      </c>
      <c r="U41" s="714">
        <f t="shared" si="13"/>
        <v>100</v>
      </c>
      <c r="V41" s="713" t="s">
        <v>17</v>
      </c>
      <c r="W41" s="714">
        <f t="shared" si="14"/>
        <v>100</v>
      </c>
      <c r="X41" s="1538"/>
      <c r="Y41" s="3303"/>
      <c r="Z41" s="1539" t="str">
        <f t="shared" si="15"/>
        <v>层高</v>
      </c>
      <c r="AA41" s="1536">
        <f t="shared" si="3"/>
        <v>1</v>
      </c>
      <c r="AB41" s="1536">
        <f t="shared" si="4"/>
        <v>1</v>
      </c>
      <c r="AC41" s="2145">
        <f t="shared" si="5"/>
        <v>1</v>
      </c>
    </row>
    <row r="42" spans="1:29" s="429" customFormat="1" ht="15">
      <c r="A42" s="426"/>
      <c r="B42" s="1537" t="s">
        <v>2515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7"/>
      <c r="M42" s="2949"/>
      <c r="N42" s="2949"/>
      <c r="O42" s="2949"/>
      <c r="P42" s="3337"/>
      <c r="Q42" s="715" t="str">
        <f t="shared" si="11"/>
        <v>单套建筑面积</v>
      </c>
      <c r="R42" s="716" t="s">
        <v>17</v>
      </c>
      <c r="S42" s="717">
        <f t="shared" si="12"/>
        <v>100</v>
      </c>
      <c r="T42" s="716" t="s">
        <v>17</v>
      </c>
      <c r="U42" s="717">
        <f t="shared" si="13"/>
        <v>100</v>
      </c>
      <c r="V42" s="716" t="s">
        <v>17</v>
      </c>
      <c r="W42" s="717">
        <f t="shared" si="14"/>
        <v>100</v>
      </c>
      <c r="X42" s="718"/>
      <c r="Y42" s="3303"/>
      <c r="Z42" s="719" t="str">
        <f t="shared" si="15"/>
        <v>单套建筑面积</v>
      </c>
      <c r="AA42" s="1536">
        <f t="shared" si="3"/>
        <v>1</v>
      </c>
      <c r="AB42" s="1536">
        <f t="shared" si="4"/>
        <v>1</v>
      </c>
      <c r="AC42" s="2145">
        <f t="shared" si="5"/>
        <v>1</v>
      </c>
    </row>
    <row r="43" spans="1:29" ht="15">
      <c r="A43" s="430"/>
      <c r="B43" s="380" t="s">
        <v>2487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8"/>
      <c r="M43" s="2942"/>
      <c r="N43" s="2942"/>
      <c r="O43" s="2942"/>
      <c r="P43" s="3337"/>
      <c r="Q43" s="1535" t="str">
        <f t="shared" si="11"/>
        <v>内部装修</v>
      </c>
      <c r="R43" s="713" t="s">
        <v>17</v>
      </c>
      <c r="S43" s="714">
        <f t="shared" si="12"/>
        <v>100</v>
      </c>
      <c r="T43" s="713" t="s">
        <v>17</v>
      </c>
      <c r="U43" s="714">
        <f t="shared" si="13"/>
        <v>100</v>
      </c>
      <c r="V43" s="713" t="s">
        <v>17</v>
      </c>
      <c r="W43" s="714">
        <f t="shared" si="14"/>
        <v>100</v>
      </c>
      <c r="X43" s="1538"/>
      <c r="Y43" s="3303"/>
      <c r="Z43" s="1539" t="str">
        <f t="shared" si="15"/>
        <v>内部装修</v>
      </c>
      <c r="AA43" s="1536">
        <f t="shared" si="3"/>
        <v>1</v>
      </c>
      <c r="AB43" s="1536">
        <f t="shared" si="4"/>
        <v>1</v>
      </c>
      <c r="AC43" s="2145">
        <f t="shared" si="5"/>
        <v>1</v>
      </c>
    </row>
    <row r="44" spans="1:29" ht="15">
      <c r="A44" s="430"/>
      <c r="B44" s="380" t="s">
        <v>2395</v>
      </c>
      <c r="C44" s="418"/>
      <c r="D44" s="393">
        <v>100</v>
      </c>
      <c r="E44" s="2091"/>
      <c r="F44" s="419">
        <f>SUMIF(125:125,E44,126:126)-SUMIF(125:125,C44,126:126)+100</f>
        <v>100</v>
      </c>
      <c r="G44" s="2091"/>
      <c r="H44" s="393">
        <f>SUMIF(125:125,G44,126:126)-SUMIF(125:125,C44,126:126)+100</f>
        <v>100</v>
      </c>
      <c r="I44" s="2091"/>
      <c r="J44" s="393">
        <f>SUMIF(125:125,I44,126:126)-SUMIF(125:125,C44,126:126)+100</f>
        <v>100</v>
      </c>
      <c r="K44" s="568"/>
      <c r="L44" s="2948"/>
      <c r="M44" s="2942"/>
      <c r="N44" s="2942"/>
      <c r="O44" s="2942"/>
      <c r="P44" s="3337"/>
      <c r="Q44" s="1535" t="str">
        <f t="shared" si="11"/>
        <v>内部装修维护情况</v>
      </c>
      <c r="R44" s="713" t="s">
        <v>17</v>
      </c>
      <c r="S44" s="714">
        <f t="shared" si="12"/>
        <v>100</v>
      </c>
      <c r="T44" s="713" t="s">
        <v>17</v>
      </c>
      <c r="U44" s="714">
        <f t="shared" si="13"/>
        <v>100</v>
      </c>
      <c r="V44" s="713" t="s">
        <v>17</v>
      </c>
      <c r="W44" s="714">
        <f t="shared" si="14"/>
        <v>100</v>
      </c>
      <c r="X44" s="1538"/>
      <c r="Y44" s="3303"/>
      <c r="Z44" s="1539" t="str">
        <f t="shared" si="15"/>
        <v>内部装修维护情况</v>
      </c>
      <c r="AA44" s="1536">
        <f t="shared" si="3"/>
        <v>1</v>
      </c>
      <c r="AB44" s="1536">
        <f t="shared" si="4"/>
        <v>1</v>
      </c>
      <c r="AC44" s="2145">
        <f t="shared" si="5"/>
        <v>1</v>
      </c>
    </row>
    <row r="45" spans="1:29" s="112"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3"/>
      <c r="M45" s="2944"/>
      <c r="N45" s="2944"/>
      <c r="O45" s="2944"/>
      <c r="P45" s="3337"/>
      <c r="Q45" s="1526">
        <f t="shared" si="11"/>
        <v>111</v>
      </c>
      <c r="R45" s="709" t="s">
        <v>17</v>
      </c>
      <c r="S45" s="710">
        <f t="shared" si="12"/>
        <v>100</v>
      </c>
      <c r="T45" s="709" t="s">
        <v>17</v>
      </c>
      <c r="U45" s="710">
        <f t="shared" si="13"/>
        <v>100</v>
      </c>
      <c r="V45" s="709" t="s">
        <v>17</v>
      </c>
      <c r="W45" s="710">
        <f t="shared" si="14"/>
        <v>100</v>
      </c>
      <c r="X45" s="711"/>
      <c r="Y45" s="3303"/>
      <c r="Z45" s="55">
        <f t="shared" si="15"/>
        <v>111</v>
      </c>
      <c r="AA45" s="712">
        <f t="shared" si="3"/>
        <v>1</v>
      </c>
      <c r="AB45" s="712">
        <f t="shared" si="4"/>
        <v>1</v>
      </c>
      <c r="AC45" s="2142">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8"/>
      <c r="M46" s="2942"/>
      <c r="N46" s="2942"/>
      <c r="O46" s="2942"/>
      <c r="P46" s="3337"/>
      <c r="Q46" s="1535">
        <f t="shared" si="11"/>
        <v>111</v>
      </c>
      <c r="R46" s="713" t="s">
        <v>17</v>
      </c>
      <c r="S46" s="714">
        <f t="shared" si="12"/>
        <v>100</v>
      </c>
      <c r="T46" s="713" t="s">
        <v>17</v>
      </c>
      <c r="U46" s="714">
        <f t="shared" si="13"/>
        <v>100</v>
      </c>
      <c r="V46" s="713" t="s">
        <v>17</v>
      </c>
      <c r="W46" s="714">
        <f t="shared" si="14"/>
        <v>100</v>
      </c>
      <c r="X46" s="1538"/>
      <c r="Y46" s="3303"/>
      <c r="Z46" s="1539">
        <f t="shared" si="15"/>
        <v>111</v>
      </c>
      <c r="AA46" s="1536">
        <f t="shared" si="3"/>
        <v>1</v>
      </c>
      <c r="AB46" s="1536">
        <f t="shared" si="4"/>
        <v>1</v>
      </c>
      <c r="AC46" s="2145">
        <f t="shared" si="5"/>
        <v>1</v>
      </c>
    </row>
    <row r="47" spans="1:29" ht="15.75" thickBot="1">
      <c r="A47" s="436"/>
      <c r="B47" s="208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8"/>
      <c r="M47" s="2942"/>
      <c r="N47" s="2942"/>
      <c r="O47" s="2942"/>
      <c r="P47" s="3338"/>
      <c r="Q47" s="1535">
        <f t="shared" si="11"/>
        <v>111</v>
      </c>
      <c r="R47" s="713" t="s">
        <v>17</v>
      </c>
      <c r="S47" s="714">
        <f t="shared" si="12"/>
        <v>100</v>
      </c>
      <c r="T47" s="713" t="s">
        <v>17</v>
      </c>
      <c r="U47" s="714">
        <f t="shared" si="13"/>
        <v>100</v>
      </c>
      <c r="V47" s="713" t="s">
        <v>17</v>
      </c>
      <c r="W47" s="714">
        <f t="shared" si="14"/>
        <v>100</v>
      </c>
      <c r="X47" s="1538"/>
      <c r="Y47" s="3339"/>
      <c r="Z47" s="1539">
        <f t="shared" si="15"/>
        <v>111</v>
      </c>
      <c r="AA47" s="1536">
        <f t="shared" si="3"/>
        <v>1</v>
      </c>
      <c r="AB47" s="1536">
        <f t="shared" si="4"/>
        <v>1</v>
      </c>
      <c r="AC47" s="2145">
        <f t="shared" si="5"/>
        <v>1</v>
      </c>
    </row>
    <row r="48" spans="1:29" ht="15">
      <c r="A48" s="437" t="s">
        <v>2396</v>
      </c>
      <c r="B48" s="438"/>
      <c r="C48" s="1315" t="s">
        <v>1</v>
      </c>
      <c r="D48" s="1316"/>
      <c r="E48" s="1317"/>
      <c r="F48" s="1318"/>
      <c r="G48" s="1319"/>
      <c r="H48" s="1320"/>
      <c r="I48" s="1317"/>
      <c r="J48" s="443"/>
      <c r="K48" s="722"/>
      <c r="L48" s="2950"/>
      <c r="M48" s="2942"/>
      <c r="N48" s="2942"/>
      <c r="O48" s="2942"/>
      <c r="P48" s="3297" t="str">
        <f>A48</f>
        <v>成交单价（元/平方米）</v>
      </c>
      <c r="Q48" s="3298"/>
      <c r="R48" s="3335">
        <f>E48</f>
        <v>0</v>
      </c>
      <c r="S48" s="3335"/>
      <c r="T48" s="3335">
        <f>G48</f>
        <v>0</v>
      </c>
      <c r="U48" s="3335"/>
      <c r="V48" s="3335">
        <f>I48</f>
        <v>0</v>
      </c>
      <c r="W48" s="3335"/>
      <c r="X48" s="404"/>
      <c r="Y48" s="720"/>
      <c r="Z48" s="404"/>
      <c r="AA48" s="404"/>
      <c r="AB48" s="404"/>
      <c r="AC48" s="585"/>
    </row>
    <row r="49" spans="1:29" ht="15.75" thickBot="1">
      <c r="A49" s="444" t="s">
        <v>2488</v>
      </c>
      <c r="B49" s="445"/>
      <c r="C49" s="1321" t="e">
        <f>R50</f>
        <v>#DIV/0!</v>
      </c>
      <c r="D49" s="2535" t="s">
        <v>2879</v>
      </c>
      <c r="E49" s="1322" t="e">
        <f>R49</f>
        <v>#DIV/0!</v>
      </c>
      <c r="F49" s="2536"/>
      <c r="G49" s="1321" t="e">
        <f>T49</f>
        <v>#DIV/0!</v>
      </c>
      <c r="H49" s="2536"/>
      <c r="I49" s="1322" t="e">
        <f>V49</f>
        <v>#DIV/0!</v>
      </c>
      <c r="J49" s="2536"/>
      <c r="K49" s="2538">
        <f>F49+H49+J49</f>
        <v>0</v>
      </c>
      <c r="L49" s="2950"/>
      <c r="M49" s="2942"/>
      <c r="N49" s="2942"/>
      <c r="O49" s="2942"/>
      <c r="P49" s="3297" t="str">
        <f>A49</f>
        <v>比较价值（元/平方米）</v>
      </c>
      <c r="Q49" s="3298"/>
      <c r="R49" s="3335" t="e">
        <f>IF(F1="售价",ROUND(PRODUCT(R48,AA7:AA47),0),ROUND(PRODUCT(R48,AA7:AA47),1))</f>
        <v>#DIV/0!</v>
      </c>
      <c r="S49" s="3335"/>
      <c r="T49" s="3335" t="e">
        <f>IF(F1="售价",ROUND(PRODUCT(T48,AB7:AB47),0),ROUND(PRODUCT(T48,AB7:AB47),1))</f>
        <v>#DIV/0!</v>
      </c>
      <c r="U49" s="3335"/>
      <c r="V49" s="3335" t="e">
        <f>IF(F1="售价",ROUND(PRODUCT(V48,AC7:AC47),0),ROUND(PRODUCT(V48,AC7:AC47),1))</f>
        <v>#DIV/0!</v>
      </c>
      <c r="W49" s="3335"/>
      <c r="X49" s="404"/>
      <c r="Y49" s="404"/>
      <c r="Z49" s="404"/>
      <c r="AA49" s="404"/>
      <c r="AB49" s="404"/>
      <c r="AC49" s="585"/>
    </row>
    <row r="50" spans="1:29" ht="15.75" thickBot="1">
      <c r="A50" s="448" t="s">
        <v>2489</v>
      </c>
      <c r="B50" s="449"/>
      <c r="C50" s="1324" t="e">
        <f>R50</f>
        <v>#DIV/0!</v>
      </c>
      <c r="D50" s="1324"/>
      <c r="E50" s="1324"/>
      <c r="F50" s="1324"/>
      <c r="G50" s="1324"/>
      <c r="H50" s="1324"/>
      <c r="I50" s="1324"/>
      <c r="J50" s="450"/>
      <c r="K50" s="723"/>
      <c r="L50" s="2950"/>
      <c r="M50" s="2942"/>
      <c r="N50" s="2942"/>
      <c r="O50" s="2942"/>
      <c r="P50" s="3372" t="str">
        <f>A50</f>
        <v>估价对象XX用房的比较价值（楼面单价，元/平方米）</v>
      </c>
      <c r="Q50" s="3373"/>
      <c r="R50" s="3374" t="e">
        <f>IF(F1="售价",ROUND(IF(D49="简单平均",AVERAGE(R49:V49),R49*F49+T49*H49+V49*J49),0),ROUND(IF(D49="简单平均",AVERAGE(R49:V49),R49*F49+T49*H49+V49*J49),1))</f>
        <v>#DIV/0!</v>
      </c>
      <c r="S50" s="3374"/>
      <c r="T50" s="3374"/>
      <c r="U50" s="3374"/>
      <c r="V50" s="3374"/>
      <c r="W50" s="3374"/>
      <c r="X50" s="2129"/>
      <c r="Y50" s="2129"/>
      <c r="Z50" s="2129"/>
      <c r="AA50" s="2129"/>
      <c r="AB50" s="2129"/>
      <c r="AC50" s="2130"/>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3" t="s">
        <v>2490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3" t="s">
        <v>2491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8" customFormat="1" ht="13.5" customHeight="1">
      <c r="A55" s="2954"/>
      <c r="B55" s="2954"/>
      <c r="C55" s="453" t="s">
        <v>2492</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8"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2" t="s">
        <v>2493</v>
      </c>
      <c r="B58" s="698"/>
      <c r="C58" s="703"/>
      <c r="D58" s="703"/>
      <c r="E58" s="703"/>
      <c r="F58" s="704"/>
      <c r="G58" s="704"/>
      <c r="H58" s="703"/>
      <c r="I58" s="703"/>
      <c r="J58" s="703"/>
      <c r="K58" s="705"/>
      <c r="L58" s="1072"/>
      <c r="M58" s="1070"/>
      <c r="N58" s="2995"/>
      <c r="O58" s="2995"/>
      <c r="P58" s="2984"/>
      <c r="Q58" s="2965"/>
      <c r="R58" s="2951"/>
      <c r="S58" s="2951"/>
      <c r="T58" s="2951"/>
      <c r="U58" s="2951"/>
      <c r="V58" s="2951"/>
      <c r="W58" s="2951"/>
      <c r="X58" s="2951"/>
      <c r="Y58" s="2951"/>
      <c r="Z58" s="2951"/>
      <c r="AA58" s="2951"/>
      <c r="AB58" s="2951"/>
      <c r="AC58" s="2951"/>
    </row>
    <row r="59" spans="1:29" s="464" customFormat="1" ht="15">
      <c r="A59" s="461" t="s">
        <v>2367</v>
      </c>
      <c r="B59" s="462"/>
      <c r="C59" s="1345" t="str">
        <f>YEAR(C7)&amp;"-"&amp;MONTH(C7)</f>
        <v>2021-10</v>
      </c>
      <c r="D59" s="1346">
        <f>EDATE(C59,-1)</f>
        <v>44440</v>
      </c>
      <c r="E59" s="1346">
        <f>EDATE(D59,-1)</f>
        <v>44409</v>
      </c>
      <c r="F59" s="1346">
        <f t="shared" ref="F59:O59" si="16">EDATE(E59,-1)</f>
        <v>44378</v>
      </c>
      <c r="G59" s="1346">
        <f t="shared" si="16"/>
        <v>44348</v>
      </c>
      <c r="H59" s="1346">
        <f t="shared" si="16"/>
        <v>44317</v>
      </c>
      <c r="I59" s="1346">
        <f t="shared" si="16"/>
        <v>44287</v>
      </c>
      <c r="J59" s="1346">
        <f t="shared" si="16"/>
        <v>44256</v>
      </c>
      <c r="K59" s="1346">
        <f t="shared" si="16"/>
        <v>44228</v>
      </c>
      <c r="L59" s="1346">
        <f t="shared" si="16"/>
        <v>44197</v>
      </c>
      <c r="M59" s="1346">
        <f t="shared" si="16"/>
        <v>44166</v>
      </c>
      <c r="N59" s="1346">
        <f t="shared" si="16"/>
        <v>44136</v>
      </c>
      <c r="O59" s="1346">
        <f t="shared" si="16"/>
        <v>44105</v>
      </c>
      <c r="P59" s="2985"/>
      <c r="Q59" s="2967"/>
      <c r="R59" s="2967"/>
      <c r="S59" s="2967"/>
      <c r="T59" s="2967"/>
      <c r="U59" s="2967"/>
      <c r="V59" s="2967"/>
      <c r="W59" s="2967"/>
      <c r="X59" s="2967"/>
      <c r="Y59" s="2967"/>
      <c r="Z59" s="2967"/>
      <c r="AA59" s="2967"/>
      <c r="AB59" s="2967"/>
      <c r="AC59" s="2967"/>
    </row>
    <row r="60" spans="1:29" s="112" customFormat="1" ht="15">
      <c r="A60" s="465"/>
      <c r="B60" s="466"/>
      <c r="C60" s="1344">
        <v>100</v>
      </c>
      <c r="D60" s="468"/>
      <c r="E60" s="468"/>
      <c r="F60" s="468"/>
      <c r="G60" s="468"/>
      <c r="H60" s="468"/>
      <c r="I60" s="468"/>
      <c r="J60" s="468"/>
      <c r="K60" s="468"/>
      <c r="L60" s="468"/>
      <c r="M60" s="469"/>
      <c r="N60" s="468"/>
      <c r="O60" s="469"/>
      <c r="P60" s="2986"/>
      <c r="Q60" s="2885"/>
      <c r="R60" s="2885"/>
      <c r="S60" s="2885"/>
      <c r="T60" s="2885"/>
      <c r="U60" s="2885"/>
      <c r="V60" s="2885"/>
      <c r="W60" s="2885"/>
      <c r="X60" s="2885"/>
      <c r="Y60" s="2885"/>
      <c r="Z60" s="2885"/>
      <c r="AA60" s="2885"/>
      <c r="AB60" s="2885"/>
      <c r="AC60" s="2885"/>
    </row>
    <row r="61" spans="1:29" s="112" customFormat="1" ht="15.75" thickBot="1">
      <c r="A61" s="471" t="s">
        <v>2404</v>
      </c>
      <c r="B61" s="472"/>
      <c r="C61" s="473"/>
      <c r="D61" s="474"/>
      <c r="E61" s="474"/>
      <c r="F61" s="474"/>
      <c r="G61" s="474"/>
      <c r="H61" s="474"/>
      <c r="I61" s="474"/>
      <c r="J61" s="474"/>
      <c r="K61" s="474"/>
      <c r="L61" s="474"/>
      <c r="M61" s="475"/>
      <c r="N61" s="474"/>
      <c r="O61" s="475"/>
      <c r="P61" s="2986"/>
      <c r="Q61" s="2965"/>
      <c r="R61" s="2885"/>
      <c r="S61" s="2885"/>
      <c r="T61" s="2885"/>
      <c r="U61" s="2885"/>
      <c r="V61" s="2885"/>
      <c r="W61" s="2885"/>
      <c r="X61" s="2885"/>
      <c r="Y61" s="2885"/>
      <c r="Z61" s="2885"/>
      <c r="AA61" s="2885"/>
      <c r="AB61" s="2885"/>
      <c r="AC61" s="2885"/>
    </row>
    <row r="62" spans="1:29" s="112" customFormat="1" ht="15">
      <c r="A62" s="477" t="s">
        <v>2369</v>
      </c>
      <c r="B62" s="466"/>
      <c r="C62" s="478" t="s">
        <v>2471</v>
      </c>
      <c r="D62" s="479"/>
      <c r="E62" s="479"/>
      <c r="F62" s="479"/>
      <c r="G62" s="479"/>
      <c r="H62" s="479"/>
      <c r="I62" s="479"/>
      <c r="J62" s="479"/>
      <c r="K62" s="479"/>
      <c r="L62" s="480"/>
      <c r="M62" s="481"/>
      <c r="N62" s="2978"/>
      <c r="O62" s="2978"/>
      <c r="P62" s="2987"/>
      <c r="Q62" s="2965"/>
      <c r="R62" s="2885"/>
      <c r="S62" s="2885"/>
      <c r="T62" s="2885"/>
      <c r="U62" s="2885"/>
      <c r="V62" s="2885"/>
      <c r="W62" s="2885"/>
      <c r="X62" s="2885"/>
      <c r="Y62" s="2885"/>
      <c r="Z62" s="2885"/>
      <c r="AA62" s="2885"/>
      <c r="AB62" s="2885"/>
      <c r="AC62" s="2885"/>
    </row>
    <row r="63" spans="1:29" s="112" customFormat="1" ht="15.75" thickBot="1">
      <c r="A63" s="477"/>
      <c r="B63" s="466"/>
      <c r="C63" s="467">
        <v>100</v>
      </c>
      <c r="D63" s="468"/>
      <c r="E63" s="468"/>
      <c r="F63" s="468"/>
      <c r="G63" s="468"/>
      <c r="H63" s="468"/>
      <c r="I63" s="468"/>
      <c r="J63" s="468"/>
      <c r="K63" s="468"/>
      <c r="L63" s="468"/>
      <c r="M63" s="470"/>
      <c r="N63" s="2978"/>
      <c r="O63" s="2978"/>
      <c r="P63" s="2986"/>
      <c r="Q63" s="2965"/>
      <c r="R63" s="2885"/>
      <c r="S63" s="2885"/>
      <c r="T63" s="2885"/>
      <c r="U63" s="2885"/>
      <c r="V63" s="2885"/>
      <c r="W63" s="2885"/>
      <c r="X63" s="2885"/>
      <c r="Y63" s="2885"/>
      <c r="Z63" s="2885"/>
      <c r="AA63" s="2885"/>
      <c r="AB63" s="2885"/>
      <c r="AC63" s="2885"/>
    </row>
    <row r="64" spans="1:29">
      <c r="A64" s="483" t="s">
        <v>2407</v>
      </c>
      <c r="B64" s="484" t="s">
        <v>2373</v>
      </c>
      <c r="C64" s="485">
        <f>C9</f>
        <v>0</v>
      </c>
      <c r="D64" s="486"/>
      <c r="E64" s="486"/>
      <c r="F64" s="486"/>
      <c r="G64" s="486"/>
      <c r="H64" s="486"/>
      <c r="I64" s="486"/>
      <c r="J64" s="486"/>
      <c r="K64" s="487"/>
      <c r="L64" s="488"/>
      <c r="M64" s="489"/>
      <c r="N64" s="2979"/>
      <c r="O64" s="2979"/>
      <c r="P64" s="2988"/>
      <c r="Q64" s="2965"/>
      <c r="R64" s="2951"/>
      <c r="S64" s="2951"/>
      <c r="T64" s="2951"/>
      <c r="U64" s="2951"/>
      <c r="V64" s="2951"/>
      <c r="W64" s="2951"/>
      <c r="X64" s="2951"/>
      <c r="Y64" s="2951"/>
      <c r="Z64" s="2951"/>
      <c r="AA64" s="2951"/>
      <c r="AB64" s="2951"/>
      <c r="AC64" s="2951"/>
    </row>
    <row r="65" spans="1:29" ht="15.75" thickBot="1">
      <c r="A65" s="490"/>
      <c r="B65" s="491"/>
      <c r="C65" s="492">
        <v>100</v>
      </c>
      <c r="D65" s="492"/>
      <c r="E65" s="492"/>
      <c r="F65" s="492"/>
      <c r="G65" s="492"/>
      <c r="H65" s="492"/>
      <c r="I65" s="492"/>
      <c r="J65" s="492"/>
      <c r="K65" s="492"/>
      <c r="L65" s="492"/>
      <c r="M65" s="493"/>
      <c r="N65" s="2980"/>
      <c r="O65" s="2980"/>
      <c r="P65" s="2988"/>
      <c r="Q65" s="2965"/>
      <c r="R65" s="2951"/>
      <c r="S65" s="2951"/>
      <c r="T65" s="2951"/>
      <c r="U65" s="2951"/>
      <c r="V65" s="2951"/>
      <c r="W65" s="2951"/>
      <c r="X65" s="2951"/>
      <c r="Y65" s="2951"/>
      <c r="Z65" s="2951"/>
      <c r="AA65" s="2951"/>
      <c r="AB65" s="2951"/>
      <c r="AC65" s="2951"/>
    </row>
    <row r="66" spans="1:29" ht="27.75" thickTop="1">
      <c r="A66" s="490"/>
      <c r="B66" s="494" t="s">
        <v>2376</v>
      </c>
      <c r="C66" s="495" t="s">
        <v>2408</v>
      </c>
      <c r="D66" s="495" t="s">
        <v>2409</v>
      </c>
      <c r="E66" s="495" t="s">
        <v>2410</v>
      </c>
      <c r="F66" s="495" t="s">
        <v>2411</v>
      </c>
      <c r="G66" s="495" t="s">
        <v>2412</v>
      </c>
      <c r="H66" s="495" t="s">
        <v>2413</v>
      </c>
      <c r="I66" s="495" t="s">
        <v>2414</v>
      </c>
      <c r="J66" s="495"/>
      <c r="K66" s="496"/>
      <c r="L66" s="497"/>
      <c r="M66" s="498"/>
      <c r="N66" s="2979"/>
      <c r="O66" s="2979"/>
      <c r="P66" s="2988"/>
      <c r="Q66" s="2965"/>
      <c r="R66" s="2951"/>
      <c r="S66" s="2951"/>
      <c r="T66" s="2951"/>
      <c r="U66" s="2951"/>
      <c r="V66" s="2951"/>
      <c r="W66" s="2951"/>
      <c r="X66" s="2951"/>
      <c r="Y66" s="2951"/>
      <c r="Z66" s="2951"/>
      <c r="AA66" s="2951"/>
      <c r="AB66" s="2951"/>
      <c r="AC66" s="2951"/>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0"/>
      <c r="O67" s="2980"/>
      <c r="P67" s="2988"/>
      <c r="Q67" s="2965"/>
      <c r="R67" s="2951"/>
      <c r="S67" s="2951"/>
      <c r="T67" s="2951"/>
      <c r="U67" s="2951"/>
      <c r="V67" s="2951"/>
      <c r="W67" s="2951"/>
      <c r="X67" s="2951"/>
      <c r="Y67" s="2951"/>
      <c r="Z67" s="2951"/>
      <c r="AA67" s="2951"/>
      <c r="AB67" s="2951"/>
      <c r="AC67" s="2951"/>
    </row>
    <row r="68" spans="1:29" ht="15.75" thickTop="1">
      <c r="A68" s="490"/>
      <c r="B68" s="502" t="s">
        <v>2377</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0"/>
      <c r="B69" s="504"/>
      <c r="C69" s="505"/>
      <c r="D69" s="505"/>
      <c r="E69" s="505"/>
      <c r="F69" s="505"/>
      <c r="G69" s="505"/>
      <c r="H69" s="505"/>
      <c r="I69" s="505"/>
      <c r="J69" s="505"/>
      <c r="K69" s="506"/>
      <c r="L69" s="507"/>
      <c r="M69" s="508"/>
      <c r="N69" s="2979"/>
      <c r="O69" s="2979"/>
      <c r="P69" s="2988"/>
      <c r="Q69" s="2965"/>
      <c r="R69" s="2951"/>
      <c r="S69" s="2951"/>
      <c r="T69" s="2951"/>
      <c r="U69" s="2951"/>
      <c r="V69" s="2951"/>
      <c r="W69" s="2951"/>
      <c r="X69" s="2951"/>
      <c r="Y69" s="2951"/>
      <c r="Z69" s="2951"/>
      <c r="AA69" s="2951"/>
      <c r="AB69" s="2951"/>
      <c r="AC69" s="2951"/>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0"/>
      <c r="O70" s="2980"/>
      <c r="P70" s="2988"/>
      <c r="Q70" s="2965"/>
      <c r="R70" s="2951"/>
      <c r="S70" s="2951"/>
      <c r="T70" s="2951"/>
      <c r="U70" s="2951"/>
      <c r="V70" s="2951"/>
      <c r="W70" s="2951"/>
      <c r="X70" s="2951"/>
      <c r="Y70" s="2951"/>
      <c r="Z70" s="2951"/>
      <c r="AA70" s="2951"/>
      <c r="AB70" s="2951"/>
      <c r="AC70" s="2951"/>
    </row>
    <row r="71" spans="1:29" s="429" customFormat="1" ht="15.75" thickTop="1">
      <c r="A71" s="509"/>
      <c r="B71" s="494">
        <f>B12</f>
        <v>111</v>
      </c>
      <c r="C71" s="510"/>
      <c r="D71" s="510"/>
      <c r="E71" s="510"/>
      <c r="F71" s="510"/>
      <c r="G71" s="510"/>
      <c r="H71" s="511"/>
      <c r="I71" s="511"/>
      <c r="J71" s="511"/>
      <c r="K71" s="511"/>
      <c r="L71" s="512"/>
      <c r="M71" s="513"/>
      <c r="N71" s="2981"/>
      <c r="O71" s="2981"/>
      <c r="P71" s="2989"/>
      <c r="Q71" s="2972"/>
      <c r="R71" s="2973"/>
      <c r="S71" s="2973"/>
      <c r="T71" s="2973"/>
      <c r="U71" s="2973"/>
      <c r="V71" s="2973"/>
      <c r="W71" s="2973"/>
      <c r="X71" s="2973"/>
      <c r="Y71" s="2973"/>
      <c r="Z71" s="2973"/>
      <c r="AA71" s="2973"/>
      <c r="AB71" s="2973"/>
      <c r="AC71" s="2973"/>
    </row>
    <row r="72" spans="1:29" s="429" customFormat="1" ht="15.75" thickBot="1">
      <c r="A72" s="509"/>
      <c r="B72" s="499"/>
      <c r="C72" s="516"/>
      <c r="D72" s="492"/>
      <c r="E72" s="492"/>
      <c r="F72" s="492"/>
      <c r="G72" s="492"/>
      <c r="H72" s="492"/>
      <c r="I72" s="492"/>
      <c r="J72" s="492"/>
      <c r="K72" s="492"/>
      <c r="L72" s="492"/>
      <c r="M72" s="493"/>
      <c r="N72" s="2980"/>
      <c r="O72" s="2980"/>
      <c r="P72" s="2989"/>
      <c r="Q72" s="2972"/>
      <c r="R72" s="2973"/>
      <c r="S72" s="2973"/>
      <c r="T72" s="2973"/>
      <c r="U72" s="2973"/>
      <c r="V72" s="2973"/>
      <c r="W72" s="2973"/>
      <c r="X72" s="2973"/>
      <c r="Y72" s="2973"/>
      <c r="Z72" s="2973"/>
      <c r="AA72" s="2973"/>
      <c r="AB72" s="2973"/>
      <c r="AC72" s="2973"/>
    </row>
    <row r="73" spans="1:29" s="429" customFormat="1" ht="15.75" thickTop="1">
      <c r="A73" s="509"/>
      <c r="B73" s="494">
        <f>B13</f>
        <v>111</v>
      </c>
      <c r="C73" s="510"/>
      <c r="D73" s="510"/>
      <c r="E73" s="510"/>
      <c r="F73" s="510"/>
      <c r="G73" s="510"/>
      <c r="H73" s="511"/>
      <c r="I73" s="511"/>
      <c r="J73" s="511"/>
      <c r="K73" s="511"/>
      <c r="L73" s="512"/>
      <c r="M73" s="513"/>
      <c r="N73" s="2981"/>
      <c r="O73" s="2981"/>
      <c r="P73" s="2990"/>
      <c r="Q73" s="2975"/>
      <c r="R73" s="2973"/>
      <c r="S73" s="2973"/>
      <c r="T73" s="2973"/>
      <c r="U73" s="2973"/>
      <c r="V73" s="2973"/>
      <c r="W73" s="2973"/>
      <c r="X73" s="2973"/>
      <c r="Y73" s="2973"/>
      <c r="Z73" s="2973"/>
      <c r="AA73" s="2973"/>
      <c r="AB73" s="2973"/>
      <c r="AC73" s="2973"/>
    </row>
    <row r="74" spans="1:29" s="429" customFormat="1" ht="15.75" thickBot="1">
      <c r="A74" s="509"/>
      <c r="B74" s="499"/>
      <c r="C74" s="516"/>
      <c r="D74" s="516"/>
      <c r="E74" s="516"/>
      <c r="F74" s="516"/>
      <c r="G74" s="516"/>
      <c r="H74" s="518"/>
      <c r="I74" s="518"/>
      <c r="J74" s="518"/>
      <c r="K74" s="518"/>
      <c r="L74" s="518"/>
      <c r="M74" s="519"/>
      <c r="N74" s="2981"/>
      <c r="O74" s="2981"/>
      <c r="P74" s="2989"/>
      <c r="Q74" s="2972"/>
      <c r="R74" s="2973"/>
      <c r="S74" s="2973"/>
      <c r="T74" s="2973"/>
      <c r="U74" s="2973"/>
      <c r="V74" s="2973"/>
      <c r="W74" s="2973"/>
      <c r="X74" s="2973"/>
      <c r="Y74" s="2973"/>
      <c r="Z74" s="2973"/>
      <c r="AA74" s="2973"/>
      <c r="AB74" s="2973"/>
      <c r="AC74" s="2973"/>
    </row>
    <row r="75" spans="1:29" s="429" customFormat="1" ht="15.75" thickTop="1">
      <c r="A75" s="509"/>
      <c r="B75" s="502">
        <f>B14</f>
        <v>111</v>
      </c>
      <c r="C75" s="479"/>
      <c r="D75" s="479"/>
      <c r="E75" s="479"/>
      <c r="F75" s="479"/>
      <c r="G75" s="479"/>
      <c r="H75" s="520"/>
      <c r="I75" s="520"/>
      <c r="J75" s="520"/>
      <c r="K75" s="520"/>
      <c r="L75" s="521"/>
      <c r="M75" s="522"/>
      <c r="N75" s="2981"/>
      <c r="O75" s="2981"/>
      <c r="P75" s="2991"/>
      <c r="Q75" s="2972"/>
      <c r="R75" s="2973"/>
      <c r="S75" s="2973"/>
      <c r="T75" s="2973"/>
      <c r="U75" s="2973"/>
      <c r="V75" s="2973"/>
      <c r="W75" s="2973"/>
      <c r="X75" s="2973"/>
      <c r="Y75" s="2973"/>
      <c r="Z75" s="2973"/>
      <c r="AA75" s="2973"/>
      <c r="AB75" s="2973"/>
      <c r="AC75" s="2973"/>
    </row>
    <row r="76" spans="1:29" s="429" customFormat="1" ht="15.75" thickBot="1">
      <c r="A76" s="524"/>
      <c r="B76" s="525"/>
      <c r="C76" s="526"/>
      <c r="D76" s="526"/>
      <c r="E76" s="526"/>
      <c r="F76" s="526"/>
      <c r="G76" s="526"/>
      <c r="H76" s="527"/>
      <c r="I76" s="527"/>
      <c r="J76" s="527"/>
      <c r="K76" s="527"/>
      <c r="L76" s="527"/>
      <c r="M76" s="528"/>
      <c r="N76" s="2981"/>
      <c r="O76" s="2981"/>
      <c r="P76" s="2989"/>
      <c r="Q76" s="2972"/>
      <c r="R76" s="2973"/>
      <c r="S76" s="2973"/>
      <c r="T76" s="2973"/>
      <c r="U76" s="2973"/>
      <c r="V76" s="2973"/>
      <c r="W76" s="2973"/>
      <c r="X76" s="2973"/>
      <c r="Y76" s="2973"/>
      <c r="Z76" s="2973"/>
      <c r="AA76" s="2973"/>
      <c r="AB76" s="2973"/>
      <c r="AC76" s="2973"/>
    </row>
    <row r="77" spans="1:29">
      <c r="A77" s="483" t="s">
        <v>2378</v>
      </c>
      <c r="B77" s="484" t="s">
        <v>2516</v>
      </c>
      <c r="C77" s="529" t="s">
        <v>2416</v>
      </c>
      <c r="D77" s="529" t="s">
        <v>2417</v>
      </c>
      <c r="E77" s="529" t="s">
        <v>2418</v>
      </c>
      <c r="F77" s="529" t="s">
        <v>2419</v>
      </c>
      <c r="G77" s="529" t="s">
        <v>2420</v>
      </c>
      <c r="H77" s="485"/>
      <c r="I77" s="485"/>
      <c r="J77" s="485"/>
      <c r="K77" s="530"/>
      <c r="L77" s="531"/>
      <c r="M77" s="532"/>
      <c r="N77" s="2979"/>
      <c r="O77" s="2979"/>
      <c r="P77" s="2992"/>
      <c r="Q77" s="2965"/>
      <c r="R77" s="2951"/>
      <c r="S77" s="2951"/>
      <c r="T77" s="2951"/>
      <c r="U77" s="2951"/>
      <c r="V77" s="2951"/>
      <c r="W77" s="2951"/>
      <c r="X77" s="2951"/>
      <c r="Y77" s="2951"/>
      <c r="Z77" s="2951"/>
      <c r="AA77" s="2951"/>
      <c r="AB77" s="2951"/>
      <c r="AC77" s="2951"/>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0"/>
      <c r="O78" s="2980"/>
      <c r="P78" s="2988"/>
      <c r="Q78" s="2965"/>
      <c r="R78" s="2951"/>
      <c r="S78" s="2951"/>
      <c r="T78" s="2951"/>
      <c r="U78" s="2951"/>
      <c r="V78" s="2951"/>
      <c r="W78" s="2951"/>
      <c r="X78" s="2951"/>
      <c r="Y78" s="2951"/>
      <c r="Z78" s="2951"/>
      <c r="AA78" s="2951"/>
      <c r="AB78" s="2951"/>
      <c r="AC78" s="2951"/>
    </row>
    <row r="79" spans="1:29" ht="15.75" thickTop="1">
      <c r="A79" s="490"/>
      <c r="B79" s="494" t="s">
        <v>2421</v>
      </c>
      <c r="C79" s="534" t="s">
        <v>2416</v>
      </c>
      <c r="D79" s="534" t="s">
        <v>2417</v>
      </c>
      <c r="E79" s="534" t="s">
        <v>2418</v>
      </c>
      <c r="F79" s="534" t="s">
        <v>2419</v>
      </c>
      <c r="G79" s="534" t="s">
        <v>2420</v>
      </c>
      <c r="H79" s="495"/>
      <c r="I79" s="495"/>
      <c r="J79" s="495"/>
      <c r="K79" s="496"/>
      <c r="L79" s="497"/>
      <c r="M79" s="498"/>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0"/>
      <c r="O80" s="2980"/>
      <c r="P80" s="2988"/>
      <c r="Q80" s="2965"/>
      <c r="R80" s="2951"/>
      <c r="S80" s="2951"/>
      <c r="T80" s="2951"/>
      <c r="U80" s="2951"/>
      <c r="V80" s="2951"/>
      <c r="W80" s="2951"/>
      <c r="X80" s="2951"/>
      <c r="Y80" s="2951"/>
      <c r="Z80" s="2951"/>
      <c r="AA80" s="2951"/>
      <c r="AB80" s="2951"/>
      <c r="AC80" s="2951"/>
    </row>
    <row r="81" spans="1:29" ht="15.75" thickTop="1">
      <c r="A81" s="490"/>
      <c r="B81" s="494" t="s">
        <v>2422</v>
      </c>
      <c r="C81" s="534" t="s">
        <v>2416</v>
      </c>
      <c r="D81" s="534" t="s">
        <v>2417</v>
      </c>
      <c r="E81" s="534" t="s">
        <v>2418</v>
      </c>
      <c r="F81" s="534" t="s">
        <v>2419</v>
      </c>
      <c r="G81" s="534" t="s">
        <v>2420</v>
      </c>
      <c r="H81" s="495"/>
      <c r="I81" s="495"/>
      <c r="J81" s="495"/>
      <c r="K81" s="496"/>
      <c r="L81" s="497"/>
      <c r="M81" s="498"/>
      <c r="N81" s="2979"/>
      <c r="O81" s="2979"/>
      <c r="P81" s="2988"/>
      <c r="Q81" s="2965"/>
      <c r="R81" s="2951"/>
      <c r="S81" s="2951"/>
      <c r="T81" s="2951"/>
      <c r="U81" s="2951"/>
      <c r="V81" s="2951"/>
      <c r="W81" s="2951"/>
      <c r="X81" s="2951"/>
      <c r="Y81" s="2951"/>
      <c r="Z81" s="2951"/>
      <c r="AA81" s="2951"/>
      <c r="AB81" s="2951"/>
      <c r="AC81" s="2951"/>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0"/>
      <c r="O82" s="2980"/>
      <c r="P82" s="2988"/>
      <c r="Q82" s="2965"/>
      <c r="R82" s="2951"/>
      <c r="S82" s="2951"/>
      <c r="T82" s="2951"/>
      <c r="U82" s="2951"/>
      <c r="V82" s="2951"/>
      <c r="W82" s="2951"/>
      <c r="X82" s="2951"/>
      <c r="Y82" s="2951"/>
      <c r="Z82" s="2951"/>
      <c r="AA82" s="2951"/>
      <c r="AB82" s="2951"/>
      <c r="AC82" s="2951"/>
    </row>
    <row r="83" spans="1:29" ht="15.75" thickTop="1">
      <c r="A83" s="490"/>
      <c r="B83" s="502" t="s">
        <v>2508</v>
      </c>
      <c r="C83" s="615" t="s">
        <v>2494</v>
      </c>
      <c r="D83" s="615" t="s">
        <v>2495</v>
      </c>
      <c r="E83" s="615" t="s">
        <v>2496</v>
      </c>
      <c r="F83" s="615" t="s">
        <v>2497</v>
      </c>
      <c r="G83" s="615" t="s">
        <v>2498</v>
      </c>
      <c r="H83" s="495"/>
      <c r="I83" s="495"/>
      <c r="J83" s="495"/>
      <c r="K83" s="495"/>
      <c r="L83" s="495"/>
      <c r="M83" s="1290"/>
      <c r="N83" s="2980"/>
      <c r="O83" s="2980"/>
      <c r="P83" s="2988"/>
      <c r="Q83" s="2965"/>
      <c r="R83" s="2951"/>
      <c r="S83" s="2951"/>
      <c r="T83" s="2951"/>
      <c r="U83" s="2951"/>
      <c r="V83" s="2951"/>
      <c r="W83" s="2951"/>
      <c r="X83" s="2951"/>
      <c r="Y83" s="2951"/>
      <c r="Z83" s="2951"/>
      <c r="AA83" s="2951"/>
      <c r="AB83" s="2951"/>
      <c r="AC83" s="2951"/>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0"/>
      <c r="O84" s="2980"/>
      <c r="P84" s="2988"/>
      <c r="Q84" s="2965"/>
      <c r="R84" s="2951"/>
      <c r="S84" s="2951"/>
      <c r="T84" s="2951"/>
      <c r="U84" s="2951"/>
      <c r="V84" s="2951"/>
      <c r="W84" s="2951"/>
      <c r="X84" s="2951"/>
      <c r="Y84" s="2951"/>
      <c r="Z84" s="2951"/>
      <c r="AA84" s="2951"/>
      <c r="AB84" s="2951"/>
      <c r="AC84" s="2951"/>
    </row>
    <row r="85" spans="1:29" ht="15.75" thickTop="1">
      <c r="A85" s="490"/>
      <c r="B85" s="494" t="s">
        <v>2517</v>
      </c>
      <c r="C85" s="534" t="s">
        <v>2416</v>
      </c>
      <c r="D85" s="534" t="s">
        <v>2417</v>
      </c>
      <c r="E85" s="534" t="s">
        <v>2418</v>
      </c>
      <c r="F85" s="534" t="s">
        <v>2419</v>
      </c>
      <c r="G85" s="534" t="s">
        <v>2420</v>
      </c>
      <c r="H85" s="495"/>
      <c r="I85" s="495"/>
      <c r="J85" s="495"/>
      <c r="K85" s="496"/>
      <c r="L85" s="497"/>
      <c r="M85" s="498"/>
      <c r="N85" s="2979"/>
      <c r="O85" s="2979"/>
      <c r="P85" s="2988"/>
      <c r="Q85" s="2965"/>
      <c r="R85" s="2951"/>
      <c r="S85" s="2951"/>
      <c r="T85" s="2951"/>
      <c r="U85" s="2951"/>
      <c r="V85" s="2951"/>
      <c r="W85" s="2951"/>
      <c r="X85" s="2951"/>
      <c r="Y85" s="2951"/>
      <c r="Z85" s="2951"/>
      <c r="AA85" s="2951"/>
      <c r="AB85" s="2951"/>
      <c r="AC85" s="2951"/>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0"/>
      <c r="O86" s="2980"/>
      <c r="P86" s="2988"/>
      <c r="Q86" s="2965"/>
      <c r="R86" s="2951"/>
      <c r="S86" s="2951"/>
      <c r="T86" s="2951"/>
      <c r="U86" s="2951"/>
      <c r="V86" s="2951"/>
      <c r="W86" s="2951"/>
      <c r="X86" s="2951"/>
      <c r="Y86" s="2951"/>
      <c r="Z86" s="2951"/>
      <c r="AA86" s="2951"/>
      <c r="AB86" s="2951"/>
      <c r="AC86" s="2951"/>
    </row>
    <row r="87" spans="1:29" s="112" customFormat="1" ht="27.75" thickTop="1">
      <c r="A87" s="535"/>
      <c r="B87" s="494" t="s">
        <v>2518</v>
      </c>
      <c r="C87" s="510"/>
      <c r="D87" s="510"/>
      <c r="E87" s="510"/>
      <c r="F87" s="510"/>
      <c r="G87" s="510"/>
      <c r="H87" s="510"/>
      <c r="I87" s="510"/>
      <c r="J87" s="510"/>
      <c r="K87" s="510"/>
      <c r="L87" s="536"/>
      <c r="M87" s="537"/>
      <c r="N87" s="2978"/>
      <c r="O87" s="2978"/>
      <c r="P87" s="2988"/>
      <c r="Q87" s="2965"/>
      <c r="R87" s="2885"/>
      <c r="S87" s="2885"/>
      <c r="T87" s="2885"/>
      <c r="U87" s="2885"/>
      <c r="V87" s="2885"/>
      <c r="W87" s="2885"/>
      <c r="X87" s="2885"/>
      <c r="Y87" s="2885"/>
      <c r="Z87" s="2885"/>
      <c r="AA87" s="2885"/>
      <c r="AB87" s="2885"/>
      <c r="AC87" s="2885"/>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0"/>
      <c r="O88" s="2980"/>
      <c r="P88" s="2988"/>
      <c r="Q88" s="2965"/>
      <c r="R88" s="2885"/>
      <c r="S88" s="2885"/>
      <c r="T88" s="2885"/>
      <c r="U88" s="2885"/>
      <c r="V88" s="2885"/>
      <c r="W88" s="2885"/>
      <c r="X88" s="2885"/>
      <c r="Y88" s="2885"/>
      <c r="Z88" s="2885"/>
      <c r="AA88" s="2885"/>
      <c r="AB88" s="2885"/>
      <c r="AC88" s="2885"/>
    </row>
    <row r="89" spans="1:29" s="112" customFormat="1" ht="15.75" thickTop="1">
      <c r="A89" s="535"/>
      <c r="B89" s="494" t="str">
        <f>B27</f>
        <v>楼层</v>
      </c>
      <c r="C89" s="510"/>
      <c r="D89" s="510"/>
      <c r="E89" s="510"/>
      <c r="F89" s="2110"/>
      <c r="G89" s="510"/>
      <c r="H89" s="510"/>
      <c r="I89" s="510"/>
      <c r="J89" s="510"/>
      <c r="K89" s="510"/>
      <c r="L89" s="510"/>
      <c r="M89" s="537"/>
      <c r="N89" s="2978"/>
      <c r="O89" s="2978"/>
      <c r="P89" s="2988"/>
      <c r="Q89" s="2965"/>
      <c r="R89" s="2885"/>
      <c r="S89" s="2885"/>
      <c r="T89" s="2885"/>
      <c r="U89" s="2885"/>
      <c r="V89" s="2885"/>
      <c r="W89" s="2885"/>
      <c r="X89" s="2885"/>
      <c r="Y89" s="2885"/>
      <c r="Z89" s="2885"/>
      <c r="AA89" s="2885"/>
      <c r="AB89" s="2885"/>
      <c r="AC89" s="2885"/>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0"/>
      <c r="O90" s="2980"/>
      <c r="P90" s="2988"/>
      <c r="Q90" s="2965"/>
      <c r="R90" s="2885"/>
      <c r="S90" s="2885"/>
      <c r="T90" s="2885"/>
      <c r="U90" s="2885"/>
      <c r="V90" s="2885"/>
      <c r="W90" s="2885"/>
      <c r="X90" s="2885"/>
      <c r="Y90" s="2885"/>
      <c r="Z90" s="2885"/>
      <c r="AA90" s="2885"/>
      <c r="AB90" s="2885"/>
      <c r="AC90" s="2885"/>
    </row>
    <row r="91" spans="1:29" s="429" customFormat="1" ht="15.75" thickTop="1">
      <c r="A91" s="509"/>
      <c r="B91" s="494" t="str">
        <f>B28</f>
        <v>朝向</v>
      </c>
      <c r="C91" s="510"/>
      <c r="D91" s="510"/>
      <c r="E91" s="510"/>
      <c r="F91" s="510"/>
      <c r="G91" s="510"/>
      <c r="H91" s="511"/>
      <c r="I91" s="511"/>
      <c r="J91" s="511"/>
      <c r="K91" s="511"/>
      <c r="L91" s="512"/>
      <c r="M91" s="513"/>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0"/>
      <c r="B93" s="494">
        <f>B29</f>
        <v>111</v>
      </c>
      <c r="C93" s="510"/>
      <c r="D93" s="510"/>
      <c r="E93" s="510"/>
      <c r="F93" s="510"/>
      <c r="G93" s="510"/>
      <c r="H93" s="510"/>
      <c r="I93" s="510"/>
      <c r="J93" s="510"/>
      <c r="K93" s="510"/>
      <c r="L93" s="536"/>
      <c r="M93" s="537"/>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16"/>
      <c r="D94" s="492"/>
      <c r="E94" s="492"/>
      <c r="F94" s="492"/>
      <c r="G94" s="492"/>
      <c r="H94" s="492"/>
      <c r="I94" s="492"/>
      <c r="J94" s="492"/>
      <c r="K94" s="492"/>
      <c r="L94" s="492"/>
      <c r="M94" s="493"/>
      <c r="N94" s="2980"/>
      <c r="O94" s="2980"/>
      <c r="P94" s="2988"/>
      <c r="Q94" s="2965"/>
      <c r="R94" s="2951"/>
      <c r="S94" s="2951"/>
      <c r="T94" s="2951"/>
      <c r="U94" s="2951"/>
      <c r="V94" s="2951"/>
      <c r="W94" s="2951"/>
      <c r="X94" s="2951"/>
      <c r="Y94" s="2951"/>
      <c r="Z94" s="2951"/>
      <c r="AA94" s="2951"/>
      <c r="AB94" s="2951"/>
      <c r="AC94" s="2951"/>
    </row>
    <row r="95" spans="1:29" ht="15.75" thickTop="1">
      <c r="A95" s="490"/>
      <c r="B95" s="494">
        <f>B30</f>
        <v>111</v>
      </c>
      <c r="C95" s="510"/>
      <c r="D95" s="510"/>
      <c r="E95" s="510"/>
      <c r="F95" s="510"/>
      <c r="G95" s="539"/>
      <c r="H95" s="539"/>
      <c r="I95" s="539"/>
      <c r="J95" s="539"/>
      <c r="K95" s="540"/>
      <c r="L95" s="541"/>
      <c r="M95" s="542"/>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16"/>
      <c r="D96" s="516"/>
      <c r="E96" s="516"/>
      <c r="F96" s="516"/>
      <c r="G96" s="492"/>
      <c r="H96" s="492"/>
      <c r="I96" s="492"/>
      <c r="J96" s="492"/>
      <c r="K96" s="492"/>
      <c r="L96" s="492"/>
      <c r="M96" s="493"/>
      <c r="N96" s="2980"/>
      <c r="O96" s="2980"/>
      <c r="P96" s="2988"/>
      <c r="Q96" s="2965"/>
      <c r="R96" s="2951"/>
      <c r="S96" s="2951"/>
      <c r="T96" s="2951"/>
      <c r="U96" s="2951"/>
      <c r="V96" s="2951"/>
      <c r="W96" s="2951"/>
      <c r="X96" s="2951"/>
      <c r="Y96" s="2951"/>
      <c r="Z96" s="2951"/>
      <c r="AA96" s="2951"/>
      <c r="AB96" s="2951"/>
      <c r="AC96" s="2951"/>
    </row>
    <row r="97" spans="1:29" ht="15.75" thickTop="1">
      <c r="A97" s="490"/>
      <c r="B97" s="494">
        <f>B31</f>
        <v>111</v>
      </c>
      <c r="C97" s="510"/>
      <c r="D97" s="510"/>
      <c r="E97" s="510"/>
      <c r="F97" s="510"/>
      <c r="G97" s="539"/>
      <c r="H97" s="539"/>
      <c r="I97" s="539"/>
      <c r="J97" s="539"/>
      <c r="K97" s="540"/>
      <c r="L97" s="541"/>
      <c r="M97" s="542"/>
      <c r="N97" s="2979"/>
      <c r="O97" s="2979"/>
      <c r="P97" s="2988"/>
      <c r="Q97" s="2965"/>
      <c r="R97" s="2951"/>
      <c r="S97" s="2951"/>
      <c r="T97" s="2951"/>
      <c r="U97" s="2951"/>
      <c r="V97" s="2951"/>
      <c r="W97" s="2951"/>
      <c r="X97" s="2951"/>
      <c r="Y97" s="2951"/>
      <c r="Z97" s="2951"/>
      <c r="AA97" s="2951"/>
      <c r="AB97" s="2951"/>
      <c r="AC97" s="2951"/>
    </row>
    <row r="98" spans="1:29" ht="15.75" thickBot="1">
      <c r="A98" s="490"/>
      <c r="B98" s="499"/>
      <c r="C98" s="516"/>
      <c r="D98" s="492"/>
      <c r="E98" s="492"/>
      <c r="F98" s="492"/>
      <c r="G98" s="492"/>
      <c r="H98" s="492"/>
      <c r="I98" s="492"/>
      <c r="J98" s="492"/>
      <c r="K98" s="492"/>
      <c r="L98" s="492"/>
      <c r="M98" s="493"/>
      <c r="N98" s="2980"/>
      <c r="O98" s="2980"/>
      <c r="P98" s="2988"/>
      <c r="Q98" s="2965"/>
      <c r="R98" s="2951"/>
      <c r="S98" s="2951"/>
      <c r="T98" s="2951"/>
      <c r="U98" s="2951"/>
      <c r="V98" s="2951"/>
      <c r="W98" s="2951"/>
      <c r="X98" s="2951"/>
      <c r="Y98" s="2951"/>
      <c r="Z98" s="2951"/>
      <c r="AA98" s="2951"/>
      <c r="AB98" s="2951"/>
      <c r="AC98" s="2951"/>
    </row>
    <row r="99" spans="1:29" ht="15.75" thickTop="1">
      <c r="A99" s="490"/>
      <c r="B99" s="502">
        <f>B32</f>
        <v>111</v>
      </c>
      <c r="C99" s="479"/>
      <c r="D99" s="479"/>
      <c r="E99" s="479"/>
      <c r="F99" s="479"/>
      <c r="G99" s="543"/>
      <c r="H99" s="543"/>
      <c r="I99" s="543"/>
      <c r="J99" s="543"/>
      <c r="K99" s="544"/>
      <c r="L99" s="545"/>
      <c r="M99" s="546"/>
      <c r="N99" s="2979"/>
      <c r="O99" s="2979"/>
      <c r="P99" s="2988"/>
      <c r="Q99" s="2965"/>
      <c r="R99" s="2951"/>
      <c r="S99" s="2951"/>
      <c r="T99" s="2951"/>
      <c r="U99" s="2951"/>
      <c r="V99" s="2951"/>
      <c r="W99" s="2951"/>
      <c r="X99" s="2951"/>
      <c r="Y99" s="2951"/>
      <c r="Z99" s="2951"/>
      <c r="AA99" s="2951"/>
      <c r="AB99" s="2951"/>
      <c r="AC99" s="2951"/>
    </row>
    <row r="100" spans="1:29" ht="15.75" thickBot="1">
      <c r="A100" s="2111"/>
      <c r="B100" s="525"/>
      <c r="C100" s="526"/>
      <c r="D100" s="526"/>
      <c r="E100" s="526"/>
      <c r="F100" s="526"/>
      <c r="G100" s="547"/>
      <c r="H100" s="547"/>
      <c r="I100" s="547"/>
      <c r="J100" s="547"/>
      <c r="K100" s="547"/>
      <c r="L100" s="547"/>
      <c r="M100" s="548"/>
      <c r="N100" s="2980"/>
      <c r="O100" s="2980"/>
      <c r="P100" s="2988"/>
      <c r="Q100" s="2965"/>
      <c r="R100" s="2951"/>
      <c r="S100" s="2951"/>
      <c r="T100" s="2951"/>
      <c r="U100" s="2951"/>
      <c r="V100" s="2951"/>
      <c r="W100" s="2951"/>
      <c r="X100" s="2951"/>
      <c r="Y100" s="2951"/>
      <c r="Z100" s="2951"/>
      <c r="AA100" s="2951"/>
      <c r="AB100" s="2951"/>
      <c r="AC100" s="2951"/>
    </row>
    <row r="101" spans="1:29">
      <c r="A101" s="483" t="s">
        <v>2382</v>
      </c>
      <c r="B101" s="484" t="s">
        <v>2431</v>
      </c>
      <c r="C101" s="486"/>
      <c r="D101" s="486"/>
      <c r="E101" s="486"/>
      <c r="F101" s="486"/>
      <c r="G101" s="486"/>
      <c r="H101" s="486"/>
      <c r="I101" s="486"/>
      <c r="J101" s="486"/>
      <c r="K101" s="487"/>
      <c r="L101" s="488"/>
      <c r="M101" s="489"/>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0"/>
      <c r="B103" s="494" t="s">
        <v>2432</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29" customFormat="1">
      <c r="A104" s="549"/>
      <c r="B104" s="550"/>
      <c r="C104" s="551"/>
      <c r="D104" s="551"/>
      <c r="E104" s="551"/>
      <c r="F104" s="551"/>
      <c r="G104" s="551"/>
      <c r="H104" s="551"/>
      <c r="I104" s="551"/>
      <c r="J104" s="552"/>
      <c r="K104" s="552"/>
      <c r="L104" s="553"/>
      <c r="M104" s="554"/>
      <c r="N104" s="2981"/>
      <c r="O104" s="2981"/>
      <c r="P104" s="2989"/>
      <c r="Q104" s="2972"/>
      <c r="R104" s="2973"/>
      <c r="S104" s="2973"/>
      <c r="T104" s="2973"/>
      <c r="U104" s="2973"/>
      <c r="V104" s="2973"/>
      <c r="W104" s="2973"/>
      <c r="X104" s="2973"/>
      <c r="Y104" s="2973"/>
      <c r="Z104" s="2973"/>
      <c r="AA104" s="2973"/>
      <c r="AB104" s="2973"/>
      <c r="AC104" s="2973"/>
    </row>
    <row r="105" spans="1:29" s="429" customFormat="1" ht="15.75" thickBot="1">
      <c r="A105" s="509"/>
      <c r="B105" s="499"/>
      <c r="C105" s="516"/>
      <c r="D105" s="492"/>
      <c r="E105" s="492"/>
      <c r="F105" s="492"/>
      <c r="G105" s="492"/>
      <c r="H105" s="492"/>
      <c r="I105" s="492"/>
      <c r="J105" s="492"/>
      <c r="K105" s="492"/>
      <c r="L105" s="492"/>
      <c r="M105" s="493"/>
      <c r="N105" s="2980"/>
      <c r="O105" s="2980"/>
      <c r="P105" s="2989"/>
      <c r="Q105" s="2972"/>
      <c r="R105" s="2973"/>
      <c r="S105" s="2973"/>
      <c r="T105" s="2973"/>
      <c r="U105" s="2973"/>
      <c r="V105" s="2973"/>
      <c r="W105" s="2973"/>
      <c r="X105" s="2973"/>
      <c r="Y105" s="2973"/>
      <c r="Z105" s="2973"/>
      <c r="AA105" s="2973"/>
      <c r="AB105" s="2973"/>
      <c r="AC105" s="2973"/>
    </row>
    <row r="106" spans="1:29" ht="15" thickTop="1">
      <c r="A106" s="555"/>
      <c r="B106" s="494" t="s">
        <v>2433</v>
      </c>
      <c r="C106" s="510"/>
      <c r="D106" s="510"/>
      <c r="E106" s="539"/>
      <c r="F106" s="539"/>
      <c r="G106" s="539"/>
      <c r="H106" s="539"/>
      <c r="I106" s="539"/>
      <c r="J106" s="539"/>
      <c r="K106" s="540"/>
      <c r="L106" s="541"/>
      <c r="M106" s="542"/>
      <c r="N106" s="2979"/>
      <c r="O106" s="2979"/>
      <c r="P106" s="2988"/>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5"/>
      <c r="B108" s="494" t="s">
        <v>2435</v>
      </c>
      <c r="C108" s="510"/>
      <c r="D108" s="510"/>
      <c r="E108" s="510"/>
      <c r="F108" s="539"/>
      <c r="G108" s="539"/>
      <c r="H108" s="539"/>
      <c r="I108" s="539"/>
      <c r="J108" s="539"/>
      <c r="K108" s="540"/>
      <c r="L108" s="541"/>
      <c r="M108" s="542"/>
      <c r="N108" s="2979"/>
      <c r="O108" s="2979"/>
      <c r="P108" s="2988"/>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5"/>
      <c r="B110" s="494" t="s">
        <v>1877</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9"/>
      <c r="O110" s="2979"/>
      <c r="P110" s="2988"/>
      <c r="Q110" s="2965"/>
      <c r="R110" s="2951"/>
      <c r="S110" s="2951"/>
      <c r="T110" s="2951"/>
      <c r="U110" s="2951"/>
      <c r="V110" s="2951"/>
      <c r="W110" s="2951"/>
      <c r="X110" s="2951"/>
      <c r="Y110" s="2951"/>
      <c r="Z110" s="2951"/>
      <c r="AA110" s="2951"/>
      <c r="AB110" s="2951"/>
      <c r="AC110" s="2951"/>
    </row>
    <row r="111" spans="1:29">
      <c r="A111" s="555"/>
      <c r="B111" s="502"/>
      <c r="C111" s="559">
        <v>0.5</v>
      </c>
      <c r="D111" s="559">
        <v>0.6</v>
      </c>
      <c r="E111" s="559">
        <v>0.7</v>
      </c>
      <c r="F111" s="559">
        <v>0.8</v>
      </c>
      <c r="G111" s="559">
        <v>0.9</v>
      </c>
      <c r="H111" s="559">
        <v>1.0001</v>
      </c>
      <c r="I111" s="578"/>
      <c r="J111" s="578"/>
      <c r="K111" s="579"/>
      <c r="L111" s="580"/>
      <c r="M111" s="581"/>
      <c r="N111" s="2979"/>
      <c r="O111" s="2979"/>
      <c r="P111" s="2988"/>
      <c r="Q111" s="2965"/>
      <c r="R111" s="2951"/>
      <c r="S111" s="2951"/>
      <c r="T111" s="2951"/>
      <c r="U111" s="2951"/>
      <c r="V111" s="2951"/>
      <c r="W111" s="2951"/>
      <c r="X111" s="2951"/>
      <c r="Y111" s="2951"/>
      <c r="Z111" s="2951"/>
      <c r="AA111" s="2951"/>
      <c r="AB111" s="2951"/>
      <c r="AC111" s="2951"/>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0"/>
      <c r="O112" s="2980"/>
      <c r="P112" s="2988"/>
      <c r="Q112" s="2965"/>
      <c r="R112" s="2951"/>
      <c r="S112" s="2951"/>
      <c r="T112" s="2951"/>
      <c r="U112" s="2951"/>
      <c r="V112" s="2951"/>
      <c r="W112" s="2951"/>
      <c r="X112" s="2951"/>
      <c r="Y112" s="2951"/>
      <c r="Z112" s="2951"/>
      <c r="AA112" s="2951"/>
      <c r="AB112" s="2951"/>
      <c r="AC112" s="2951"/>
    </row>
    <row r="113" spans="1:29" s="429" customFormat="1" ht="15" thickTop="1">
      <c r="A113" s="549"/>
      <c r="B113" s="494" t="s">
        <v>2519</v>
      </c>
      <c r="C113" s="510"/>
      <c r="D113" s="510"/>
      <c r="E113" s="510"/>
      <c r="F113" s="510"/>
      <c r="G113" s="510"/>
      <c r="H113" s="539"/>
      <c r="I113" s="539"/>
      <c r="J113" s="539"/>
      <c r="K113" s="540"/>
      <c r="L113" s="541"/>
      <c r="M113" s="542"/>
      <c r="N113" s="2981"/>
      <c r="O113" s="2981"/>
      <c r="P113" s="2989"/>
      <c r="Q113" s="2972"/>
      <c r="R113" s="2973"/>
      <c r="S113" s="2973"/>
      <c r="T113" s="2973"/>
      <c r="U113" s="2973"/>
      <c r="V113" s="2973"/>
      <c r="W113" s="2973"/>
      <c r="X113" s="2973"/>
      <c r="Y113" s="2973"/>
      <c r="Z113" s="2973"/>
      <c r="AA113" s="2973"/>
      <c r="AB113" s="2973"/>
      <c r="AC113" s="2973"/>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5"/>
      <c r="B115" s="494" t="s">
        <v>2436</v>
      </c>
      <c r="C115" s="510"/>
      <c r="D115" s="510"/>
      <c r="E115" s="539"/>
      <c r="F115" s="539"/>
      <c r="G115" s="539"/>
      <c r="H115" s="539"/>
      <c r="I115" s="539"/>
      <c r="J115" s="539"/>
      <c r="K115" s="540"/>
      <c r="L115" s="541"/>
      <c r="M115" s="542"/>
      <c r="N115" s="2979"/>
      <c r="O115" s="2979"/>
      <c r="P115" s="2988"/>
      <c r="Q115" s="2965"/>
      <c r="R115" s="2951"/>
      <c r="S115" s="2951"/>
      <c r="T115" s="2951"/>
      <c r="U115" s="2951"/>
      <c r="V115" s="2951"/>
      <c r="W115" s="2951"/>
      <c r="X115" s="2951"/>
      <c r="Y115" s="2951"/>
      <c r="Z115" s="2951"/>
      <c r="AA115" s="2951"/>
      <c r="AB115" s="2951"/>
      <c r="AC115" s="2951"/>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5"/>
      <c r="B117" s="494" t="s">
        <v>2437</v>
      </c>
      <c r="C117" s="510"/>
      <c r="D117" s="510"/>
      <c r="E117" s="510"/>
      <c r="F117" s="510"/>
      <c r="G117" s="510"/>
      <c r="H117" s="539"/>
      <c r="I117" s="539"/>
      <c r="J117" s="539"/>
      <c r="K117" s="540"/>
      <c r="L117" s="541"/>
      <c r="M117" s="542"/>
      <c r="N117" s="2979"/>
      <c r="O117" s="2979"/>
      <c r="P117" s="2988"/>
      <c r="Q117" s="2965"/>
      <c r="R117" s="2951"/>
      <c r="S117" s="2951"/>
      <c r="T117" s="2951"/>
      <c r="U117" s="2951"/>
      <c r="V117" s="2951"/>
      <c r="W117" s="2951"/>
      <c r="X117" s="2951"/>
      <c r="Y117" s="2951"/>
      <c r="Z117" s="2951"/>
      <c r="AA117" s="2951"/>
      <c r="AB117" s="2951"/>
      <c r="AC117" s="2951"/>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0"/>
      <c r="O118" s="2980"/>
      <c r="P118" s="2988"/>
      <c r="Q118" s="2965"/>
      <c r="R118" s="2951"/>
      <c r="S118" s="2951"/>
      <c r="T118" s="2951"/>
      <c r="U118" s="2951"/>
      <c r="V118" s="2951"/>
      <c r="W118" s="2951"/>
      <c r="X118" s="2951"/>
      <c r="Y118" s="2951"/>
      <c r="Z118" s="2951"/>
      <c r="AA118" s="2951"/>
      <c r="AB118" s="2951"/>
      <c r="AC118" s="2951"/>
    </row>
    <row r="119" spans="1:29" ht="15" thickTop="1">
      <c r="A119" s="555"/>
      <c r="B119" s="591" t="s">
        <v>2520</v>
      </c>
      <c r="C119" s="539"/>
      <c r="D119" s="539"/>
      <c r="E119" s="539"/>
      <c r="F119" s="539"/>
      <c r="G119" s="539"/>
      <c r="H119" s="539"/>
      <c r="I119" s="539"/>
      <c r="J119" s="539"/>
      <c r="K119" s="539"/>
      <c r="L119" s="2151"/>
      <c r="M119" s="2152"/>
      <c r="N119" s="2980"/>
      <c r="O119" s="2980"/>
      <c r="P119" s="2993"/>
      <c r="Q119" s="2994"/>
      <c r="R119" s="2951"/>
      <c r="S119" s="2951"/>
      <c r="T119" s="2951"/>
      <c r="U119" s="2951"/>
      <c r="V119" s="2951"/>
      <c r="W119" s="2951"/>
      <c r="X119" s="2951"/>
      <c r="Y119" s="2951"/>
      <c r="Z119" s="2951"/>
      <c r="AA119" s="2951"/>
      <c r="AB119" s="2951"/>
      <c r="AC119" s="2951"/>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0"/>
      <c r="O120" s="2980"/>
      <c r="P120" s="2988"/>
      <c r="Q120" s="2965"/>
      <c r="R120" s="2951"/>
      <c r="S120" s="2951"/>
      <c r="T120" s="2951"/>
      <c r="U120" s="2951"/>
      <c r="V120" s="2951"/>
      <c r="W120" s="2951"/>
      <c r="X120" s="2951"/>
      <c r="Y120" s="2951"/>
      <c r="Z120" s="2951"/>
      <c r="AA120" s="2951"/>
      <c r="AB120" s="2951"/>
      <c r="AC120" s="2951"/>
    </row>
    <row r="121" spans="1:29" s="429" customFormat="1" ht="15" thickTop="1">
      <c r="A121" s="549"/>
      <c r="B121" s="494" t="s">
        <v>2503</v>
      </c>
      <c r="C121" s="510"/>
      <c r="D121" s="510"/>
      <c r="E121" s="510"/>
      <c r="F121" s="539"/>
      <c r="G121" s="511"/>
      <c r="H121" s="511"/>
      <c r="I121" s="511"/>
      <c r="J121" s="511"/>
      <c r="K121" s="511"/>
      <c r="L121" s="512"/>
      <c r="M121" s="513"/>
      <c r="N121" s="2981"/>
      <c r="O121" s="2981"/>
      <c r="P121" s="2989"/>
      <c r="Q121" s="2972"/>
      <c r="R121" s="2973"/>
      <c r="S121" s="2973"/>
      <c r="T121" s="2973"/>
      <c r="U121" s="2973"/>
      <c r="V121" s="2973"/>
      <c r="W121" s="2973"/>
      <c r="X121" s="2973"/>
      <c r="Y121" s="2973"/>
      <c r="Z121" s="2973"/>
      <c r="AA121" s="2973"/>
      <c r="AB121" s="2973"/>
      <c r="AC121" s="2973"/>
    </row>
    <row r="122" spans="1:29" s="429" customFormat="1" ht="15.75" thickBot="1">
      <c r="A122" s="509"/>
      <c r="B122" s="491"/>
      <c r="C122" s="516"/>
      <c r="D122" s="516"/>
      <c r="E122" s="516"/>
      <c r="F122" s="516"/>
      <c r="G122" s="516"/>
      <c r="H122" s="516"/>
      <c r="I122" s="516"/>
      <c r="J122" s="516"/>
      <c r="K122" s="516"/>
      <c r="L122" s="516"/>
      <c r="M122" s="516"/>
      <c r="N122" s="2981"/>
      <c r="O122" s="2981"/>
      <c r="P122" s="2989"/>
      <c r="Q122" s="2972"/>
      <c r="R122" s="2973"/>
      <c r="S122" s="2973"/>
      <c r="T122" s="2973"/>
      <c r="U122" s="2973"/>
      <c r="V122" s="2973"/>
      <c r="W122" s="2973"/>
      <c r="X122" s="2973"/>
      <c r="Y122" s="2973"/>
      <c r="Z122" s="2973"/>
      <c r="AA122" s="2973"/>
      <c r="AB122" s="2973"/>
      <c r="AC122" s="2973"/>
    </row>
    <row r="123" spans="1:29" ht="15" thickTop="1">
      <c r="A123" s="555"/>
      <c r="B123" s="494" t="s">
        <v>2439</v>
      </c>
      <c r="C123" s="510"/>
      <c r="D123" s="510"/>
      <c r="E123" s="510"/>
      <c r="F123" s="539"/>
      <c r="G123" s="539"/>
      <c r="H123" s="539"/>
      <c r="I123" s="539"/>
      <c r="J123" s="539"/>
      <c r="K123" s="540"/>
      <c r="L123" s="541"/>
      <c r="M123" s="542"/>
      <c r="N123" s="2979"/>
      <c r="O123" s="2979"/>
      <c r="P123" s="2988"/>
      <c r="Q123" s="2965"/>
      <c r="R123" s="2951"/>
      <c r="S123" s="2951"/>
      <c r="T123" s="2951"/>
      <c r="U123" s="2951"/>
      <c r="V123" s="2951"/>
      <c r="W123" s="2951"/>
      <c r="X123" s="2951"/>
      <c r="Y123" s="2951"/>
      <c r="Z123" s="2951"/>
      <c r="AA123" s="2951"/>
      <c r="AB123" s="2951"/>
      <c r="AC123" s="2951"/>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5"/>
      <c r="B125" s="494" t="s">
        <v>2440</v>
      </c>
      <c r="C125" s="534" t="s">
        <v>2416</v>
      </c>
      <c r="D125" s="534" t="s">
        <v>2417</v>
      </c>
      <c r="E125" s="534" t="s">
        <v>2418</v>
      </c>
      <c r="F125" s="534" t="s">
        <v>2419</v>
      </c>
      <c r="G125" s="534" t="s">
        <v>2420</v>
      </c>
      <c r="H125" s="495"/>
      <c r="I125" s="495"/>
      <c r="J125" s="495"/>
      <c r="K125" s="496"/>
      <c r="L125" s="497"/>
      <c r="M125" s="498"/>
      <c r="N125" s="2979"/>
      <c r="O125" s="2979"/>
      <c r="P125" s="2989"/>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0"/>
      <c r="O126" s="2980"/>
      <c r="P126" s="2988"/>
      <c r="Q126" s="2965"/>
      <c r="R126" s="2951"/>
      <c r="S126" s="2951"/>
      <c r="T126" s="2951"/>
      <c r="U126" s="2951"/>
      <c r="V126" s="2951"/>
      <c r="W126" s="2951"/>
      <c r="X126" s="2951"/>
      <c r="Y126" s="2951"/>
      <c r="Z126" s="2951"/>
      <c r="AA126" s="2951"/>
      <c r="AB126" s="2951"/>
      <c r="AC126" s="2951"/>
    </row>
    <row r="127" spans="1:29" s="429" customFormat="1" ht="15" thickTop="1">
      <c r="A127" s="549"/>
      <c r="B127" s="494">
        <f>B45</f>
        <v>111</v>
      </c>
      <c r="C127" s="510"/>
      <c r="D127" s="510"/>
      <c r="E127" s="510"/>
      <c r="F127" s="510"/>
      <c r="G127" s="510"/>
      <c r="H127" s="511"/>
      <c r="I127" s="511"/>
      <c r="J127" s="511"/>
      <c r="K127" s="511"/>
      <c r="L127" s="512"/>
      <c r="M127" s="513"/>
      <c r="N127" s="2981"/>
      <c r="O127" s="2981"/>
      <c r="P127" s="2989"/>
      <c r="Q127" s="2972"/>
      <c r="R127" s="2973"/>
      <c r="S127" s="2973"/>
      <c r="T127" s="2973"/>
      <c r="U127" s="2973"/>
      <c r="V127" s="2973"/>
      <c r="W127" s="2973"/>
      <c r="X127" s="2973"/>
      <c r="Y127" s="2973"/>
      <c r="Z127" s="2973"/>
      <c r="AA127" s="2973"/>
      <c r="AB127" s="2973"/>
      <c r="AC127" s="2973"/>
    </row>
    <row r="128" spans="1:29" s="429" customFormat="1" ht="15.75" thickBot="1">
      <c r="A128" s="509"/>
      <c r="B128" s="499"/>
      <c r="C128" s="516"/>
      <c r="D128" s="492"/>
      <c r="E128" s="492"/>
      <c r="F128" s="492"/>
      <c r="G128" s="516"/>
      <c r="H128" s="518"/>
      <c r="I128" s="518"/>
      <c r="J128" s="518"/>
      <c r="K128" s="518"/>
      <c r="L128" s="518"/>
      <c r="M128" s="519"/>
      <c r="N128" s="2981"/>
      <c r="O128" s="2981"/>
      <c r="P128" s="2989"/>
      <c r="Q128" s="2972"/>
      <c r="R128" s="2973"/>
      <c r="S128" s="2973"/>
      <c r="T128" s="2973"/>
      <c r="U128" s="2973"/>
      <c r="V128" s="2973"/>
      <c r="W128" s="2973"/>
      <c r="X128" s="2973"/>
      <c r="Y128" s="2973"/>
      <c r="Z128" s="2973"/>
      <c r="AA128" s="2973"/>
      <c r="AB128" s="2973"/>
      <c r="AC128" s="2973"/>
    </row>
    <row r="129" spans="1:29" ht="15" thickTop="1">
      <c r="A129" s="555"/>
      <c r="B129" s="494">
        <f>B46</f>
        <v>111</v>
      </c>
      <c r="C129" s="510"/>
      <c r="D129" s="510"/>
      <c r="E129" s="510"/>
      <c r="F129" s="510"/>
      <c r="G129" s="539"/>
      <c r="H129" s="539"/>
      <c r="I129" s="539"/>
      <c r="J129" s="539"/>
      <c r="K129" s="540"/>
      <c r="L129" s="541"/>
      <c r="M129" s="542"/>
      <c r="N129" s="2979"/>
      <c r="O129" s="2979"/>
      <c r="P129" s="2988"/>
      <c r="Q129" s="2965"/>
      <c r="R129" s="2951"/>
      <c r="S129" s="2951"/>
      <c r="T129" s="2951"/>
      <c r="U129" s="2951"/>
      <c r="V129" s="2951"/>
      <c r="W129" s="2951"/>
      <c r="X129" s="2951"/>
      <c r="Y129" s="2951"/>
      <c r="Z129" s="2951"/>
      <c r="AA129" s="2951"/>
      <c r="AB129" s="2951"/>
      <c r="AC129" s="2951"/>
    </row>
    <row r="130" spans="1:29" ht="15.75" thickBot="1">
      <c r="A130" s="490"/>
      <c r="B130" s="499"/>
      <c r="C130" s="516"/>
      <c r="D130" s="516"/>
      <c r="E130" s="516"/>
      <c r="F130" s="516"/>
      <c r="G130" s="492"/>
      <c r="H130" s="492"/>
      <c r="I130" s="492"/>
      <c r="J130" s="492"/>
      <c r="K130" s="492"/>
      <c r="L130" s="492"/>
      <c r="M130" s="493"/>
      <c r="N130" s="2980"/>
      <c r="O130" s="2980"/>
      <c r="P130" s="2988"/>
      <c r="Q130" s="2965"/>
      <c r="R130" s="2951"/>
      <c r="S130" s="2951"/>
      <c r="T130" s="2951"/>
      <c r="U130" s="2951"/>
      <c r="V130" s="2951"/>
      <c r="W130" s="2951"/>
      <c r="X130" s="2951"/>
      <c r="Y130" s="2951"/>
      <c r="Z130" s="2951"/>
      <c r="AA130" s="2951"/>
      <c r="AB130" s="2951"/>
      <c r="AC130" s="2951"/>
    </row>
    <row r="131" spans="1:29" ht="15" thickTop="1">
      <c r="A131" s="555"/>
      <c r="B131" s="502">
        <f>B47</f>
        <v>111</v>
      </c>
      <c r="C131" s="479"/>
      <c r="D131" s="479"/>
      <c r="E131" s="479"/>
      <c r="F131" s="479"/>
      <c r="G131" s="543"/>
      <c r="H131" s="543"/>
      <c r="I131" s="543"/>
      <c r="J131" s="543"/>
      <c r="K131" s="479"/>
      <c r="L131" s="480"/>
      <c r="M131" s="546"/>
      <c r="N131" s="2979"/>
      <c r="O131" s="2979"/>
      <c r="P131" s="2988"/>
      <c r="Q131" s="2965"/>
      <c r="R131" s="2951"/>
      <c r="S131" s="2951"/>
      <c r="T131" s="2951"/>
      <c r="U131" s="2951"/>
      <c r="V131" s="2951"/>
      <c r="W131" s="2951"/>
      <c r="X131" s="2951"/>
      <c r="Y131" s="2951"/>
      <c r="Z131" s="2951"/>
      <c r="AA131" s="2951"/>
      <c r="AB131" s="2951"/>
      <c r="AC131" s="2951"/>
    </row>
    <row r="132" spans="1:29" ht="15.75" thickBot="1">
      <c r="A132" s="2111"/>
      <c r="B132" s="525"/>
      <c r="C132" s="526"/>
      <c r="D132" s="526"/>
      <c r="E132" s="526"/>
      <c r="F132" s="526"/>
      <c r="G132" s="547"/>
      <c r="H132" s="547"/>
      <c r="I132" s="547"/>
      <c r="J132" s="547"/>
      <c r="K132" s="547"/>
      <c r="L132" s="547"/>
      <c r="M132" s="548"/>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2347</v>
      </c>
      <c r="B1" s="2140" t="s">
        <v>2521</v>
      </c>
      <c r="C1" s="1391" t="s">
        <v>2349</v>
      </c>
      <c r="D1" s="1392"/>
      <c r="E1" s="1401"/>
      <c r="F1" s="2064"/>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IF(C2="——",ROUND(C43*D3/10000,0),ROUND(C43*D3/10000,0)-D2)</f>
        <v>#DIV/0!</v>
      </c>
      <c r="C2" s="2066"/>
      <c r="D2" s="1037" t="e">
        <f ca="1">SUMIF(INDIRECT("'"&amp;F2&amp;"'"&amp;"!A:A"),"承租人权益价值",INDIRECT("'"&amp;F2&amp;"'"&amp;"!c:c"))</f>
        <v>#REF!</v>
      </c>
      <c r="E2" s="2067" t="s">
        <v>2150</v>
      </c>
      <c r="F2" s="206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2151</v>
      </c>
      <c r="B3" s="565" t="e">
        <f ca="1">IF(C2="——",C43,ROUND(B2*10000/D3,0))</f>
        <v>#DIV/0!</v>
      </c>
      <c r="C3" s="359" t="s">
        <v>2463</v>
      </c>
      <c r="D3" s="358">
        <f>IF(D1="",'数据-汇总表'!E3,SUMIF('数据-汇总表'!$C19:$C33,D1,'数据-汇总表'!$E19:$E33))</f>
        <v>117964.09999999983</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2464</v>
      </c>
      <c r="B4" s="361"/>
      <c r="C4" s="3295" t="s">
        <v>2465</v>
      </c>
      <c r="D4" s="3308"/>
      <c r="E4" s="3309" t="s">
        <v>2466</v>
      </c>
      <c r="F4" s="3310"/>
      <c r="G4" s="3295" t="s">
        <v>2467</v>
      </c>
      <c r="H4" s="3308"/>
      <c r="I4" s="3295" t="s">
        <v>2468</v>
      </c>
      <c r="J4" s="3308"/>
      <c r="K4" s="566" t="s">
        <v>2469</v>
      </c>
      <c r="L4" s="1043"/>
      <c r="M4" s="1044"/>
      <c r="N4" s="1044"/>
      <c r="O4" s="1044"/>
      <c r="P4" s="3311" t="s">
        <v>2470</v>
      </c>
      <c r="Q4" s="3312"/>
      <c r="R4" s="3317" t="s">
        <v>2466</v>
      </c>
      <c r="S4" s="3318"/>
      <c r="T4" s="3317" t="s">
        <v>2467</v>
      </c>
      <c r="U4" s="3318"/>
      <c r="V4" s="3304" t="s">
        <v>2468</v>
      </c>
      <c r="W4" s="3304"/>
      <c r="X4" s="1538"/>
      <c r="Y4" s="3317" t="s">
        <v>2470</v>
      </c>
      <c r="Z4" s="3318"/>
      <c r="AA4" s="3305" t="s">
        <v>2466</v>
      </c>
      <c r="AB4" s="3306" t="s">
        <v>2467</v>
      </c>
      <c r="AC4" s="3305" t="s">
        <v>2468</v>
      </c>
    </row>
    <row r="5" spans="1:29" ht="15">
      <c r="A5" s="363"/>
      <c r="B5" s="364"/>
      <c r="C5" s="3325" t="s">
        <v>2361</v>
      </c>
      <c r="D5" s="3326"/>
      <c r="E5" s="3332" t="s">
        <v>2362</v>
      </c>
      <c r="F5" s="3333"/>
      <c r="G5" s="3325" t="s">
        <v>2363</v>
      </c>
      <c r="H5" s="3326"/>
      <c r="I5" s="3325" t="s">
        <v>2364</v>
      </c>
      <c r="J5" s="3326"/>
      <c r="K5" s="566"/>
      <c r="L5" s="1043"/>
      <c r="M5" s="1044"/>
      <c r="N5" s="1044"/>
      <c r="O5" s="1044"/>
      <c r="P5" s="3313"/>
      <c r="Q5" s="3314"/>
      <c r="R5" s="3319"/>
      <c r="S5" s="3320"/>
      <c r="T5" s="3319"/>
      <c r="U5" s="3320"/>
      <c r="V5" s="3304"/>
      <c r="W5" s="3304"/>
      <c r="X5" s="1538"/>
      <c r="Y5" s="3319"/>
      <c r="Z5" s="3320"/>
      <c r="AA5" s="3306"/>
      <c r="AB5" s="3306"/>
      <c r="AC5" s="3306"/>
    </row>
    <row r="6" spans="1:29" ht="15.75" thickBot="1">
      <c r="A6" s="365"/>
      <c r="B6" s="366"/>
      <c r="C6" s="3323" t="s">
        <v>2365</v>
      </c>
      <c r="D6" s="3324"/>
      <c r="E6" s="3330" t="s">
        <v>2365</v>
      </c>
      <c r="F6" s="3331"/>
      <c r="G6" s="3323" t="s">
        <v>2365</v>
      </c>
      <c r="H6" s="3324"/>
      <c r="I6" s="3323" t="s">
        <v>2365</v>
      </c>
      <c r="J6" s="3324"/>
      <c r="K6" s="566" t="s">
        <v>2366</v>
      </c>
      <c r="L6" s="1043"/>
      <c r="M6" s="1044"/>
      <c r="N6" s="1044"/>
      <c r="O6" s="1044"/>
      <c r="P6" s="3315"/>
      <c r="Q6" s="3316"/>
      <c r="R6" s="3319"/>
      <c r="S6" s="3320"/>
      <c r="T6" s="3321"/>
      <c r="U6" s="3322"/>
      <c r="V6" s="3304"/>
      <c r="W6" s="3304"/>
      <c r="X6" s="1538"/>
      <c r="Y6" s="3321"/>
      <c r="Z6" s="3322"/>
      <c r="AA6" s="3307"/>
      <c r="AB6" s="3307"/>
      <c r="AC6" s="3307"/>
    </row>
    <row r="7" spans="1:29" s="112" customFormat="1" ht="15.75" thickBot="1">
      <c r="A7" s="367" t="s">
        <v>2367</v>
      </c>
      <c r="B7" s="368"/>
      <c r="C7" s="369">
        <f>'数据-取费表'!B2</f>
        <v>44478</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27" t="s">
        <v>2368</v>
      </c>
      <c r="Q7" s="3329"/>
      <c r="R7" s="709" t="s">
        <v>17</v>
      </c>
      <c r="S7" s="710">
        <f t="shared" ref="S7:S15" si="0">F7</f>
        <v>0</v>
      </c>
      <c r="T7" s="709" t="s">
        <v>17</v>
      </c>
      <c r="U7" s="710">
        <f t="shared" ref="U7:U15" si="1">H7</f>
        <v>0</v>
      </c>
      <c r="V7" s="709" t="s">
        <v>17</v>
      </c>
      <c r="W7" s="710">
        <f t="shared" ref="W7:W15" si="2">J7</f>
        <v>0</v>
      </c>
      <c r="X7" s="711"/>
      <c r="Y7" s="3327" t="s">
        <v>2368</v>
      </c>
      <c r="Z7" s="3328"/>
      <c r="AA7" s="712" t="e">
        <f>D7/F7</f>
        <v>#DIV/0!</v>
      </c>
      <c r="AB7" s="712" t="e">
        <f>D7/H7</f>
        <v>#DIV/0!</v>
      </c>
      <c r="AC7" s="712" t="e">
        <f>D7/J7</f>
        <v>#DIV/0!</v>
      </c>
    </row>
    <row r="8" spans="1:29" s="112" customFormat="1" ht="15.75" thickBot="1">
      <c r="A8" s="367" t="s">
        <v>2369</v>
      </c>
      <c r="B8" s="368"/>
      <c r="C8" s="373" t="s">
        <v>2370</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27" t="s">
        <v>2371</v>
      </c>
      <c r="Q8" s="3328"/>
      <c r="R8" s="709" t="s">
        <v>17</v>
      </c>
      <c r="S8" s="710">
        <f t="shared" si="0"/>
        <v>0</v>
      </c>
      <c r="T8" s="709" t="s">
        <v>17</v>
      </c>
      <c r="U8" s="710">
        <f t="shared" si="1"/>
        <v>0</v>
      </c>
      <c r="V8" s="709" t="s">
        <v>17</v>
      </c>
      <c r="W8" s="710">
        <f t="shared" si="2"/>
        <v>0</v>
      </c>
      <c r="X8" s="711"/>
      <c r="Y8" s="3327" t="s">
        <v>2371</v>
      </c>
      <c r="Z8" s="3328"/>
      <c r="AA8" s="712" t="e">
        <f t="shared" ref="AA8:AA40" si="3">D8/F8</f>
        <v>#DIV/0!</v>
      </c>
      <c r="AB8" s="712" t="e">
        <f t="shared" ref="AB8:AB40" si="4">D8/H8</f>
        <v>#DIV/0!</v>
      </c>
      <c r="AC8" s="712" t="e">
        <f t="shared" ref="AC8:AC40" si="5">D8/J8</f>
        <v>#DIV/0!</v>
      </c>
    </row>
    <row r="9" spans="1:29" s="112" customFormat="1">
      <c r="A9" s="374" t="s">
        <v>2372</v>
      </c>
      <c r="B9" s="66" t="s">
        <v>2373</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298" t="s">
        <v>2374</v>
      </c>
      <c r="Q9" s="1526" t="str">
        <f t="shared" ref="Q9:Q15" si="6">B9</f>
        <v>用途</v>
      </c>
      <c r="R9" s="709" t="s">
        <v>17</v>
      </c>
      <c r="S9" s="710">
        <f t="shared" si="0"/>
        <v>100</v>
      </c>
      <c r="T9" s="709" t="s">
        <v>17</v>
      </c>
      <c r="U9" s="710">
        <f t="shared" si="1"/>
        <v>100</v>
      </c>
      <c r="V9" s="709" t="s">
        <v>17</v>
      </c>
      <c r="W9" s="710">
        <f t="shared" si="2"/>
        <v>100</v>
      </c>
      <c r="X9" s="711"/>
      <c r="Y9" s="3192"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298"/>
      <c r="Q10" s="1526" t="str">
        <f t="shared" si="6"/>
        <v>土地使用年限（年）</v>
      </c>
      <c r="R10" s="709" t="s">
        <v>17</v>
      </c>
      <c r="S10" s="710">
        <f t="shared" si="0"/>
        <v>100</v>
      </c>
      <c r="T10" s="709" t="s">
        <v>17</v>
      </c>
      <c r="U10" s="710">
        <f t="shared" si="1"/>
        <v>100</v>
      </c>
      <c r="V10" s="709" t="s">
        <v>17</v>
      </c>
      <c r="W10" s="710">
        <f t="shared" si="2"/>
        <v>100</v>
      </c>
      <c r="X10" s="711"/>
      <c r="Y10" s="3192"/>
      <c r="Z10" s="55" t="str">
        <f t="shared" si="7"/>
        <v>土地使用年限（年）</v>
      </c>
      <c r="AA10" s="712">
        <f t="shared" si="3"/>
        <v>1</v>
      </c>
      <c r="AB10" s="712">
        <f t="shared" si="4"/>
        <v>1</v>
      </c>
      <c r="AC10" s="712">
        <f t="shared" si="5"/>
        <v>1</v>
      </c>
    </row>
    <row r="11" spans="1:29" ht="15">
      <c r="A11" s="386"/>
      <c r="B11" s="380" t="s">
        <v>2377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298"/>
      <c r="Q11" s="1526" t="str">
        <f t="shared" si="6"/>
        <v>容积率</v>
      </c>
      <c r="R11" s="709" t="s">
        <v>17</v>
      </c>
      <c r="S11" s="710" t="e">
        <f t="shared" si="0"/>
        <v>#N/A</v>
      </c>
      <c r="T11" s="709" t="s">
        <v>17</v>
      </c>
      <c r="U11" s="710" t="e">
        <f t="shared" si="1"/>
        <v>#N/A</v>
      </c>
      <c r="V11" s="709" t="s">
        <v>17</v>
      </c>
      <c r="W11" s="710" t="e">
        <f t="shared" si="2"/>
        <v>#N/A</v>
      </c>
      <c r="X11" s="711"/>
      <c r="Y11" s="3192"/>
      <c r="Z11" s="55" t="str">
        <f t="shared" si="7"/>
        <v>容积率</v>
      </c>
      <c r="AA11" s="712" t="e">
        <f t="shared" si="3"/>
        <v>#N/A</v>
      </c>
      <c r="AB11" s="712" t="e">
        <f t="shared" si="4"/>
        <v>#N/A</v>
      </c>
      <c r="AC11" s="712" t="e">
        <f t="shared" si="5"/>
        <v>#N/A</v>
      </c>
    </row>
    <row r="12" spans="1:29" s="112" customFormat="1" ht="15">
      <c r="A12" s="389"/>
      <c r="B12" s="2078">
        <v>111</v>
      </c>
      <c r="C12" s="390"/>
      <c r="D12" s="391">
        <v>100</v>
      </c>
      <c r="E12" s="392"/>
      <c r="F12" s="131">
        <f>SUMIF(64:64,E12,65:65)-SUMIF(64:64,C12,65:65)+100</f>
        <v>100</v>
      </c>
      <c r="G12" s="2153"/>
      <c r="H12" s="131">
        <f>SUMIF(64:64,G12,65:65)-SUMIF(64:64,C12,65:65)+100</f>
        <v>100</v>
      </c>
      <c r="I12" s="427"/>
      <c r="J12" s="131">
        <f>SUMIF(64:64,I12,65:65)-SUMIF(64:64,C12,65:65)+100</f>
        <v>100</v>
      </c>
      <c r="K12" s="569"/>
      <c r="L12" s="1045"/>
      <c r="M12" s="1046"/>
      <c r="N12" s="1046"/>
      <c r="O12" s="1047"/>
      <c r="P12" s="3298"/>
      <c r="Q12" s="1526">
        <f t="shared" si="6"/>
        <v>111</v>
      </c>
      <c r="R12" s="709" t="s">
        <v>17</v>
      </c>
      <c r="S12" s="710">
        <f t="shared" si="0"/>
        <v>100</v>
      </c>
      <c r="T12" s="709" t="s">
        <v>17</v>
      </c>
      <c r="U12" s="710">
        <f t="shared" si="1"/>
        <v>100</v>
      </c>
      <c r="V12" s="709" t="s">
        <v>17</v>
      </c>
      <c r="W12" s="710">
        <f t="shared" si="2"/>
        <v>100</v>
      </c>
      <c r="X12" s="711"/>
      <c r="Y12" s="3192"/>
      <c r="Z12" s="55">
        <f t="shared" si="7"/>
        <v>111</v>
      </c>
      <c r="AA12" s="712">
        <f>D12/F12</f>
        <v>1</v>
      </c>
      <c r="AB12" s="712">
        <f>D12/H12</f>
        <v>1</v>
      </c>
      <c r="AC12" s="712">
        <f>D12/J12</f>
        <v>1</v>
      </c>
    </row>
    <row r="13" spans="1:29" ht="15">
      <c r="A13" s="386"/>
      <c r="B13" s="2078">
        <v>111</v>
      </c>
      <c r="C13" s="392"/>
      <c r="D13" s="393">
        <v>100</v>
      </c>
      <c r="E13" s="392"/>
      <c r="F13" s="131">
        <f>SUMIF(66:66,E13,67:67)-SUMIF(66:66,C13,67:67)+100</f>
        <v>100</v>
      </c>
      <c r="G13" s="2153"/>
      <c r="H13" s="393">
        <f>SUMIF(66:66,G13,67:67)-SUMIF(66:66,C13,67:67)+100</f>
        <v>100</v>
      </c>
      <c r="I13" s="427"/>
      <c r="J13" s="393">
        <f>SUMIF(66:66,I13,67:67)-SUMIF(66:66,C13,67:67)+100</f>
        <v>100</v>
      </c>
      <c r="K13" s="569"/>
      <c r="L13" s="1053"/>
      <c r="M13" s="1044"/>
      <c r="N13" s="1044"/>
      <c r="O13" s="1052"/>
      <c r="P13" s="3298"/>
      <c r="Q13" s="1526">
        <f t="shared" si="6"/>
        <v>111</v>
      </c>
      <c r="R13" s="709" t="s">
        <v>17</v>
      </c>
      <c r="S13" s="710">
        <f t="shared" si="0"/>
        <v>100</v>
      </c>
      <c r="T13" s="709" t="s">
        <v>17</v>
      </c>
      <c r="U13" s="710">
        <f t="shared" si="1"/>
        <v>100</v>
      </c>
      <c r="V13" s="709" t="s">
        <v>17</v>
      </c>
      <c r="W13" s="710">
        <f t="shared" si="2"/>
        <v>100</v>
      </c>
      <c r="X13" s="711"/>
      <c r="Y13" s="3192"/>
      <c r="Z13" s="55">
        <f t="shared" si="7"/>
        <v>111</v>
      </c>
      <c r="AA13" s="712">
        <f t="shared" si="3"/>
        <v>1</v>
      </c>
      <c r="AB13" s="712">
        <f t="shared" si="4"/>
        <v>1</v>
      </c>
      <c r="AC13" s="712">
        <f t="shared" si="5"/>
        <v>1</v>
      </c>
    </row>
    <row r="14" spans="1:29" ht="15.75" thickBot="1">
      <c r="A14" s="394"/>
      <c r="B14" s="2080">
        <v>111</v>
      </c>
      <c r="C14" s="395"/>
      <c r="D14" s="396">
        <v>100</v>
      </c>
      <c r="E14" s="395"/>
      <c r="F14" s="396">
        <f>SUMIF(68:68,E14,69:69)-SUMIF(68:68,C14,69:69)+100</f>
        <v>100</v>
      </c>
      <c r="G14" s="2153"/>
      <c r="H14" s="396">
        <f>SUMIF(68:68,G14,69:69)-SUMIF(68:68,C14,69:69)+100</f>
        <v>100</v>
      </c>
      <c r="I14" s="427"/>
      <c r="J14" s="396">
        <f>SUMIF(68:68,I14,69:69)-SUMIF(68:68,C14,69:69)+100</f>
        <v>100</v>
      </c>
      <c r="K14" s="569"/>
      <c r="L14" s="1053"/>
      <c r="M14" s="1044"/>
      <c r="N14" s="1044"/>
      <c r="O14" s="1052"/>
      <c r="P14" s="3298"/>
      <c r="Q14" s="1526">
        <f t="shared" si="6"/>
        <v>111</v>
      </c>
      <c r="R14" s="709" t="s">
        <v>17</v>
      </c>
      <c r="S14" s="710">
        <f t="shared" si="0"/>
        <v>100</v>
      </c>
      <c r="T14" s="709" t="s">
        <v>17</v>
      </c>
      <c r="U14" s="710">
        <f t="shared" si="1"/>
        <v>100</v>
      </c>
      <c r="V14" s="709" t="s">
        <v>17</v>
      </c>
      <c r="W14" s="710">
        <f t="shared" si="2"/>
        <v>100</v>
      </c>
      <c r="X14" s="711"/>
      <c r="Y14" s="3192"/>
      <c r="Z14" s="55">
        <f t="shared" si="7"/>
        <v>111</v>
      </c>
      <c r="AA14" s="712">
        <f t="shared" si="3"/>
        <v>1</v>
      </c>
      <c r="AB14" s="712">
        <f t="shared" si="4"/>
        <v>1</v>
      </c>
      <c r="AC14" s="712">
        <f t="shared" si="5"/>
        <v>1</v>
      </c>
    </row>
    <row r="15" spans="1:29" ht="15">
      <c r="A15" s="398" t="s">
        <v>2378</v>
      </c>
      <c r="B15" s="64" t="s">
        <v>2522</v>
      </c>
      <c r="C15" s="2154">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00" t="s">
        <v>2379</v>
      </c>
      <c r="Q15" s="1535" t="str">
        <f t="shared" si="6"/>
        <v>产业集聚程度</v>
      </c>
      <c r="R15" s="713" t="s">
        <v>17</v>
      </c>
      <c r="S15" s="714">
        <f t="shared" si="0"/>
        <v>100</v>
      </c>
      <c r="T15" s="713" t="s">
        <v>17</v>
      </c>
      <c r="U15" s="714">
        <f t="shared" si="1"/>
        <v>100</v>
      </c>
      <c r="V15" s="713" t="s">
        <v>17</v>
      </c>
      <c r="W15" s="714">
        <f t="shared" si="2"/>
        <v>100</v>
      </c>
      <c r="X15" s="1538"/>
      <c r="Y15" s="3300" t="s">
        <v>2379</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3"/>
      <c r="M16" s="1044"/>
      <c r="N16" s="1044"/>
      <c r="O16" s="1052"/>
      <c r="P16" s="3301"/>
      <c r="Q16" s="1535"/>
      <c r="R16" s="713"/>
      <c r="S16" s="714"/>
      <c r="T16" s="713"/>
      <c r="U16" s="714"/>
      <c r="V16" s="713"/>
      <c r="W16" s="714"/>
      <c r="X16" s="1538"/>
      <c r="Y16" s="3301"/>
      <c r="Z16" s="1539"/>
      <c r="AA16" s="1536">
        <v>1</v>
      </c>
      <c r="AB16" s="1536">
        <v>1</v>
      </c>
      <c r="AC16" s="1536">
        <v>1</v>
      </c>
    </row>
    <row r="17" spans="1:29" ht="15">
      <c r="A17" s="386"/>
      <c r="B17" s="409" t="s">
        <v>1946</v>
      </c>
      <c r="C17" s="2085">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01"/>
      <c r="Q17" s="1535" t="str">
        <f>B17</f>
        <v>交通便捷度</v>
      </c>
      <c r="R17" s="713" t="s">
        <v>17</v>
      </c>
      <c r="S17" s="714">
        <f>F17</f>
        <v>100</v>
      </c>
      <c r="T17" s="713" t="s">
        <v>17</v>
      </c>
      <c r="U17" s="714">
        <f>H17</f>
        <v>100</v>
      </c>
      <c r="V17" s="713" t="s">
        <v>17</v>
      </c>
      <c r="W17" s="714">
        <f>J17</f>
        <v>100</v>
      </c>
      <c r="X17" s="1538"/>
      <c r="Y17" s="3301"/>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1053"/>
      <c r="M18" s="1044"/>
      <c r="N18" s="1044"/>
      <c r="O18" s="1052"/>
      <c r="P18" s="3301"/>
      <c r="Q18" s="1535"/>
      <c r="R18" s="713"/>
      <c r="S18" s="714"/>
      <c r="T18" s="713"/>
      <c r="U18" s="714"/>
      <c r="V18" s="713"/>
      <c r="W18" s="714"/>
      <c r="X18" s="1538"/>
      <c r="Y18" s="3301"/>
      <c r="Z18" s="1539"/>
      <c r="AA18" s="1536">
        <v>1</v>
      </c>
      <c r="AB18" s="1536">
        <v>1</v>
      </c>
      <c r="AC18" s="1536">
        <v>1</v>
      </c>
    </row>
    <row r="19" spans="1:29" ht="15">
      <c r="A19" s="386"/>
      <c r="B19" s="409" t="s">
        <v>2507</v>
      </c>
      <c r="C19" s="2085">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01"/>
      <c r="Q19" s="1535" t="str">
        <f>B19</f>
        <v>公共配套设施</v>
      </c>
      <c r="R19" s="713" t="s">
        <v>17</v>
      </c>
      <c r="S19" s="714">
        <f>F19</f>
        <v>100</v>
      </c>
      <c r="T19" s="713" t="s">
        <v>17</v>
      </c>
      <c r="U19" s="714">
        <f>H19</f>
        <v>100</v>
      </c>
      <c r="V19" s="713" t="s">
        <v>17</v>
      </c>
      <c r="W19" s="714">
        <f>J19</f>
        <v>100</v>
      </c>
      <c r="X19" s="1538"/>
      <c r="Y19" s="3301"/>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1053"/>
      <c r="M20" s="1044"/>
      <c r="N20" s="1044"/>
      <c r="O20" s="1052"/>
      <c r="P20" s="3301"/>
      <c r="Q20" s="1535"/>
      <c r="R20" s="713"/>
      <c r="S20" s="714"/>
      <c r="T20" s="713"/>
      <c r="U20" s="714"/>
      <c r="V20" s="713"/>
      <c r="W20" s="714"/>
      <c r="X20" s="1538"/>
      <c r="Y20" s="3301"/>
      <c r="Z20" s="1539"/>
      <c r="AA20" s="1536">
        <v>1</v>
      </c>
      <c r="AB20" s="1536">
        <v>1</v>
      </c>
      <c r="AC20" s="1536">
        <v>1</v>
      </c>
    </row>
    <row r="21" spans="1:29" ht="15">
      <c r="A21" s="386"/>
      <c r="B21" s="1292" t="s">
        <v>2508</v>
      </c>
      <c r="C21" s="2085">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01"/>
      <c r="Q21" s="1535" t="str">
        <f>B21</f>
        <v>基础设施水平</v>
      </c>
      <c r="R21" s="713" t="s">
        <v>17</v>
      </c>
      <c r="S21" s="714">
        <f>F21</f>
        <v>100</v>
      </c>
      <c r="T21" s="713" t="s">
        <v>17</v>
      </c>
      <c r="U21" s="714">
        <f>H21</f>
        <v>100</v>
      </c>
      <c r="V21" s="713" t="s">
        <v>17</v>
      </c>
      <c r="W21" s="714">
        <f>J21</f>
        <v>100</v>
      </c>
      <c r="X21" s="1538"/>
      <c r="Y21" s="3301"/>
      <c r="Z21" s="1539" t="str">
        <f>Q21</f>
        <v>基础设施水平</v>
      </c>
      <c r="AA21" s="1536">
        <f t="shared" ref="AA21" si="8">D21/F21</f>
        <v>1</v>
      </c>
      <c r="AB21" s="1536">
        <f t="shared" ref="AB21" si="9">D21/H21</f>
        <v>1</v>
      </c>
      <c r="AC21" s="1536">
        <f t="shared" ref="AC21" si="10">D21/J21</f>
        <v>1</v>
      </c>
    </row>
    <row r="22" spans="1:29" ht="15">
      <c r="A22" s="386"/>
      <c r="B22" s="1292"/>
      <c r="C22" s="2086"/>
      <c r="D22" s="406"/>
      <c r="E22" s="405"/>
      <c r="F22" s="407"/>
      <c r="G22" s="405"/>
      <c r="H22" s="406"/>
      <c r="I22" s="405"/>
      <c r="J22" s="406"/>
      <c r="K22" s="1291"/>
      <c r="L22" s="1053"/>
      <c r="M22" s="1044"/>
      <c r="N22" s="1044"/>
      <c r="O22" s="1052"/>
      <c r="P22" s="3301"/>
      <c r="Q22" s="1535"/>
      <c r="R22" s="713"/>
      <c r="S22" s="714"/>
      <c r="T22" s="713"/>
      <c r="U22" s="714"/>
      <c r="V22" s="713"/>
      <c r="W22" s="714"/>
      <c r="X22" s="1538"/>
      <c r="Y22" s="3301"/>
      <c r="Z22" s="1539"/>
      <c r="AA22" s="1536">
        <v>1</v>
      </c>
      <c r="AB22" s="1536">
        <v>1</v>
      </c>
      <c r="AC22" s="1536">
        <v>1</v>
      </c>
    </row>
    <row r="23" spans="1:29" ht="15">
      <c r="A23" s="386"/>
      <c r="B23" s="409" t="s">
        <v>2509</v>
      </c>
      <c r="C23" s="2085">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01"/>
      <c r="Q23" s="1535" t="str">
        <f>B23</f>
        <v>环境质量</v>
      </c>
      <c r="R23" s="713" t="s">
        <v>17</v>
      </c>
      <c r="S23" s="714">
        <f>F23</f>
        <v>100</v>
      </c>
      <c r="T23" s="713" t="s">
        <v>17</v>
      </c>
      <c r="U23" s="714">
        <f>H23</f>
        <v>100</v>
      </c>
      <c r="V23" s="713" t="s">
        <v>17</v>
      </c>
      <c r="W23" s="714">
        <f>J23</f>
        <v>100</v>
      </c>
      <c r="X23" s="1538"/>
      <c r="Y23" s="3301"/>
      <c r="Z23" s="1539" t="str">
        <f>Q23</f>
        <v>环境质量</v>
      </c>
      <c r="AA23" s="1536">
        <f t="shared" si="3"/>
        <v>1</v>
      </c>
      <c r="AB23" s="1536">
        <f t="shared" si="4"/>
        <v>1</v>
      </c>
      <c r="AC23" s="1536">
        <f t="shared" si="5"/>
        <v>1</v>
      </c>
    </row>
    <row r="24" spans="1:29" ht="15">
      <c r="A24" s="386"/>
      <c r="B24" s="1292"/>
      <c r="C24" s="405"/>
      <c r="D24" s="406"/>
      <c r="E24" s="2083"/>
      <c r="F24" s="407"/>
      <c r="G24" s="2082"/>
      <c r="H24" s="406"/>
      <c r="I24" s="2083"/>
      <c r="J24" s="406"/>
      <c r="K24" s="571"/>
      <c r="L24" s="1053"/>
      <c r="M24" s="1044"/>
      <c r="N24" s="1044"/>
      <c r="O24" s="1052"/>
      <c r="P24" s="3301"/>
      <c r="Q24" s="1535"/>
      <c r="R24" s="713"/>
      <c r="S24" s="714"/>
      <c r="T24" s="713"/>
      <c r="U24" s="714"/>
      <c r="V24" s="713"/>
      <c r="W24" s="714"/>
      <c r="X24" s="1538"/>
      <c r="Y24" s="3301"/>
      <c r="Z24" s="1539"/>
      <c r="AA24" s="1536">
        <v>1</v>
      </c>
      <c r="AB24" s="1536">
        <v>1</v>
      </c>
      <c r="AC24" s="1536">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01"/>
      <c r="Q25" s="1535">
        <f>B25</f>
        <v>111</v>
      </c>
      <c r="R25" s="713" t="s">
        <v>17</v>
      </c>
      <c r="S25" s="714">
        <f>F25</f>
        <v>100</v>
      </c>
      <c r="T25" s="713" t="s">
        <v>17</v>
      </c>
      <c r="U25" s="714">
        <f>H25</f>
        <v>100</v>
      </c>
      <c r="V25" s="713" t="s">
        <v>17</v>
      </c>
      <c r="W25" s="714">
        <f>J25</f>
        <v>100</v>
      </c>
      <c r="X25" s="1538"/>
      <c r="Y25" s="3301"/>
      <c r="Z25" s="1539">
        <f>Q25</f>
        <v>111</v>
      </c>
      <c r="AA25" s="1536">
        <f t="shared" si="3"/>
        <v>1</v>
      </c>
      <c r="AB25" s="1536">
        <f t="shared" si="4"/>
        <v>1</v>
      </c>
      <c r="AC25" s="1536">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01"/>
      <c r="Q26" s="1535">
        <f t="shared" ref="Q26:Q40" si="11">B26</f>
        <v>111</v>
      </c>
      <c r="R26" s="713" t="s">
        <v>17</v>
      </c>
      <c r="S26" s="714">
        <f>F26</f>
        <v>100</v>
      </c>
      <c r="T26" s="713" t="s">
        <v>17</v>
      </c>
      <c r="U26" s="714">
        <f>H26</f>
        <v>100</v>
      </c>
      <c r="V26" s="713" t="s">
        <v>17</v>
      </c>
      <c r="W26" s="714">
        <f>J26</f>
        <v>100</v>
      </c>
      <c r="X26" s="1538"/>
      <c r="Y26" s="3301"/>
      <c r="Z26" s="1539">
        <f>Q26</f>
        <v>111</v>
      </c>
      <c r="AA26" s="1536">
        <f t="shared" si="3"/>
        <v>1</v>
      </c>
      <c r="AB26" s="1536">
        <f t="shared" si="4"/>
        <v>1</v>
      </c>
      <c r="AC26" s="1536">
        <f t="shared" si="5"/>
        <v>1</v>
      </c>
    </row>
    <row r="27" spans="1:29" s="112"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01"/>
      <c r="Q27" s="1526">
        <f t="shared" si="11"/>
        <v>111</v>
      </c>
      <c r="R27" s="709" t="s">
        <v>17</v>
      </c>
      <c r="S27" s="710">
        <f>F27</f>
        <v>100</v>
      </c>
      <c r="T27" s="709" t="s">
        <v>17</v>
      </c>
      <c r="U27" s="710">
        <f>H27</f>
        <v>100</v>
      </c>
      <c r="V27" s="709" t="s">
        <v>17</v>
      </c>
      <c r="W27" s="710">
        <f>J27</f>
        <v>100</v>
      </c>
      <c r="X27" s="711"/>
      <c r="Y27" s="3301"/>
      <c r="Z27" s="55">
        <f>Q27</f>
        <v>111</v>
      </c>
      <c r="AA27" s="1536">
        <f>D27/F27</f>
        <v>1</v>
      </c>
      <c r="AB27" s="1536">
        <f>D27/H27</f>
        <v>1</v>
      </c>
      <c r="AC27" s="1536">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01"/>
      <c r="Q28" s="1535">
        <f t="shared" si="11"/>
        <v>111</v>
      </c>
      <c r="R28" s="713" t="s">
        <v>17</v>
      </c>
      <c r="S28" s="714">
        <f t="shared" ref="S28:S40" si="12">F28</f>
        <v>100</v>
      </c>
      <c r="T28" s="713" t="s">
        <v>17</v>
      </c>
      <c r="U28" s="714">
        <f t="shared" ref="U28:U40" si="13">H28</f>
        <v>100</v>
      </c>
      <c r="V28" s="713" t="s">
        <v>17</v>
      </c>
      <c r="W28" s="714">
        <f t="shared" ref="W28:W40" si="14">J28</f>
        <v>100</v>
      </c>
      <c r="X28" s="1538"/>
      <c r="Y28" s="3301"/>
      <c r="Z28" s="1539">
        <f t="shared" ref="Z28:Z40" si="15">Q28</f>
        <v>111</v>
      </c>
      <c r="AA28" s="1536">
        <f t="shared" si="3"/>
        <v>1</v>
      </c>
      <c r="AB28" s="1536">
        <f t="shared" si="4"/>
        <v>1</v>
      </c>
      <c r="AC28" s="1536">
        <f t="shared" si="5"/>
        <v>1</v>
      </c>
    </row>
    <row r="29" spans="1:29" ht="28.5">
      <c r="A29" s="424" t="s">
        <v>2382</v>
      </c>
      <c r="B29" s="66" t="s">
        <v>2512</v>
      </c>
      <c r="C29" s="2150"/>
      <c r="D29" s="425">
        <v>100</v>
      </c>
      <c r="E29" s="2150"/>
      <c r="F29" s="419">
        <f>SUMIF(88:88,E29,89:89)-SUMIF(88:88,C29,89:89)+100</f>
        <v>100</v>
      </c>
      <c r="G29" s="2150"/>
      <c r="H29" s="393">
        <f>SUMIF(88:88,G29,89:89)-SUMIF(88:88,C29,89:89)+100</f>
        <v>100</v>
      </c>
      <c r="I29" s="2150"/>
      <c r="J29" s="425">
        <f>SUMIF(88:88,I29,89:89)-SUMIF(88:88,C29,89:89)+100</f>
        <v>100</v>
      </c>
      <c r="K29" s="568"/>
      <c r="L29" s="1053"/>
      <c r="M29" s="1044"/>
      <c r="N29" s="1044"/>
      <c r="O29" s="1052"/>
      <c r="P29" s="3302" t="s">
        <v>2384</v>
      </c>
      <c r="Q29" s="1535" t="str">
        <f t="shared" si="11"/>
        <v>建筑类型</v>
      </c>
      <c r="R29" s="713" t="s">
        <v>17</v>
      </c>
      <c r="S29" s="714">
        <f t="shared" si="12"/>
        <v>100</v>
      </c>
      <c r="T29" s="713" t="s">
        <v>17</v>
      </c>
      <c r="U29" s="714">
        <f t="shared" si="13"/>
        <v>100</v>
      </c>
      <c r="V29" s="713" t="s">
        <v>17</v>
      </c>
      <c r="W29" s="714">
        <f t="shared" si="14"/>
        <v>100</v>
      </c>
      <c r="X29" s="1538"/>
      <c r="Y29" s="3303" t="s">
        <v>2384</v>
      </c>
      <c r="Z29" s="1539" t="str">
        <f t="shared" si="15"/>
        <v>建筑类型</v>
      </c>
      <c r="AA29" s="1536">
        <f t="shared" si="3"/>
        <v>1</v>
      </c>
      <c r="AB29" s="1536">
        <f t="shared" si="4"/>
        <v>1</v>
      </c>
      <c r="AC29" s="1536">
        <f t="shared" si="5"/>
        <v>1</v>
      </c>
    </row>
    <row r="30" spans="1:29" s="429" customFormat="1" ht="15">
      <c r="A30" s="426"/>
      <c r="B30" s="380" t="s">
        <v>2385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03"/>
      <c r="Q30" s="715" t="str">
        <f t="shared" si="11"/>
        <v>项目建筑规模</v>
      </c>
      <c r="R30" s="716" t="s">
        <v>17</v>
      </c>
      <c r="S30" s="717" t="e">
        <f t="shared" si="12"/>
        <v>#N/A</v>
      </c>
      <c r="T30" s="716" t="s">
        <v>17</v>
      </c>
      <c r="U30" s="717" t="e">
        <f t="shared" si="13"/>
        <v>#N/A</v>
      </c>
      <c r="V30" s="716" t="s">
        <v>17</v>
      </c>
      <c r="W30" s="717" t="e">
        <f t="shared" si="14"/>
        <v>#N/A</v>
      </c>
      <c r="X30" s="718"/>
      <c r="Y30" s="3303"/>
      <c r="Z30" s="719" t="str">
        <f t="shared" si="15"/>
        <v>项目建筑规模</v>
      </c>
      <c r="AA30" s="1536" t="e">
        <f t="shared" si="3"/>
        <v>#N/A</v>
      </c>
      <c r="AB30" s="1536" t="e">
        <f t="shared" si="4"/>
        <v>#N/A</v>
      </c>
      <c r="AC30" s="1536" t="e">
        <f t="shared" si="5"/>
        <v>#N/A</v>
      </c>
    </row>
    <row r="31" spans="1:29" ht="15">
      <c r="A31" s="430"/>
      <c r="B31" s="380" t="s">
        <v>2386</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03"/>
      <c r="Q31" s="1535" t="str">
        <f t="shared" si="11"/>
        <v>建筑结构</v>
      </c>
      <c r="R31" s="713" t="s">
        <v>17</v>
      </c>
      <c r="S31" s="714">
        <f t="shared" si="12"/>
        <v>100</v>
      </c>
      <c r="T31" s="713" t="s">
        <v>17</v>
      </c>
      <c r="U31" s="714">
        <f t="shared" si="13"/>
        <v>100</v>
      </c>
      <c r="V31" s="713" t="s">
        <v>17</v>
      </c>
      <c r="W31" s="714">
        <f t="shared" si="14"/>
        <v>100</v>
      </c>
      <c r="X31" s="1538"/>
      <c r="Y31" s="3303"/>
      <c r="Z31" s="1539" t="str">
        <f t="shared" si="15"/>
        <v>建筑结构</v>
      </c>
      <c r="AA31" s="1536">
        <f t="shared" si="3"/>
        <v>1</v>
      </c>
      <c r="AB31" s="1536">
        <f t="shared" si="4"/>
        <v>1</v>
      </c>
      <c r="AC31" s="1536">
        <f t="shared" si="5"/>
        <v>1</v>
      </c>
    </row>
    <row r="32" spans="1:29" ht="15">
      <c r="A32" s="430"/>
      <c r="B32" s="380" t="s">
        <v>2480</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03"/>
      <c r="Q32" s="1535" t="str">
        <f t="shared" si="11"/>
        <v>公共部分装修</v>
      </c>
      <c r="R32" s="713" t="s">
        <v>17</v>
      </c>
      <c r="S32" s="714">
        <f t="shared" si="12"/>
        <v>100</v>
      </c>
      <c r="T32" s="713" t="s">
        <v>17</v>
      </c>
      <c r="U32" s="714">
        <f t="shared" si="13"/>
        <v>100</v>
      </c>
      <c r="V32" s="713" t="s">
        <v>17</v>
      </c>
      <c r="W32" s="714">
        <f t="shared" si="14"/>
        <v>100</v>
      </c>
      <c r="X32" s="1538"/>
      <c r="Y32" s="3303"/>
      <c r="Z32" s="1539" t="str">
        <f t="shared" si="15"/>
        <v>公共部分装修</v>
      </c>
      <c r="AA32" s="1536">
        <f t="shared" si="3"/>
        <v>1</v>
      </c>
      <c r="AB32" s="1536">
        <f t="shared" si="4"/>
        <v>1</v>
      </c>
      <c r="AC32" s="1536">
        <f t="shared" si="5"/>
        <v>1</v>
      </c>
    </row>
    <row r="33" spans="1:29" ht="15">
      <c r="A33" s="430"/>
      <c r="B33" s="380" t="s">
        <v>2481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03"/>
      <c r="Q33" s="1535" t="str">
        <f t="shared" si="11"/>
        <v>成新度</v>
      </c>
      <c r="R33" s="713" t="s">
        <v>17</v>
      </c>
      <c r="S33" s="714" t="e">
        <f t="shared" si="12"/>
        <v>#N/A</v>
      </c>
      <c r="T33" s="713" t="s">
        <v>17</v>
      </c>
      <c r="U33" s="714" t="e">
        <f t="shared" si="13"/>
        <v>#N/A</v>
      </c>
      <c r="V33" s="713" t="s">
        <v>17</v>
      </c>
      <c r="W33" s="714" t="e">
        <f t="shared" si="14"/>
        <v>#N/A</v>
      </c>
      <c r="X33" s="1538"/>
      <c r="Y33" s="3303"/>
      <c r="Z33" s="1539" t="str">
        <f t="shared" si="15"/>
        <v>成新度</v>
      </c>
      <c r="AA33" s="1536" t="e">
        <f t="shared" si="3"/>
        <v>#N/A</v>
      </c>
      <c r="AB33" s="1536" t="e">
        <f t="shared" si="4"/>
        <v>#N/A</v>
      </c>
      <c r="AC33" s="1536" t="e">
        <f t="shared" si="5"/>
        <v>#N/A</v>
      </c>
    </row>
    <row r="34" spans="1:29" s="112" customFormat="1" ht="15">
      <c r="A34" s="431"/>
      <c r="B34" s="380" t="s">
        <v>2514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03"/>
      <c r="Q34" s="1526" t="str">
        <f t="shared" si="11"/>
        <v>物业管理</v>
      </c>
      <c r="R34" s="709" t="s">
        <v>17</v>
      </c>
      <c r="S34" s="710">
        <f t="shared" si="12"/>
        <v>100</v>
      </c>
      <c r="T34" s="709" t="s">
        <v>17</v>
      </c>
      <c r="U34" s="710">
        <f t="shared" si="13"/>
        <v>100</v>
      </c>
      <c r="V34" s="709" t="s">
        <v>17</v>
      </c>
      <c r="W34" s="710">
        <f t="shared" si="14"/>
        <v>100</v>
      </c>
      <c r="X34" s="711"/>
      <c r="Y34" s="3303"/>
      <c r="Z34" s="55" t="str">
        <f t="shared" si="15"/>
        <v>物业管理</v>
      </c>
      <c r="AA34" s="712">
        <f t="shared" si="3"/>
        <v>1</v>
      </c>
      <c r="AB34" s="712">
        <f t="shared" si="4"/>
        <v>1</v>
      </c>
      <c r="AC34" s="712">
        <f t="shared" si="5"/>
        <v>1</v>
      </c>
    </row>
    <row r="35" spans="1:29" ht="15">
      <c r="A35" s="430"/>
      <c r="B35" s="380" t="s">
        <v>2482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03" t="s">
        <v>2384</v>
      </c>
      <c r="Q35" s="1535" t="str">
        <f t="shared" si="11"/>
        <v>市政基础设施</v>
      </c>
      <c r="R35" s="713" t="s">
        <v>17</v>
      </c>
      <c r="S35" s="714">
        <f t="shared" si="12"/>
        <v>100</v>
      </c>
      <c r="T35" s="713" t="s">
        <v>17</v>
      </c>
      <c r="U35" s="714">
        <f t="shared" si="13"/>
        <v>100</v>
      </c>
      <c r="V35" s="713" t="s">
        <v>17</v>
      </c>
      <c r="W35" s="714">
        <f t="shared" si="14"/>
        <v>100</v>
      </c>
      <c r="X35" s="1538"/>
      <c r="Y35" s="3303" t="s">
        <v>2384</v>
      </c>
      <c r="Z35" s="1539" t="str">
        <f t="shared" si="15"/>
        <v>市政基础设施</v>
      </c>
      <c r="AA35" s="1536">
        <f t="shared" si="3"/>
        <v>1</v>
      </c>
      <c r="AB35" s="1536">
        <f t="shared" si="4"/>
        <v>1</v>
      </c>
      <c r="AC35" s="1536">
        <f t="shared" si="5"/>
        <v>1</v>
      </c>
    </row>
    <row r="36" spans="1:29" ht="15">
      <c r="A36" s="430"/>
      <c r="B36" s="380" t="s">
        <v>2487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03"/>
      <c r="Q36" s="1535" t="str">
        <f t="shared" si="11"/>
        <v>内部装修</v>
      </c>
      <c r="R36" s="713" t="s">
        <v>17</v>
      </c>
      <c r="S36" s="714">
        <f t="shared" si="12"/>
        <v>100</v>
      </c>
      <c r="T36" s="713" t="s">
        <v>17</v>
      </c>
      <c r="U36" s="714">
        <f t="shared" si="13"/>
        <v>100</v>
      </c>
      <c r="V36" s="713" t="s">
        <v>17</v>
      </c>
      <c r="W36" s="714">
        <f t="shared" si="14"/>
        <v>100</v>
      </c>
      <c r="X36" s="1538"/>
      <c r="Y36" s="3303"/>
      <c r="Z36" s="1539" t="str">
        <f t="shared" si="15"/>
        <v>内部装修</v>
      </c>
      <c r="AA36" s="1536">
        <f t="shared" si="3"/>
        <v>1</v>
      </c>
      <c r="AB36" s="1536">
        <f t="shared" si="4"/>
        <v>1</v>
      </c>
      <c r="AC36" s="1536">
        <f t="shared" si="5"/>
        <v>1</v>
      </c>
    </row>
    <row r="37" spans="1:29" ht="15">
      <c r="A37" s="430"/>
      <c r="B37" s="380" t="s">
        <v>2523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03"/>
      <c r="Q37" s="1535" t="str">
        <f t="shared" si="11"/>
        <v>内部装修状况</v>
      </c>
      <c r="R37" s="713" t="s">
        <v>17</v>
      </c>
      <c r="S37" s="714">
        <f t="shared" si="12"/>
        <v>100</v>
      </c>
      <c r="T37" s="713" t="s">
        <v>17</v>
      </c>
      <c r="U37" s="714">
        <f t="shared" si="13"/>
        <v>100</v>
      </c>
      <c r="V37" s="713" t="s">
        <v>17</v>
      </c>
      <c r="W37" s="714">
        <f t="shared" si="14"/>
        <v>100</v>
      </c>
      <c r="X37" s="1538"/>
      <c r="Y37" s="3303"/>
      <c r="Z37" s="1539" t="str">
        <f t="shared" si="15"/>
        <v>内部装修状况</v>
      </c>
      <c r="AA37" s="1536">
        <f t="shared" si="3"/>
        <v>1</v>
      </c>
      <c r="AB37" s="1536">
        <f t="shared" si="4"/>
        <v>1</v>
      </c>
      <c r="AC37" s="1536">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03"/>
      <c r="Q38" s="715">
        <f t="shared" si="11"/>
        <v>111</v>
      </c>
      <c r="R38" s="716" t="s">
        <v>17</v>
      </c>
      <c r="S38" s="717">
        <f t="shared" si="12"/>
        <v>100</v>
      </c>
      <c r="T38" s="716" t="s">
        <v>17</v>
      </c>
      <c r="U38" s="717">
        <f t="shared" si="13"/>
        <v>100</v>
      </c>
      <c r="V38" s="716" t="s">
        <v>17</v>
      </c>
      <c r="W38" s="717">
        <f t="shared" si="14"/>
        <v>100</v>
      </c>
      <c r="X38" s="718"/>
      <c r="Y38" s="3303"/>
      <c r="Z38" s="719">
        <f t="shared" si="15"/>
        <v>111</v>
      </c>
      <c r="AA38" s="1536">
        <f t="shared" si="3"/>
        <v>1</v>
      </c>
      <c r="AB38" s="1536">
        <f t="shared" si="4"/>
        <v>1</v>
      </c>
      <c r="AC38" s="1536">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03"/>
      <c r="Q39" s="1535">
        <f t="shared" si="11"/>
        <v>111</v>
      </c>
      <c r="R39" s="713" t="s">
        <v>17</v>
      </c>
      <c r="S39" s="714">
        <f t="shared" si="12"/>
        <v>100</v>
      </c>
      <c r="T39" s="713" t="s">
        <v>17</v>
      </c>
      <c r="U39" s="714">
        <f t="shared" si="13"/>
        <v>100</v>
      </c>
      <c r="V39" s="713" t="s">
        <v>17</v>
      </c>
      <c r="W39" s="714">
        <f t="shared" si="14"/>
        <v>100</v>
      </c>
      <c r="X39" s="1538"/>
      <c r="Y39" s="3303"/>
      <c r="Z39" s="1539">
        <f t="shared" si="15"/>
        <v>111</v>
      </c>
      <c r="AA39" s="1536">
        <f t="shared" si="3"/>
        <v>1</v>
      </c>
      <c r="AB39" s="1536">
        <f t="shared" si="4"/>
        <v>1</v>
      </c>
      <c r="AC39" s="1536">
        <f t="shared" si="5"/>
        <v>1</v>
      </c>
    </row>
    <row r="40" spans="1:29" ht="15.75" thickBot="1">
      <c r="A40" s="436"/>
      <c r="B40" s="208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39"/>
      <c r="Q40" s="1535">
        <f t="shared" si="11"/>
        <v>111</v>
      </c>
      <c r="R40" s="713" t="s">
        <v>17</v>
      </c>
      <c r="S40" s="714">
        <f t="shared" si="12"/>
        <v>100</v>
      </c>
      <c r="T40" s="713" t="s">
        <v>17</v>
      </c>
      <c r="U40" s="714">
        <f t="shared" si="13"/>
        <v>100</v>
      </c>
      <c r="V40" s="713" t="s">
        <v>17</v>
      </c>
      <c r="W40" s="714">
        <f t="shared" si="14"/>
        <v>100</v>
      </c>
      <c r="X40" s="1538"/>
      <c r="Y40" s="3339"/>
      <c r="Z40" s="1539">
        <f t="shared" si="15"/>
        <v>111</v>
      </c>
      <c r="AA40" s="1536">
        <f t="shared" si="3"/>
        <v>1</v>
      </c>
      <c r="AB40" s="1536">
        <f t="shared" si="4"/>
        <v>1</v>
      </c>
      <c r="AC40" s="1536">
        <f t="shared" si="5"/>
        <v>1</v>
      </c>
    </row>
    <row r="41" spans="1:29" ht="15">
      <c r="A41" s="437" t="s">
        <v>2396</v>
      </c>
      <c r="B41" s="438"/>
      <c r="C41" s="1315" t="s">
        <v>1</v>
      </c>
      <c r="D41" s="1316"/>
      <c r="E41" s="1317"/>
      <c r="F41" s="1318"/>
      <c r="G41" s="1319"/>
      <c r="H41" s="1320"/>
      <c r="I41" s="1317"/>
      <c r="J41" s="1320"/>
      <c r="K41" s="722"/>
      <c r="L41" s="1056"/>
      <c r="M41" s="1057"/>
      <c r="N41" s="1044"/>
      <c r="O41" s="1057"/>
      <c r="P41" s="3298" t="str">
        <f>A41</f>
        <v>成交单价（元/平方米）</v>
      </c>
      <c r="Q41" s="3298"/>
      <c r="R41" s="3335">
        <f>E41</f>
        <v>0</v>
      </c>
      <c r="S41" s="3335"/>
      <c r="T41" s="3335">
        <f>G41</f>
        <v>0</v>
      </c>
      <c r="U41" s="3335"/>
      <c r="V41" s="3335">
        <f>I41</f>
        <v>0</v>
      </c>
      <c r="W41" s="3335"/>
      <c r="X41" s="698"/>
      <c r="Y41" s="720"/>
      <c r="Z41" s="698"/>
      <c r="AA41" s="698"/>
      <c r="AB41" s="698"/>
      <c r="AC41" s="698"/>
    </row>
    <row r="42" spans="1:29" ht="15.75" thickBot="1">
      <c r="A42" s="444" t="s">
        <v>2488</v>
      </c>
      <c r="B42" s="445"/>
      <c r="C42" s="1321" t="e">
        <f>R43</f>
        <v>#DIV/0!</v>
      </c>
      <c r="D42" s="2535" t="s">
        <v>2879</v>
      </c>
      <c r="E42" s="1322" t="e">
        <f>R42</f>
        <v>#DIV/0!</v>
      </c>
      <c r="F42" s="2536"/>
      <c r="G42" s="1321" t="e">
        <f>T42</f>
        <v>#DIV/0!</v>
      </c>
      <c r="H42" s="2536"/>
      <c r="I42" s="1322" t="e">
        <f>V42</f>
        <v>#DIV/0!</v>
      </c>
      <c r="J42" s="2536"/>
      <c r="K42" s="2538">
        <f>F42+H42+J42</f>
        <v>0</v>
      </c>
      <c r="L42" s="1056"/>
      <c r="M42" s="1057"/>
      <c r="N42" s="1044"/>
      <c r="O42" s="1057"/>
      <c r="P42" s="3298" t="str">
        <f>A42</f>
        <v>比较价值（元/平方米）</v>
      </c>
      <c r="Q42" s="3298"/>
      <c r="R42" s="3335" t="e">
        <f>IF(F1="售价",ROUND(PRODUCT(R41,AA7:AA40),0),ROUND(PRODUCT(R41,AA7:AA40),1))</f>
        <v>#DIV/0!</v>
      </c>
      <c r="S42" s="3335"/>
      <c r="T42" s="3335" t="e">
        <f>IF(F1="售价",ROUND(PRODUCT(T41,AB7:AB40),0),ROUND(PRODUCT(T41,AB7:AB40),1))</f>
        <v>#DIV/0!</v>
      </c>
      <c r="U42" s="3335"/>
      <c r="V42" s="3335" t="e">
        <f>IF(F1="售价",ROUND(PRODUCT(V41,AC7:AC40),0),ROUND(PRODUCT(V41,AC7:AC40),1))</f>
        <v>#DIV/0!</v>
      </c>
      <c r="W42" s="3335"/>
      <c r="X42" s="698"/>
      <c r="Y42" s="698"/>
      <c r="Z42" s="698"/>
      <c r="AA42" s="698"/>
      <c r="AB42" s="698"/>
      <c r="AC42" s="698"/>
    </row>
    <row r="43" spans="1:29" ht="15.75" thickBot="1">
      <c r="A43" s="448" t="s">
        <v>2489</v>
      </c>
      <c r="B43" s="449"/>
      <c r="C43" s="1324" t="e">
        <f>R43</f>
        <v>#DIV/0!</v>
      </c>
      <c r="D43" s="1324"/>
      <c r="E43" s="1324"/>
      <c r="F43" s="1324"/>
      <c r="G43" s="1324"/>
      <c r="H43" s="1324"/>
      <c r="I43" s="1324"/>
      <c r="J43" s="1324"/>
      <c r="K43" s="723"/>
      <c r="L43" s="1056"/>
      <c r="M43" s="1057"/>
      <c r="N43" s="1057"/>
      <c r="O43" s="1057"/>
      <c r="P43" s="3292" t="str">
        <f>A43</f>
        <v>估价对象XX用房的比较价值（楼面单价，元/平方米）</v>
      </c>
      <c r="Q43" s="3293"/>
      <c r="R43" s="3334" t="e">
        <f>IF(F1="售价",ROUND(IF(D42="简单平均",AVERAGE(R42:V42),R42*F42+T42*H42+V42*J42),0),ROUND(IF(D42="简单平均",AVERAGE(R42:V42),R42*F42+T42*H42+V42*J42),1))</f>
        <v>#DIV/0!</v>
      </c>
      <c r="S43" s="3334"/>
      <c r="T43" s="3334"/>
      <c r="U43" s="3334"/>
      <c r="V43" s="3334"/>
      <c r="W43" s="3334"/>
      <c r="X43" s="698"/>
      <c r="Y43" s="698"/>
      <c r="Z43" s="698"/>
      <c r="AA43" s="698"/>
      <c r="AB43" s="698"/>
      <c r="AC43" s="698"/>
    </row>
    <row r="44" spans="1:29">
      <c r="A44" s="2951"/>
      <c r="B44" s="2951"/>
      <c r="C44" s="2951"/>
      <c r="D44" s="2951"/>
      <c r="E44" s="2951"/>
      <c r="F44" s="2951"/>
      <c r="G44" s="2955"/>
      <c r="H44" s="2951"/>
      <c r="I44" s="2951"/>
      <c r="J44" s="2951"/>
      <c r="K44" s="2956"/>
      <c r="L44" s="1019"/>
      <c r="M44" s="1057"/>
      <c r="N44" s="1057"/>
      <c r="O44" s="1057"/>
    </row>
    <row r="45" spans="1:29">
      <c r="A45" s="2951"/>
      <c r="B45" s="2951"/>
      <c r="C45" s="2951"/>
      <c r="D45" s="2951"/>
      <c r="E45" s="2951"/>
      <c r="F45" s="2951"/>
      <c r="G45" s="2951"/>
      <c r="H45" s="2951"/>
      <c r="I45" s="2951"/>
      <c r="J45" s="2951"/>
      <c r="K45" s="2956"/>
      <c r="L45" s="1019"/>
      <c r="M45" s="1057"/>
      <c r="N45" s="1057"/>
      <c r="O45" s="1057"/>
    </row>
    <row r="46" spans="1:29" ht="13.5" customHeight="1">
      <c r="A46" s="2951"/>
      <c r="B46" s="2951"/>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1019"/>
      <c r="M46" s="1057"/>
      <c r="N46" s="1057"/>
      <c r="O46" s="1057"/>
    </row>
    <row r="47" spans="1:29" ht="13.5" customHeight="1">
      <c r="A47" s="2951"/>
      <c r="B47" s="2951"/>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1019"/>
      <c r="M47" s="1057"/>
      <c r="N47" s="1057"/>
      <c r="O47" s="1057"/>
    </row>
    <row r="48" spans="1:29" s="458" customFormat="1" ht="13.5" customHeight="1">
      <c r="A48" s="2954"/>
      <c r="B48" s="2954"/>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1060"/>
      <c r="M48" s="1058"/>
      <c r="N48" s="1058"/>
      <c r="O48" s="1058"/>
    </row>
    <row r="49" spans="1:17" s="458" customFormat="1">
      <c r="A49" s="2954"/>
      <c r="B49" s="2957"/>
      <c r="C49" s="2958"/>
      <c r="D49" s="2954"/>
      <c r="E49" s="2954"/>
      <c r="F49" s="2954"/>
      <c r="G49" s="2954"/>
      <c r="H49" s="2954"/>
      <c r="I49" s="2954"/>
      <c r="J49" s="2954"/>
      <c r="K49" s="2959"/>
      <c r="L49" s="1060"/>
      <c r="M49" s="1058"/>
      <c r="N49" s="1058"/>
      <c r="O49" s="1058"/>
    </row>
    <row r="50" spans="1:17">
      <c r="A50" s="2951"/>
      <c r="B50" s="2957"/>
      <c r="C50" s="2958"/>
      <c r="D50" s="2951"/>
      <c r="E50" s="2951"/>
      <c r="F50" s="2951"/>
      <c r="G50" s="2951"/>
      <c r="H50" s="2951"/>
      <c r="I50" s="2951"/>
      <c r="J50" s="2951"/>
      <c r="K50" s="2956"/>
      <c r="L50" s="1019"/>
      <c r="M50" s="1057"/>
      <c r="N50" s="1057"/>
      <c r="O50" s="1057"/>
    </row>
    <row r="51" spans="1:17" ht="21.75" thickBot="1">
      <c r="A51" s="702" t="s">
        <v>2493</v>
      </c>
      <c r="B51" s="698"/>
      <c r="C51" s="703"/>
      <c r="D51" s="703"/>
      <c r="E51" s="703"/>
      <c r="F51" s="704"/>
      <c r="G51" s="704"/>
      <c r="H51" s="703"/>
      <c r="I51" s="703"/>
      <c r="J51" s="703"/>
      <c r="K51" s="1071"/>
      <c r="L51" s="1072"/>
      <c r="M51" s="1070"/>
      <c r="N51" s="1070"/>
      <c r="O51" s="1070"/>
      <c r="P51" s="459"/>
      <c r="Q51" s="460"/>
    </row>
    <row r="52" spans="1:17" s="464" customFormat="1" ht="15">
      <c r="A52" s="461" t="s">
        <v>2367</v>
      </c>
      <c r="B52" s="462"/>
      <c r="C52" s="1345" t="str">
        <f>YEAR(C7)&amp;"-"&amp;MONTH(C7)</f>
        <v>2021-10</v>
      </c>
      <c r="D52" s="1346">
        <f>EDATE(C52,-1)</f>
        <v>44440</v>
      </c>
      <c r="E52" s="1346">
        <f t="shared" ref="E52:O52" si="16">EDATE(D52,-1)</f>
        <v>44409</v>
      </c>
      <c r="F52" s="1346">
        <f t="shared" si="16"/>
        <v>44378</v>
      </c>
      <c r="G52" s="1346">
        <f t="shared" si="16"/>
        <v>44348</v>
      </c>
      <c r="H52" s="1346">
        <f t="shared" si="16"/>
        <v>44317</v>
      </c>
      <c r="I52" s="1346">
        <f t="shared" si="16"/>
        <v>44287</v>
      </c>
      <c r="J52" s="1346">
        <f t="shared" si="16"/>
        <v>44256</v>
      </c>
      <c r="K52" s="1346">
        <f t="shared" si="16"/>
        <v>44228</v>
      </c>
      <c r="L52" s="1346">
        <f t="shared" si="16"/>
        <v>44197</v>
      </c>
      <c r="M52" s="1346">
        <f t="shared" si="16"/>
        <v>44166</v>
      </c>
      <c r="N52" s="1346">
        <f t="shared" si="16"/>
        <v>44136</v>
      </c>
      <c r="O52" s="1346">
        <f t="shared" si="16"/>
        <v>44105</v>
      </c>
      <c r="P52" s="463"/>
    </row>
    <row r="53" spans="1:17" s="112" customFormat="1" ht="15">
      <c r="A53" s="465"/>
      <c r="B53" s="466"/>
      <c r="C53" s="1344">
        <v>100</v>
      </c>
      <c r="D53" s="468"/>
      <c r="E53" s="468"/>
      <c r="F53" s="468"/>
      <c r="G53" s="468"/>
      <c r="H53" s="468"/>
      <c r="I53" s="468"/>
      <c r="J53" s="468"/>
      <c r="K53" s="468"/>
      <c r="L53" s="468"/>
      <c r="M53" s="469"/>
      <c r="N53" s="468"/>
      <c r="O53" s="470"/>
      <c r="P53" s="460"/>
    </row>
    <row r="54" spans="1:17" s="112" customFormat="1" ht="15.75" thickBot="1">
      <c r="A54" s="471" t="s">
        <v>2404</v>
      </c>
      <c r="B54" s="472"/>
      <c r="C54" s="473"/>
      <c r="D54" s="474"/>
      <c r="E54" s="474"/>
      <c r="F54" s="474"/>
      <c r="G54" s="474"/>
      <c r="H54" s="474"/>
      <c r="I54" s="474"/>
      <c r="J54" s="474"/>
      <c r="K54" s="474"/>
      <c r="L54" s="474"/>
      <c r="M54" s="475"/>
      <c r="N54" s="2996"/>
      <c r="O54" s="2997"/>
      <c r="P54" s="460"/>
      <c r="Q54" s="460"/>
    </row>
    <row r="55" spans="1:17" s="112" customFormat="1" ht="15">
      <c r="A55" s="477" t="s">
        <v>2369</v>
      </c>
      <c r="B55" s="466"/>
      <c r="C55" s="478" t="s">
        <v>2471</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2407</v>
      </c>
      <c r="B57" s="484" t="s">
        <v>2373</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2376</v>
      </c>
      <c r="C59" s="495" t="s">
        <v>2408</v>
      </c>
      <c r="D59" s="495" t="s">
        <v>2409</v>
      </c>
      <c r="E59" s="495" t="s">
        <v>2410</v>
      </c>
      <c r="F59" s="495" t="s">
        <v>2411</v>
      </c>
      <c r="G59" s="495" t="s">
        <v>2412</v>
      </c>
      <c r="H59" s="495" t="s">
        <v>2413</v>
      </c>
      <c r="I59" s="495" t="s">
        <v>2414</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2378</v>
      </c>
      <c r="B70" s="484" t="s">
        <v>2524</v>
      </c>
      <c r="C70" s="529" t="s">
        <v>2416</v>
      </c>
      <c r="D70" s="529" t="s">
        <v>2417</v>
      </c>
      <c r="E70" s="529" t="s">
        <v>2418</v>
      </c>
      <c r="F70" s="529" t="s">
        <v>2419</v>
      </c>
      <c r="G70" s="529" t="s">
        <v>2420</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2421</v>
      </c>
      <c r="C72" s="534" t="s">
        <v>2416</v>
      </c>
      <c r="D72" s="534" t="s">
        <v>2417</v>
      </c>
      <c r="E72" s="534" t="s">
        <v>2418</v>
      </c>
      <c r="F72" s="534" t="s">
        <v>2419</v>
      </c>
      <c r="G72" s="534" t="s">
        <v>2420</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2422</v>
      </c>
      <c r="C74" s="534" t="s">
        <v>2416</v>
      </c>
      <c r="D74" s="534" t="s">
        <v>2417</v>
      </c>
      <c r="E74" s="534" t="s">
        <v>2418</v>
      </c>
      <c r="F74" s="534" t="s">
        <v>2419</v>
      </c>
      <c r="G74" s="534" t="s">
        <v>2420</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2508</v>
      </c>
      <c r="C76" s="615" t="s">
        <v>2494</v>
      </c>
      <c r="D76" s="615" t="s">
        <v>2495</v>
      </c>
      <c r="E76" s="615" t="s">
        <v>2496</v>
      </c>
      <c r="F76" s="615" t="s">
        <v>2497</v>
      </c>
      <c r="G76" s="615" t="s">
        <v>2498</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2517</v>
      </c>
      <c r="C78" s="534" t="s">
        <v>2416</v>
      </c>
      <c r="D78" s="534" t="s">
        <v>2417</v>
      </c>
      <c r="E78" s="534" t="s">
        <v>2418</v>
      </c>
      <c r="F78" s="534" t="s">
        <v>2419</v>
      </c>
      <c r="G78" s="534" t="s">
        <v>2420</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2" customFormat="1" ht="15.75" thickTop="1">
      <c r="A80" s="535"/>
      <c r="B80" s="494">
        <f>B25</f>
        <v>111</v>
      </c>
      <c r="C80" s="510"/>
      <c r="D80" s="510"/>
      <c r="E80" s="510"/>
      <c r="F80" s="510"/>
      <c r="G80" s="510"/>
      <c r="H80" s="510"/>
      <c r="I80" s="510"/>
      <c r="J80" s="510"/>
      <c r="K80" s="510"/>
      <c r="L80" s="536"/>
      <c r="M80" s="537"/>
      <c r="N80" s="1062"/>
      <c r="O80" s="1062"/>
      <c r="P80" s="45"/>
      <c r="Q80" s="460"/>
    </row>
    <row r="81" spans="1:17" s="112" customFormat="1" ht="15.75" thickBot="1">
      <c r="A81" s="535"/>
      <c r="B81" s="499"/>
      <c r="C81" s="516"/>
      <c r="D81" s="492"/>
      <c r="E81" s="492"/>
      <c r="F81" s="492"/>
      <c r="G81" s="492"/>
      <c r="H81" s="492"/>
      <c r="I81" s="492"/>
      <c r="J81" s="492"/>
      <c r="K81" s="492"/>
      <c r="L81" s="492"/>
      <c r="M81" s="493"/>
      <c r="N81" s="1064"/>
      <c r="O81" s="1064"/>
      <c r="P81" s="45"/>
      <c r="Q81" s="460"/>
    </row>
    <row r="82" spans="1:17" s="112" customFormat="1" ht="15.75" thickTop="1">
      <c r="A82" s="535"/>
      <c r="B82" s="494">
        <f>B26</f>
        <v>111</v>
      </c>
      <c r="C82" s="510"/>
      <c r="D82" s="510"/>
      <c r="E82" s="510"/>
      <c r="F82" s="510"/>
      <c r="G82" s="510"/>
      <c r="H82" s="510"/>
      <c r="I82" s="510"/>
      <c r="J82" s="510"/>
      <c r="K82" s="510"/>
      <c r="L82" s="536"/>
      <c r="M82" s="537"/>
      <c r="N82" s="1062"/>
      <c r="O82" s="1062"/>
      <c r="P82" s="45"/>
      <c r="Q82" s="460"/>
    </row>
    <row r="83" spans="1:17" s="112"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1"/>
      <c r="B87" s="525"/>
      <c r="C87" s="526"/>
      <c r="D87" s="526"/>
      <c r="E87" s="526"/>
      <c r="F87" s="526"/>
      <c r="G87" s="547"/>
      <c r="H87" s="547"/>
      <c r="I87" s="547"/>
      <c r="J87" s="547"/>
      <c r="K87" s="547"/>
      <c r="L87" s="547"/>
      <c r="M87" s="548"/>
      <c r="N87" s="1064"/>
      <c r="O87" s="1064"/>
      <c r="P87" s="45"/>
      <c r="Q87" s="460"/>
    </row>
    <row r="88" spans="1:17">
      <c r="A88" s="483" t="s">
        <v>2382</v>
      </c>
      <c r="B88" s="484" t="s">
        <v>2431</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2433</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2435</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1877</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2436</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2437</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2439</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2525</v>
      </c>
      <c r="C106" s="534" t="s">
        <v>2416</v>
      </c>
      <c r="D106" s="534" t="s">
        <v>2417</v>
      </c>
      <c r="E106" s="534" t="s">
        <v>2418</v>
      </c>
      <c r="F106" s="534" t="s">
        <v>2419</v>
      </c>
      <c r="G106" s="534" t="s">
        <v>2420</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1"/>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2526</v>
      </c>
      <c r="B1" s="1390"/>
      <c r="C1" s="1391" t="s">
        <v>2349</v>
      </c>
      <c r="D1" s="1392"/>
      <c r="E1" s="1393"/>
      <c r="F1" s="2064"/>
      <c r="G1" s="1394" t="s">
        <v>2462</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2149</v>
      </c>
      <c r="B2" s="1325" t="e">
        <f ca="1">IF(C2="——",IF(B37="元/平方米",ROUND(C39*D3/10000,0),ROUND(F3*C39/10000,0)),IF(B37="元/平方米",ROUND(C39*D3/10000,0),ROUND(F3*C39/10000,0))-D2)</f>
        <v>#DIV/0!</v>
      </c>
      <c r="C2" s="2066"/>
      <c r="D2" s="1037" t="e">
        <f ca="1">SUMIF(INDIRECT("'"&amp;F2&amp;"'"&amp;"!A:A"),"承租人权益价值",INDIRECT("'"&amp;F2&amp;"'"&amp;"!c:c"))</f>
        <v>#REF!</v>
      </c>
      <c r="E2" s="2067" t="s">
        <v>2150</v>
      </c>
      <c r="F2" s="2068"/>
      <c r="G2" s="1038"/>
      <c r="H2" s="1038"/>
      <c r="I2" s="1038"/>
      <c r="J2" s="1038"/>
      <c r="K2" s="1040"/>
      <c r="L2" s="2960"/>
      <c r="M2" s="2961"/>
      <c r="N2" s="2961"/>
      <c r="O2" s="2961"/>
      <c r="P2" s="1326"/>
      <c r="Q2" s="707"/>
      <c r="R2" s="707"/>
      <c r="S2" s="707"/>
      <c r="T2" s="707"/>
      <c r="U2" s="707"/>
      <c r="V2" s="707"/>
      <c r="W2" s="707"/>
      <c r="X2" s="707"/>
      <c r="Y2" s="707"/>
      <c r="Z2" s="707"/>
      <c r="AA2" s="707"/>
      <c r="AB2" s="707"/>
      <c r="AC2" s="708"/>
    </row>
    <row r="3" spans="1:29" s="357" customFormat="1" ht="28.5" customHeight="1" thickBot="1">
      <c r="A3" s="208" t="s">
        <v>2151</v>
      </c>
      <c r="B3" s="565" t="e">
        <f ca="1">IF(AND(C2="——",B37="元/平方米"),C39,ROUND(B2*10000/D3,0))</f>
        <v>#DIV/0!</v>
      </c>
      <c r="C3" s="359" t="s">
        <v>2463</v>
      </c>
      <c r="D3" s="358">
        <f>SUMIF('数据-汇总表'!$C19:$C33,D1,'数据-汇总表'!$E19:$E33)</f>
        <v>0</v>
      </c>
      <c r="E3" s="359" t="s">
        <v>2527</v>
      </c>
      <c r="F3" s="358">
        <f>SUMIF('数据-取费表'!A5:A15,D1,'数据-取费表'!AH5:AH15)</f>
        <v>0</v>
      </c>
      <c r="G3" s="1038"/>
      <c r="H3" s="1038"/>
      <c r="I3" s="1038"/>
      <c r="J3" s="1038"/>
      <c r="K3" s="1040"/>
      <c r="L3" s="2960"/>
      <c r="M3" s="2961"/>
      <c r="N3" s="2961"/>
      <c r="O3" s="2961"/>
      <c r="P3" s="1326"/>
      <c r="Q3" s="707"/>
      <c r="R3" s="707"/>
      <c r="S3" s="707"/>
      <c r="T3" s="707"/>
      <c r="U3" s="707"/>
      <c r="V3" s="707"/>
      <c r="W3" s="707"/>
      <c r="X3" s="707"/>
      <c r="Y3" s="707"/>
      <c r="Z3" s="707"/>
      <c r="AA3" s="707"/>
      <c r="AB3" s="724"/>
      <c r="AC3" s="721"/>
    </row>
    <row r="4" spans="1:29" ht="15">
      <c r="A4" s="360" t="s">
        <v>2464</v>
      </c>
      <c r="B4" s="361"/>
      <c r="C4" s="3295" t="s">
        <v>2465</v>
      </c>
      <c r="D4" s="3308"/>
      <c r="E4" s="3309" t="s">
        <v>2466</v>
      </c>
      <c r="F4" s="3310"/>
      <c r="G4" s="3295" t="s">
        <v>2467</v>
      </c>
      <c r="H4" s="3308"/>
      <c r="I4" s="3295" t="s">
        <v>2468</v>
      </c>
      <c r="J4" s="3308"/>
      <c r="K4" s="566" t="s">
        <v>2469</v>
      </c>
      <c r="L4" s="2941"/>
      <c r="M4" s="2942"/>
      <c r="N4" s="2942"/>
      <c r="O4" s="2942"/>
      <c r="P4" s="3311" t="s">
        <v>2470</v>
      </c>
      <c r="Q4" s="3312"/>
      <c r="R4" s="3317" t="s">
        <v>2466</v>
      </c>
      <c r="S4" s="3318"/>
      <c r="T4" s="3317" t="s">
        <v>2467</v>
      </c>
      <c r="U4" s="3318"/>
      <c r="V4" s="3304" t="s">
        <v>2468</v>
      </c>
      <c r="W4" s="3304"/>
      <c r="X4" s="1538"/>
      <c r="Y4" s="3317" t="s">
        <v>2470</v>
      </c>
      <c r="Z4" s="3318"/>
      <c r="AA4" s="3305" t="s">
        <v>2466</v>
      </c>
      <c r="AB4" s="3306" t="s">
        <v>2467</v>
      </c>
      <c r="AC4" s="3305" t="s">
        <v>2468</v>
      </c>
    </row>
    <row r="5" spans="1:29" ht="15">
      <c r="A5" s="363"/>
      <c r="B5" s="364"/>
      <c r="C5" s="3325" t="s">
        <v>2361</v>
      </c>
      <c r="D5" s="3326"/>
      <c r="E5" s="3332" t="s">
        <v>2362</v>
      </c>
      <c r="F5" s="3333"/>
      <c r="G5" s="3325" t="s">
        <v>2363</v>
      </c>
      <c r="H5" s="3326"/>
      <c r="I5" s="3325" t="s">
        <v>2364</v>
      </c>
      <c r="J5" s="3326"/>
      <c r="K5" s="566"/>
      <c r="L5" s="2941"/>
      <c r="M5" s="2942"/>
      <c r="N5" s="2942"/>
      <c r="O5" s="2942"/>
      <c r="P5" s="3313"/>
      <c r="Q5" s="3314"/>
      <c r="R5" s="3319"/>
      <c r="S5" s="3320"/>
      <c r="T5" s="3319"/>
      <c r="U5" s="3320"/>
      <c r="V5" s="3304"/>
      <c r="W5" s="3304"/>
      <c r="X5" s="1538"/>
      <c r="Y5" s="3319"/>
      <c r="Z5" s="3320"/>
      <c r="AA5" s="3306"/>
      <c r="AB5" s="3306"/>
      <c r="AC5" s="3306"/>
    </row>
    <row r="6" spans="1:29" ht="15.75" thickBot="1">
      <c r="A6" s="365"/>
      <c r="B6" s="366"/>
      <c r="C6" s="3323" t="s">
        <v>2365</v>
      </c>
      <c r="D6" s="3324"/>
      <c r="E6" s="3330" t="s">
        <v>2365</v>
      </c>
      <c r="F6" s="3331"/>
      <c r="G6" s="3323" t="s">
        <v>2365</v>
      </c>
      <c r="H6" s="3324"/>
      <c r="I6" s="3323" t="s">
        <v>2365</v>
      </c>
      <c r="J6" s="3324"/>
      <c r="K6" s="566" t="s">
        <v>2366</v>
      </c>
      <c r="L6" s="2941"/>
      <c r="M6" s="2942"/>
      <c r="N6" s="2942"/>
      <c r="O6" s="2942"/>
      <c r="P6" s="3315"/>
      <c r="Q6" s="3316"/>
      <c r="R6" s="3319"/>
      <c r="S6" s="3320"/>
      <c r="T6" s="3321"/>
      <c r="U6" s="3322"/>
      <c r="V6" s="3304"/>
      <c r="W6" s="3304"/>
      <c r="X6" s="1538"/>
      <c r="Y6" s="3321"/>
      <c r="Z6" s="3322"/>
      <c r="AA6" s="3307"/>
      <c r="AB6" s="3307"/>
      <c r="AC6" s="3307"/>
    </row>
    <row r="7" spans="1:29" s="112" customFormat="1" ht="15.75" thickBot="1">
      <c r="A7" s="367" t="s">
        <v>2367</v>
      </c>
      <c r="B7" s="368"/>
      <c r="C7" s="369">
        <f>'数据-取费表'!B2</f>
        <v>44478</v>
      </c>
      <c r="D7" s="370">
        <v>100</v>
      </c>
      <c r="E7" s="371"/>
      <c r="F7" s="372">
        <f>SUMIF(48:48,YEAR(E7)&amp;"-"&amp;MONTH(E7),49:49)</f>
        <v>0</v>
      </c>
      <c r="G7" s="371"/>
      <c r="H7" s="370">
        <f>SUMIF(48:48,YEAR(G7)&amp;"-"&amp;MONTH(G7),49:49)</f>
        <v>0</v>
      </c>
      <c r="I7" s="371"/>
      <c r="J7" s="370">
        <f>SUMIF(48:48,YEAR(I7)&amp;"-"&amp;MONTH(I7),49:49)</f>
        <v>0</v>
      </c>
      <c r="K7" s="567"/>
      <c r="L7" s="2943"/>
      <c r="M7" s="2944"/>
      <c r="N7" s="2944"/>
      <c r="O7" s="2944"/>
      <c r="P7" s="3327" t="s">
        <v>2368</v>
      </c>
      <c r="Q7" s="3329"/>
      <c r="R7" s="709" t="s">
        <v>17</v>
      </c>
      <c r="S7" s="710">
        <f t="shared" ref="S7:S14" si="0">F7</f>
        <v>0</v>
      </c>
      <c r="T7" s="709" t="s">
        <v>17</v>
      </c>
      <c r="U7" s="710">
        <f t="shared" ref="U7:U14" si="1">H7</f>
        <v>0</v>
      </c>
      <c r="V7" s="709" t="s">
        <v>17</v>
      </c>
      <c r="W7" s="710">
        <f t="shared" ref="W7:W14" si="2">J7</f>
        <v>0</v>
      </c>
      <c r="X7" s="711"/>
      <c r="Y7" s="3327" t="s">
        <v>2368</v>
      </c>
      <c r="Z7" s="3328"/>
      <c r="AA7" s="712" t="e">
        <f>D7/F7</f>
        <v>#DIV/0!</v>
      </c>
      <c r="AB7" s="712" t="e">
        <f>D7/H7</f>
        <v>#DIV/0!</v>
      </c>
      <c r="AC7" s="712" t="e">
        <f>D7/J7</f>
        <v>#DIV/0!</v>
      </c>
    </row>
    <row r="8" spans="1:29" s="112" customFormat="1" ht="15.75" thickBot="1">
      <c r="A8" s="367" t="s">
        <v>2369</v>
      </c>
      <c r="B8" s="368"/>
      <c r="C8" s="373" t="s">
        <v>2471</v>
      </c>
      <c r="D8" s="370">
        <v>100</v>
      </c>
      <c r="E8" s="373"/>
      <c r="F8" s="372">
        <f>SUMIF(51:51,E8,52:52)-SUMIF(51:51,C8,52:52)+100</f>
        <v>0</v>
      </c>
      <c r="G8" s="373"/>
      <c r="H8" s="370">
        <f>SUMIF(51:51,G8,52:52)-SUMIF(51:51,C8,52:52)+100</f>
        <v>0</v>
      </c>
      <c r="I8" s="373"/>
      <c r="J8" s="370">
        <f>SUMIF(51:51,I8,52:52)-SUMIF(51:51,C8,52:52)+100</f>
        <v>0</v>
      </c>
      <c r="K8" s="567"/>
      <c r="L8" s="2943"/>
      <c r="M8" s="2944"/>
      <c r="N8" s="2944"/>
      <c r="O8" s="2944"/>
      <c r="P8" s="3327" t="s">
        <v>2371</v>
      </c>
      <c r="Q8" s="3328"/>
      <c r="R8" s="709" t="s">
        <v>17</v>
      </c>
      <c r="S8" s="710">
        <f t="shared" si="0"/>
        <v>0</v>
      </c>
      <c r="T8" s="709" t="s">
        <v>17</v>
      </c>
      <c r="U8" s="710">
        <f t="shared" si="1"/>
        <v>0</v>
      </c>
      <c r="V8" s="709" t="s">
        <v>17</v>
      </c>
      <c r="W8" s="710">
        <f t="shared" si="2"/>
        <v>0</v>
      </c>
      <c r="X8" s="711"/>
      <c r="Y8" s="3327" t="s">
        <v>2371</v>
      </c>
      <c r="Z8" s="3328"/>
      <c r="AA8" s="712" t="e">
        <f t="shared" ref="AA8:AA36" si="3">D8/F8</f>
        <v>#DIV/0!</v>
      </c>
      <c r="AB8" s="712" t="e">
        <f t="shared" ref="AB8:AB36" si="4">D8/H8</f>
        <v>#DIV/0!</v>
      </c>
      <c r="AC8" s="712" t="e">
        <f t="shared" ref="AC8:AC36" si="5">D8/J8</f>
        <v>#DIV/0!</v>
      </c>
    </row>
    <row r="9" spans="1:29" s="112" customFormat="1">
      <c r="A9" s="63" t="s">
        <v>2372</v>
      </c>
      <c r="B9" s="595" t="s">
        <v>2373</v>
      </c>
      <c r="C9" s="375"/>
      <c r="D9" s="130">
        <v>100</v>
      </c>
      <c r="E9" s="378"/>
      <c r="F9" s="130">
        <f>SUMIF(53:53,E9,54:54)-SUMIF(53:53,C9,54:54)+100</f>
        <v>100</v>
      </c>
      <c r="G9" s="376"/>
      <c r="H9" s="130">
        <f>SUMIF(53:53,G9,54:54)-SUMIF(53:53,C9,54:54)+100</f>
        <v>100</v>
      </c>
      <c r="I9" s="376"/>
      <c r="J9" s="130">
        <f>SUMIF(53:53,I9,54:54)-SUMIF(53:53,C9,54:54)+100</f>
        <v>100</v>
      </c>
      <c r="K9" s="567"/>
      <c r="L9" s="2943"/>
      <c r="M9" s="2944"/>
      <c r="N9" s="2944"/>
      <c r="O9" s="2944"/>
      <c r="P9" s="3298" t="s">
        <v>2374</v>
      </c>
      <c r="Q9" s="1526" t="str">
        <f t="shared" ref="Q9:Q14" si="6">B9</f>
        <v>用途</v>
      </c>
      <c r="R9" s="709" t="s">
        <v>17</v>
      </c>
      <c r="S9" s="710">
        <f t="shared" si="0"/>
        <v>100</v>
      </c>
      <c r="T9" s="709" t="s">
        <v>17</v>
      </c>
      <c r="U9" s="710">
        <f t="shared" si="1"/>
        <v>100</v>
      </c>
      <c r="V9" s="709" t="s">
        <v>17</v>
      </c>
      <c r="W9" s="710">
        <f t="shared" si="2"/>
        <v>100</v>
      </c>
      <c r="X9" s="711"/>
      <c r="Y9" s="3192" t="s">
        <v>2375</v>
      </c>
      <c r="Z9" s="55" t="str">
        <f t="shared" ref="Z9:Z14" si="7">Q9</f>
        <v>用途</v>
      </c>
      <c r="AA9" s="712">
        <f t="shared" si="3"/>
        <v>1</v>
      </c>
      <c r="AB9" s="712">
        <f t="shared" si="4"/>
        <v>1</v>
      </c>
      <c r="AC9" s="712">
        <f t="shared" si="5"/>
        <v>1</v>
      </c>
    </row>
    <row r="10" spans="1:29" s="385" customFormat="1" ht="27">
      <c r="A10" s="596"/>
      <c r="B10" s="597" t="s">
        <v>2376</v>
      </c>
      <c r="C10" s="381"/>
      <c r="D10" s="131">
        <v>100</v>
      </c>
      <c r="E10" s="381"/>
      <c r="F10" s="131">
        <f>SUMIF(55:55,E10,56:56)-SUMIF(55:55,C10,56:56)+100</f>
        <v>100</v>
      </c>
      <c r="G10" s="382"/>
      <c r="H10" s="131">
        <f>SUMIF(55:55,G10,56:56)-SUMIF(55:55,C10,56:56)+100</f>
        <v>100</v>
      </c>
      <c r="I10" s="381"/>
      <c r="J10" s="131">
        <f>SUMIF(55:55,I10,56:56)-SUMIF(55:55,C10,56:56)+100</f>
        <v>100</v>
      </c>
      <c r="K10" s="568"/>
      <c r="L10" s="2945"/>
      <c r="M10" s="2946"/>
      <c r="N10" s="2946"/>
      <c r="O10" s="2946"/>
      <c r="P10" s="3298"/>
      <c r="Q10" s="1526" t="str">
        <f t="shared" si="6"/>
        <v>土地使用年限（年）</v>
      </c>
      <c r="R10" s="709" t="s">
        <v>17</v>
      </c>
      <c r="S10" s="710">
        <f t="shared" si="0"/>
        <v>100</v>
      </c>
      <c r="T10" s="709" t="s">
        <v>17</v>
      </c>
      <c r="U10" s="710">
        <f t="shared" si="1"/>
        <v>100</v>
      </c>
      <c r="V10" s="709" t="s">
        <v>17</v>
      </c>
      <c r="W10" s="710">
        <f t="shared" si="2"/>
        <v>100</v>
      </c>
      <c r="X10" s="711"/>
      <c r="Y10" s="3192"/>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7"/>
      <c r="M11" s="2942"/>
      <c r="N11" s="2942"/>
      <c r="O11" s="2942"/>
      <c r="P11" s="3298"/>
      <c r="Q11" s="1526">
        <f t="shared" si="6"/>
        <v>111</v>
      </c>
      <c r="R11" s="709" t="s">
        <v>17</v>
      </c>
      <c r="S11" s="710">
        <f t="shared" si="0"/>
        <v>100</v>
      </c>
      <c r="T11" s="709" t="s">
        <v>17</v>
      </c>
      <c r="U11" s="710">
        <f t="shared" si="1"/>
        <v>100</v>
      </c>
      <c r="V11" s="709" t="s">
        <v>17</v>
      </c>
      <c r="W11" s="710">
        <f t="shared" si="2"/>
        <v>100</v>
      </c>
      <c r="X11" s="711"/>
      <c r="Y11" s="3192"/>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3"/>
      <c r="M12" s="2944"/>
      <c r="N12" s="2944"/>
      <c r="O12" s="2944"/>
      <c r="P12" s="3298"/>
      <c r="Q12" s="1526">
        <f t="shared" si="6"/>
        <v>111</v>
      </c>
      <c r="R12" s="709" t="s">
        <v>17</v>
      </c>
      <c r="S12" s="710">
        <f t="shared" si="0"/>
        <v>100</v>
      </c>
      <c r="T12" s="709" t="s">
        <v>17</v>
      </c>
      <c r="U12" s="710">
        <f t="shared" si="1"/>
        <v>100</v>
      </c>
      <c r="V12" s="709" t="s">
        <v>17</v>
      </c>
      <c r="W12" s="710">
        <f t="shared" si="2"/>
        <v>100</v>
      </c>
      <c r="X12" s="711"/>
      <c r="Y12" s="3192"/>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8"/>
      <c r="M13" s="2942"/>
      <c r="N13" s="2942"/>
      <c r="O13" s="2942"/>
      <c r="P13" s="3298"/>
      <c r="Q13" s="1526">
        <f t="shared" si="6"/>
        <v>111</v>
      </c>
      <c r="R13" s="709" t="s">
        <v>17</v>
      </c>
      <c r="S13" s="710">
        <f t="shared" si="0"/>
        <v>100</v>
      </c>
      <c r="T13" s="709" t="s">
        <v>17</v>
      </c>
      <c r="U13" s="710">
        <f t="shared" si="1"/>
        <v>100</v>
      </c>
      <c r="V13" s="709" t="s">
        <v>17</v>
      </c>
      <c r="W13" s="710">
        <f t="shared" si="2"/>
        <v>100</v>
      </c>
      <c r="X13" s="711"/>
      <c r="Y13" s="3192"/>
      <c r="Z13" s="55">
        <f t="shared" si="7"/>
        <v>111</v>
      </c>
      <c r="AA13" s="712">
        <f t="shared" si="3"/>
        <v>1</v>
      </c>
      <c r="AB13" s="712">
        <f t="shared" si="4"/>
        <v>1</v>
      </c>
      <c r="AC13" s="712">
        <f t="shared" si="5"/>
        <v>1</v>
      </c>
    </row>
    <row r="14" spans="1:29" ht="15">
      <c r="A14" s="360" t="s">
        <v>2378</v>
      </c>
      <c r="B14" s="584" t="s">
        <v>2528</v>
      </c>
      <c r="C14" s="2154">
        <f>IF(B1="工业",估价对象房地状况!G4,估价对象房地状况!C6)</f>
        <v>0</v>
      </c>
      <c r="D14" s="399">
        <v>100</v>
      </c>
      <c r="E14" s="400"/>
      <c r="F14" s="401">
        <f>SUMIF(63:63,E15,64:64)-SUMIF(63:63,C15,64:64)+100</f>
        <v>100</v>
      </c>
      <c r="G14" s="402"/>
      <c r="H14" s="399">
        <f>SUMIF(63:63,G15,64:64)-SUMIF(63:63,C15,64:64)+100</f>
        <v>100</v>
      </c>
      <c r="I14" s="400"/>
      <c r="J14" s="399">
        <f>SUMIF(63:63,I15,64:64)-SUMIF(63:63,C15,64:64)+100</f>
        <v>100</v>
      </c>
      <c r="K14" s="570"/>
      <c r="L14" s="2948"/>
      <c r="M14" s="2942"/>
      <c r="N14" s="2942"/>
      <c r="O14" s="2942"/>
      <c r="P14" s="3300" t="s">
        <v>2379</v>
      </c>
      <c r="Q14" s="1535" t="str">
        <f t="shared" si="6"/>
        <v>交通便捷度</v>
      </c>
      <c r="R14" s="713" t="s">
        <v>17</v>
      </c>
      <c r="S14" s="714">
        <f t="shared" si="0"/>
        <v>100</v>
      </c>
      <c r="T14" s="713" t="s">
        <v>17</v>
      </c>
      <c r="U14" s="714">
        <f t="shared" si="1"/>
        <v>100</v>
      </c>
      <c r="V14" s="713" t="s">
        <v>17</v>
      </c>
      <c r="W14" s="714">
        <f t="shared" si="2"/>
        <v>100</v>
      </c>
      <c r="X14" s="1538"/>
      <c r="Y14" s="3300" t="s">
        <v>2379</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48"/>
      <c r="M15" s="2942"/>
      <c r="N15" s="2942"/>
      <c r="O15" s="2942"/>
      <c r="P15" s="3301"/>
      <c r="Q15" s="1535"/>
      <c r="R15" s="713"/>
      <c r="S15" s="714"/>
      <c r="T15" s="713"/>
      <c r="U15" s="714"/>
      <c r="V15" s="713"/>
      <c r="W15" s="714"/>
      <c r="X15" s="1538"/>
      <c r="Y15" s="3301"/>
      <c r="Z15" s="1539"/>
      <c r="AA15" s="1536">
        <v>1</v>
      </c>
      <c r="AB15" s="1536">
        <v>1</v>
      </c>
      <c r="AC15" s="1536">
        <v>1</v>
      </c>
    </row>
    <row r="16" spans="1:29" ht="15">
      <c r="A16" s="363"/>
      <c r="B16" s="586" t="s">
        <v>2507</v>
      </c>
      <c r="C16" s="2085">
        <f>IF(B1="工业",估价对象房地状况!G5,估价对象房地状况!C7)</f>
        <v>0</v>
      </c>
      <c r="D16" s="413">
        <v>100</v>
      </c>
      <c r="E16" s="415"/>
      <c r="F16" s="416">
        <f>SUMIF(65:65,E17,66:66)-SUMIF(65:65,C17,66:66)+100</f>
        <v>100</v>
      </c>
      <c r="G16" s="417"/>
      <c r="H16" s="413">
        <f>SUMIF(65:65,G17,66:66)-SUMIF(65:65,C17,66:66)+100</f>
        <v>100</v>
      </c>
      <c r="I16" s="415"/>
      <c r="J16" s="413">
        <f>SUMIF(65:65,I17,66:66)-SUMIF(65:65,C17,66:66)+100</f>
        <v>100</v>
      </c>
      <c r="K16" s="570"/>
      <c r="L16" s="2948"/>
      <c r="M16" s="2942"/>
      <c r="N16" s="2942"/>
      <c r="O16" s="2942"/>
      <c r="P16" s="3301"/>
      <c r="Q16" s="1535" t="str">
        <f>B16</f>
        <v>公共配套设施</v>
      </c>
      <c r="R16" s="713" t="s">
        <v>17</v>
      </c>
      <c r="S16" s="714">
        <f>F16</f>
        <v>100</v>
      </c>
      <c r="T16" s="713" t="s">
        <v>17</v>
      </c>
      <c r="U16" s="714">
        <f>H16</f>
        <v>100</v>
      </c>
      <c r="V16" s="713" t="s">
        <v>17</v>
      </c>
      <c r="W16" s="714">
        <f>J16</f>
        <v>100</v>
      </c>
      <c r="X16" s="1538"/>
      <c r="Y16" s="3301"/>
      <c r="Z16" s="1539" t="str">
        <f>Q16</f>
        <v>公共配套设施</v>
      </c>
      <c r="AA16" s="1536">
        <f t="shared" si="3"/>
        <v>1</v>
      </c>
      <c r="AB16" s="1536">
        <f t="shared" si="4"/>
        <v>1</v>
      </c>
      <c r="AC16" s="1536">
        <f t="shared" si="5"/>
        <v>1</v>
      </c>
    </row>
    <row r="17" spans="1:29" ht="15">
      <c r="A17" s="363"/>
      <c r="B17" s="587"/>
      <c r="C17" s="2086"/>
      <c r="D17" s="406"/>
      <c r="E17" s="405"/>
      <c r="F17" s="407"/>
      <c r="G17" s="405"/>
      <c r="H17" s="406"/>
      <c r="I17" s="405"/>
      <c r="J17" s="406"/>
      <c r="K17" s="571"/>
      <c r="L17" s="2948"/>
      <c r="M17" s="2942"/>
      <c r="N17" s="2942"/>
      <c r="O17" s="2942"/>
      <c r="P17" s="3301"/>
      <c r="Q17" s="1535"/>
      <c r="R17" s="713"/>
      <c r="S17" s="714"/>
      <c r="T17" s="713"/>
      <c r="U17" s="714"/>
      <c r="V17" s="713"/>
      <c r="W17" s="714"/>
      <c r="X17" s="1538"/>
      <c r="Y17" s="3301"/>
      <c r="Z17" s="1539"/>
      <c r="AA17" s="1536">
        <v>1</v>
      </c>
      <c r="AB17" s="1536">
        <v>1</v>
      </c>
      <c r="AC17" s="1536">
        <v>1</v>
      </c>
    </row>
    <row r="18" spans="1:29" ht="15">
      <c r="A18" s="363"/>
      <c r="B18" s="588" t="s">
        <v>2508</v>
      </c>
      <c r="C18" s="2085">
        <f>IF(B1="工业",估价对象房地状况!G6,估价对象房地状况!C8)</f>
        <v>0</v>
      </c>
      <c r="D18" s="408">
        <v>100</v>
      </c>
      <c r="E18" s="410"/>
      <c r="F18" s="416">
        <f>SUMIF(67:67,E19,68:68)-SUMIF(67:67,C19,68:68)+100</f>
        <v>100</v>
      </c>
      <c r="G18" s="412"/>
      <c r="H18" s="413">
        <f>SUMIF(67:67,G19,68:68)-SUMIF(67:67,C19,68:68)+100</f>
        <v>100</v>
      </c>
      <c r="I18" s="410"/>
      <c r="J18" s="413">
        <f>SUMIF(67:67,I19,68:68)-SUMIF(67:67,C19,68:68)+100</f>
        <v>100</v>
      </c>
      <c r="K18" s="570"/>
      <c r="L18" s="2948"/>
      <c r="M18" s="2942"/>
      <c r="N18" s="2942"/>
      <c r="O18" s="2942"/>
      <c r="P18" s="3301"/>
      <c r="Q18" s="1535" t="str">
        <f>B18</f>
        <v>基础设施水平</v>
      </c>
      <c r="R18" s="713" t="s">
        <v>17</v>
      </c>
      <c r="S18" s="714">
        <f>F18</f>
        <v>100</v>
      </c>
      <c r="T18" s="713" t="s">
        <v>17</v>
      </c>
      <c r="U18" s="714">
        <f>H18</f>
        <v>100</v>
      </c>
      <c r="V18" s="713" t="s">
        <v>17</v>
      </c>
      <c r="W18" s="714">
        <f>J18</f>
        <v>100</v>
      </c>
      <c r="X18" s="1538"/>
      <c r="Y18" s="3301"/>
      <c r="Z18" s="1539" t="str">
        <f>Q18</f>
        <v>基础设施水平</v>
      </c>
      <c r="AA18" s="1536">
        <f t="shared" ref="AA18" si="8">D18/F18</f>
        <v>1</v>
      </c>
      <c r="AB18" s="1536">
        <f t="shared" ref="AB18" si="9">D18/H18</f>
        <v>1</v>
      </c>
      <c r="AC18" s="1536">
        <f t="shared" ref="AC18" si="10">D18/J18</f>
        <v>1</v>
      </c>
    </row>
    <row r="19" spans="1:29" ht="15">
      <c r="A19" s="363"/>
      <c r="B19" s="588"/>
      <c r="C19" s="2086"/>
      <c r="D19" s="408"/>
      <c r="E19" s="2086"/>
      <c r="F19" s="411"/>
      <c r="G19" s="2086"/>
      <c r="H19" s="406"/>
      <c r="I19" s="405"/>
      <c r="J19" s="406"/>
      <c r="K19" s="1291"/>
      <c r="L19" s="2948"/>
      <c r="M19" s="2942"/>
      <c r="N19" s="2942"/>
      <c r="O19" s="2942"/>
      <c r="P19" s="3301"/>
      <c r="Q19" s="1535"/>
      <c r="R19" s="713"/>
      <c r="S19" s="714"/>
      <c r="T19" s="713"/>
      <c r="U19" s="714"/>
      <c r="V19" s="713"/>
      <c r="W19" s="714"/>
      <c r="X19" s="1538"/>
      <c r="Y19" s="3301"/>
      <c r="Z19" s="1539"/>
      <c r="AA19" s="1536">
        <v>1</v>
      </c>
      <c r="AB19" s="1536">
        <v>1</v>
      </c>
      <c r="AC19" s="1536">
        <v>1</v>
      </c>
    </row>
    <row r="20" spans="1:29" ht="15">
      <c r="A20" s="363"/>
      <c r="B20" s="586" t="s">
        <v>2529</v>
      </c>
      <c r="C20" s="2085">
        <f>IF(B1="工业",估价对象房地状况!G7,估价对象房地状况!C9)</f>
        <v>0</v>
      </c>
      <c r="D20" s="413">
        <v>100</v>
      </c>
      <c r="E20" s="415"/>
      <c r="F20" s="416">
        <f>SUMIF(69:69,E21,70:70)-SUMIF(69:69,C21,70:70)+100</f>
        <v>100</v>
      </c>
      <c r="G20" s="417"/>
      <c r="H20" s="408">
        <f>SUMIF(69:69,G21,70:70)-SUMIF(69:69,C21,70:70)+100</f>
        <v>100</v>
      </c>
      <c r="I20" s="410"/>
      <c r="J20" s="408">
        <f>SUMIF(69:69,I21,70:70)-SUMIF(69:69,C21,70:70)+100</f>
        <v>100</v>
      </c>
      <c r="K20" s="570"/>
      <c r="L20" s="2948"/>
      <c r="M20" s="2942"/>
      <c r="N20" s="2942"/>
      <c r="O20" s="2942"/>
      <c r="P20" s="3301"/>
      <c r="Q20" s="1535" t="str">
        <f>B20</f>
        <v>自然及人文环境</v>
      </c>
      <c r="R20" s="713" t="s">
        <v>17</v>
      </c>
      <c r="S20" s="714">
        <f>F20</f>
        <v>100</v>
      </c>
      <c r="T20" s="713" t="s">
        <v>17</v>
      </c>
      <c r="U20" s="714">
        <f>H20</f>
        <v>100</v>
      </c>
      <c r="V20" s="713" t="s">
        <v>17</v>
      </c>
      <c r="W20" s="714">
        <f>J20</f>
        <v>100</v>
      </c>
      <c r="X20" s="1538"/>
      <c r="Y20" s="3301"/>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48"/>
      <c r="M21" s="2942"/>
      <c r="N21" s="2942"/>
      <c r="O21" s="2942"/>
      <c r="P21" s="3301"/>
      <c r="Q21" s="1535"/>
      <c r="R21" s="713"/>
      <c r="S21" s="714"/>
      <c r="T21" s="713"/>
      <c r="U21" s="714"/>
      <c r="V21" s="713"/>
      <c r="W21" s="714"/>
      <c r="X21" s="1538"/>
      <c r="Y21" s="3301"/>
      <c r="Z21" s="1539"/>
      <c r="AA21" s="1536">
        <v>1</v>
      </c>
      <c r="AB21" s="1536">
        <v>1</v>
      </c>
      <c r="AC21" s="1536">
        <v>1</v>
      </c>
    </row>
    <row r="22" spans="1:29" ht="15">
      <c r="A22" s="363"/>
      <c r="B22" s="586" t="s">
        <v>2530</v>
      </c>
      <c r="C22" s="572"/>
      <c r="D22" s="408">
        <v>100</v>
      </c>
      <c r="E22" s="572"/>
      <c r="F22" s="419">
        <f>SUMIF(71:71,E22,72:72)-SUMIF(71:71,C22,72:72)+100</f>
        <v>100</v>
      </c>
      <c r="G22" s="572"/>
      <c r="H22" s="393">
        <f>SUMIF(71:71,G22,72:72)-SUMIF(71:71,C22,72:72)+100</f>
        <v>100</v>
      </c>
      <c r="I22" s="572"/>
      <c r="J22" s="393">
        <f>SUMIF(71:71,I22,72:72)-SUMIF(71:71,C22,72:72)+100</f>
        <v>100</v>
      </c>
      <c r="K22" s="568"/>
      <c r="L22" s="2948"/>
      <c r="M22" s="2942"/>
      <c r="N22" s="2942"/>
      <c r="O22" s="2942"/>
      <c r="P22" s="3301"/>
      <c r="Q22" s="1535" t="str">
        <f>B22</f>
        <v>楼层</v>
      </c>
      <c r="R22" s="713" t="s">
        <v>17</v>
      </c>
      <c r="S22" s="714">
        <f>F22</f>
        <v>100</v>
      </c>
      <c r="T22" s="713" t="s">
        <v>17</v>
      </c>
      <c r="U22" s="714">
        <f>H22</f>
        <v>100</v>
      </c>
      <c r="V22" s="713" t="s">
        <v>17</v>
      </c>
      <c r="W22" s="714">
        <f>J22</f>
        <v>100</v>
      </c>
      <c r="X22" s="1538"/>
      <c r="Y22" s="3301"/>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8"/>
      <c r="M23" s="2942"/>
      <c r="N23" s="2942"/>
      <c r="O23" s="2942"/>
      <c r="P23" s="3301"/>
      <c r="Q23" s="1535">
        <f>B23</f>
        <v>111</v>
      </c>
      <c r="R23" s="713" t="s">
        <v>17</v>
      </c>
      <c r="S23" s="714">
        <f>F23</f>
        <v>100</v>
      </c>
      <c r="T23" s="713" t="s">
        <v>17</v>
      </c>
      <c r="U23" s="714">
        <f>H23</f>
        <v>100</v>
      </c>
      <c r="V23" s="713" t="s">
        <v>17</v>
      </c>
      <c r="W23" s="714">
        <f>J23</f>
        <v>100</v>
      </c>
      <c r="X23" s="1538"/>
      <c r="Y23" s="3301"/>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8"/>
      <c r="M24" s="2942"/>
      <c r="N24" s="2942"/>
      <c r="O24" s="2942"/>
      <c r="P24" s="3301"/>
      <c r="Q24" s="1535">
        <f t="shared" ref="Q24:Q36" si="11">B24</f>
        <v>111</v>
      </c>
      <c r="R24" s="713" t="s">
        <v>17</v>
      </c>
      <c r="S24" s="714">
        <f>F24</f>
        <v>100</v>
      </c>
      <c r="T24" s="713" t="s">
        <v>17</v>
      </c>
      <c r="U24" s="714">
        <f>H24</f>
        <v>100</v>
      </c>
      <c r="V24" s="713" t="s">
        <v>17</v>
      </c>
      <c r="W24" s="714">
        <f>J24</f>
        <v>100</v>
      </c>
      <c r="X24" s="1538"/>
      <c r="Y24" s="3301"/>
      <c r="Z24" s="1539">
        <f>Q24</f>
        <v>111</v>
      </c>
      <c r="AA24" s="1536">
        <f t="shared" si="3"/>
        <v>1</v>
      </c>
      <c r="AB24" s="1536">
        <f t="shared" si="4"/>
        <v>1</v>
      </c>
      <c r="AC24" s="153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3"/>
      <c r="M25" s="2944"/>
      <c r="N25" s="2944"/>
      <c r="O25" s="2944"/>
      <c r="P25" s="3301"/>
      <c r="Q25" s="1526">
        <f t="shared" si="11"/>
        <v>111</v>
      </c>
      <c r="R25" s="709" t="s">
        <v>17</v>
      </c>
      <c r="S25" s="710">
        <f>F25</f>
        <v>100</v>
      </c>
      <c r="T25" s="709" t="s">
        <v>17</v>
      </c>
      <c r="U25" s="710">
        <f>H25</f>
        <v>100</v>
      </c>
      <c r="V25" s="709" t="s">
        <v>17</v>
      </c>
      <c r="W25" s="710">
        <f>J25</f>
        <v>100</v>
      </c>
      <c r="X25" s="711"/>
      <c r="Y25" s="3301"/>
      <c r="Z25" s="55">
        <f>Q25</f>
        <v>111</v>
      </c>
      <c r="AA25" s="1536">
        <f>D25/F25</f>
        <v>1</v>
      </c>
      <c r="AB25" s="1536">
        <f>D25/H25</f>
        <v>1</v>
      </c>
      <c r="AC25" s="1536">
        <f>D25/J25</f>
        <v>1</v>
      </c>
    </row>
    <row r="26" spans="1:29" ht="28.5">
      <c r="A26" s="607" t="s">
        <v>2382</v>
      </c>
      <c r="B26" s="65" t="s">
        <v>2531</v>
      </c>
      <c r="C26" s="2155">
        <f>B1</f>
        <v>0</v>
      </c>
      <c r="D26" s="406">
        <v>100</v>
      </c>
      <c r="E26" s="405"/>
      <c r="F26" s="407">
        <f>SUMIF(79:79,E26,80:80)-SUMIF(79:79,C26,80:80)+100</f>
        <v>100</v>
      </c>
      <c r="G26" s="405"/>
      <c r="H26" s="406">
        <f>SUMIF(79:79,G26,80:80)-SUMIF(79:79,C26,80:80)+100</f>
        <v>100</v>
      </c>
      <c r="I26" s="405"/>
      <c r="J26" s="406">
        <f>SUMIF(79:79,I26,80:80)-SUMIF(79:79,C26,80:80)+100</f>
        <v>100</v>
      </c>
      <c r="K26" s="568"/>
      <c r="L26" s="2948"/>
      <c r="M26" s="2942"/>
      <c r="N26" s="2942"/>
      <c r="O26" s="2942"/>
      <c r="P26" s="3302" t="s">
        <v>2384</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303" t="s">
        <v>2384</v>
      </c>
      <c r="Z26" s="1539" t="str">
        <f t="shared" ref="Z26:Z36" si="15">Q26</f>
        <v>配套类型</v>
      </c>
      <c r="AA26" s="1536">
        <f t="shared" si="3"/>
        <v>1</v>
      </c>
      <c r="AB26" s="1536">
        <f t="shared" si="4"/>
        <v>1</v>
      </c>
      <c r="AC26" s="1536">
        <f t="shared" si="5"/>
        <v>1</v>
      </c>
    </row>
    <row r="27" spans="1:29" s="429" customFormat="1" ht="15">
      <c r="A27" s="608"/>
      <c r="B27" s="609" t="s">
        <v>2532</v>
      </c>
      <c r="C27" s="610"/>
      <c r="D27" s="131">
        <v>100</v>
      </c>
      <c r="E27" s="610"/>
      <c r="F27" s="419">
        <f>SUMIF(81:81,E27,82:82)-SUMIF(81:81,C27,82:82)+100</f>
        <v>100</v>
      </c>
      <c r="G27" s="610"/>
      <c r="H27" s="393">
        <f>SUMIF(81:81,G27,82:82)-SUMIF(81:81,C27,82:82)+100</f>
        <v>100</v>
      </c>
      <c r="I27" s="610"/>
      <c r="J27" s="393">
        <f>SUMIF(81:81,I27,82:82)-SUMIF(81:81,C27,82:82)+100</f>
        <v>100</v>
      </c>
      <c r="K27" s="569"/>
      <c r="L27" s="2947"/>
      <c r="M27" s="2949"/>
      <c r="N27" s="2949"/>
      <c r="O27" s="2949"/>
      <c r="P27" s="3303"/>
      <c r="Q27" s="715" t="str">
        <f t="shared" si="11"/>
        <v>项目停车位配比</v>
      </c>
      <c r="R27" s="716" t="s">
        <v>17</v>
      </c>
      <c r="S27" s="717">
        <f t="shared" si="12"/>
        <v>100</v>
      </c>
      <c r="T27" s="716" t="s">
        <v>17</v>
      </c>
      <c r="U27" s="717">
        <f t="shared" si="13"/>
        <v>100</v>
      </c>
      <c r="V27" s="716" t="s">
        <v>17</v>
      </c>
      <c r="W27" s="717">
        <f t="shared" si="14"/>
        <v>100</v>
      </c>
      <c r="X27" s="718"/>
      <c r="Y27" s="3303"/>
      <c r="Z27" s="719" t="str">
        <f t="shared" si="15"/>
        <v>项目停车位配比</v>
      </c>
      <c r="AA27" s="1536">
        <f t="shared" si="3"/>
        <v>1</v>
      </c>
      <c r="AB27" s="1536">
        <f t="shared" si="4"/>
        <v>1</v>
      </c>
      <c r="AC27" s="1536">
        <f t="shared" si="5"/>
        <v>1</v>
      </c>
    </row>
    <row r="28" spans="1:29" ht="15">
      <c r="A28" s="611"/>
      <c r="B28" s="609" t="s">
        <v>2533</v>
      </c>
      <c r="C28" s="418"/>
      <c r="D28" s="393">
        <v>100</v>
      </c>
      <c r="E28" s="418"/>
      <c r="F28" s="419">
        <f>SUMIF(83:83,E28,84:84)-SUMIF(83:83,C28,84:84)+100</f>
        <v>100</v>
      </c>
      <c r="G28" s="418"/>
      <c r="H28" s="393">
        <f>SUMIF(83:83,G28,84:84)-SUMIF(83:83,C28,84:84)+100</f>
        <v>100</v>
      </c>
      <c r="I28" s="418"/>
      <c r="J28" s="393">
        <f>SUMIF(83:83,I28,84:84)-SUMIF(83:83,C28,84:84)+100</f>
        <v>100</v>
      </c>
      <c r="K28" s="568"/>
      <c r="L28" s="2948"/>
      <c r="M28" s="2942"/>
      <c r="N28" s="2942"/>
      <c r="O28" s="2942"/>
      <c r="P28" s="3303"/>
      <c r="Q28" s="1535" t="str">
        <f t="shared" si="11"/>
        <v>公共部分装修</v>
      </c>
      <c r="R28" s="713" t="s">
        <v>17</v>
      </c>
      <c r="S28" s="714">
        <f t="shared" si="12"/>
        <v>100</v>
      </c>
      <c r="T28" s="713" t="s">
        <v>17</v>
      </c>
      <c r="U28" s="714">
        <f t="shared" si="13"/>
        <v>100</v>
      </c>
      <c r="V28" s="713" t="s">
        <v>17</v>
      </c>
      <c r="W28" s="714">
        <f t="shared" si="14"/>
        <v>100</v>
      </c>
      <c r="X28" s="1538"/>
      <c r="Y28" s="3303"/>
      <c r="Z28" s="1539" t="str">
        <f t="shared" si="15"/>
        <v>公共部分装修</v>
      </c>
      <c r="AA28" s="1536">
        <f t="shared" si="3"/>
        <v>1</v>
      </c>
      <c r="AB28" s="1536">
        <f t="shared" si="4"/>
        <v>1</v>
      </c>
      <c r="AC28" s="1536">
        <f t="shared" si="5"/>
        <v>1</v>
      </c>
    </row>
    <row r="29" spans="1:29" ht="15">
      <c r="A29" s="611"/>
      <c r="B29" s="609" t="s">
        <v>2534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8"/>
      <c r="M29" s="2942"/>
      <c r="N29" s="2942"/>
      <c r="O29" s="2942"/>
      <c r="P29" s="3303"/>
      <c r="Q29" s="1535" t="str">
        <f t="shared" si="11"/>
        <v>成新率</v>
      </c>
      <c r="R29" s="713" t="s">
        <v>17</v>
      </c>
      <c r="S29" s="714" t="e">
        <f t="shared" si="12"/>
        <v>#N/A</v>
      </c>
      <c r="T29" s="713" t="s">
        <v>17</v>
      </c>
      <c r="U29" s="714" t="e">
        <f t="shared" si="13"/>
        <v>#N/A</v>
      </c>
      <c r="V29" s="713" t="s">
        <v>17</v>
      </c>
      <c r="W29" s="714" t="e">
        <f t="shared" si="14"/>
        <v>#N/A</v>
      </c>
      <c r="X29" s="1538"/>
      <c r="Y29" s="3303"/>
      <c r="Z29" s="1539" t="str">
        <f t="shared" si="15"/>
        <v>成新率</v>
      </c>
      <c r="AA29" s="1536" t="e">
        <f t="shared" si="3"/>
        <v>#N/A</v>
      </c>
      <c r="AB29" s="1536" t="e">
        <f t="shared" si="4"/>
        <v>#N/A</v>
      </c>
      <c r="AC29" s="1536" t="e">
        <f t="shared" si="5"/>
        <v>#N/A</v>
      </c>
    </row>
    <row r="30" spans="1:29" ht="15">
      <c r="A30" s="611"/>
      <c r="B30" s="609" t="s">
        <v>2535</v>
      </c>
      <c r="C30" s="612"/>
      <c r="D30" s="393">
        <v>100</v>
      </c>
      <c r="E30" s="612"/>
      <c r="F30" s="419">
        <f>SUMIF(88:88,E30,89:89)-SUMIF(88:88,C30,89:89)+100</f>
        <v>100</v>
      </c>
      <c r="G30" s="612"/>
      <c r="H30" s="393">
        <f>SUMIF(88:88,E30,89:89)-SUMIF(88:88,C30,89:89)+100</f>
        <v>100</v>
      </c>
      <c r="I30" s="612"/>
      <c r="J30" s="393">
        <f>SUMIF(88:88,E30,89:89)-SUMIF(88:88,C30,89:89)+100</f>
        <v>100</v>
      </c>
      <c r="K30" s="568"/>
      <c r="L30" s="2948"/>
      <c r="M30" s="2942"/>
      <c r="N30" s="2942"/>
      <c r="O30" s="2942"/>
      <c r="P30" s="3303"/>
      <c r="Q30" s="1535" t="str">
        <f t="shared" si="11"/>
        <v>物业等级</v>
      </c>
      <c r="R30" s="713" t="s">
        <v>17</v>
      </c>
      <c r="S30" s="714">
        <f t="shared" si="12"/>
        <v>100</v>
      </c>
      <c r="T30" s="713" t="s">
        <v>17</v>
      </c>
      <c r="U30" s="714">
        <f t="shared" si="13"/>
        <v>100</v>
      </c>
      <c r="V30" s="713" t="s">
        <v>17</v>
      </c>
      <c r="W30" s="714">
        <f t="shared" si="14"/>
        <v>100</v>
      </c>
      <c r="X30" s="1538"/>
      <c r="Y30" s="3303"/>
      <c r="Z30" s="1539" t="str">
        <f t="shared" si="15"/>
        <v>物业等级</v>
      </c>
      <c r="AA30" s="1536">
        <f t="shared" si="3"/>
        <v>1</v>
      </c>
      <c r="AB30" s="1536">
        <f t="shared" si="4"/>
        <v>1</v>
      </c>
      <c r="AC30" s="1536">
        <f t="shared" si="5"/>
        <v>1</v>
      </c>
    </row>
    <row r="31" spans="1:29" s="112" customFormat="1" ht="15">
      <c r="A31" s="613"/>
      <c r="B31" s="609" t="s">
        <v>2536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3"/>
      <c r="M31" s="2944"/>
      <c r="N31" s="2944"/>
      <c r="O31" s="2944"/>
      <c r="P31" s="3303"/>
      <c r="Q31" s="1526" t="str">
        <f t="shared" si="11"/>
        <v>停车位面积</v>
      </c>
      <c r="R31" s="709" t="s">
        <v>17</v>
      </c>
      <c r="S31" s="710" t="e">
        <f t="shared" si="12"/>
        <v>#N/A</v>
      </c>
      <c r="T31" s="709" t="s">
        <v>17</v>
      </c>
      <c r="U31" s="710" t="e">
        <f t="shared" si="13"/>
        <v>#N/A</v>
      </c>
      <c r="V31" s="709" t="s">
        <v>17</v>
      </c>
      <c r="W31" s="710" t="e">
        <f t="shared" si="14"/>
        <v>#N/A</v>
      </c>
      <c r="X31" s="711"/>
      <c r="Y31" s="3303"/>
      <c r="Z31" s="55" t="str">
        <f t="shared" si="15"/>
        <v>停车位面积</v>
      </c>
      <c r="AA31" s="712" t="e">
        <f t="shared" si="3"/>
        <v>#N/A</v>
      </c>
      <c r="AB31" s="712" t="e">
        <f t="shared" si="4"/>
        <v>#N/A</v>
      </c>
      <c r="AC31" s="712" t="e">
        <f t="shared" si="5"/>
        <v>#N/A</v>
      </c>
    </row>
    <row r="32" spans="1:29" ht="15">
      <c r="A32" s="611"/>
      <c r="B32" s="609" t="s">
        <v>2537</v>
      </c>
      <c r="C32" s="418"/>
      <c r="D32" s="393">
        <v>100</v>
      </c>
      <c r="E32" s="418"/>
      <c r="F32" s="419">
        <f>SUMIF(93:93,E32,94:94)-SUMIF(93:93,C32,94:94)+100</f>
        <v>100</v>
      </c>
      <c r="G32" s="418"/>
      <c r="H32" s="393">
        <f>SUMIF(93:93,G32,94:94)-SUMIF(93:93,C32,94:94)+100</f>
        <v>100</v>
      </c>
      <c r="I32" s="418"/>
      <c r="J32" s="393">
        <f>SUMIF(93:93,I32,94:94)-SUMIF(93:93,C32,94:94)+100</f>
        <v>100</v>
      </c>
      <c r="K32" s="568"/>
      <c r="L32" s="2948"/>
      <c r="M32" s="2942"/>
      <c r="N32" s="2942"/>
      <c r="O32" s="2942"/>
      <c r="P32" s="3303" t="s">
        <v>2384</v>
      </c>
      <c r="Q32" s="1535" t="str">
        <f t="shared" si="11"/>
        <v>车位类型</v>
      </c>
      <c r="R32" s="713" t="s">
        <v>17</v>
      </c>
      <c r="S32" s="714">
        <f t="shared" si="12"/>
        <v>100</v>
      </c>
      <c r="T32" s="713" t="s">
        <v>17</v>
      </c>
      <c r="U32" s="714">
        <f t="shared" si="13"/>
        <v>100</v>
      </c>
      <c r="V32" s="713" t="s">
        <v>17</v>
      </c>
      <c r="W32" s="714">
        <f t="shared" si="14"/>
        <v>100</v>
      </c>
      <c r="X32" s="1538"/>
      <c r="Y32" s="3303" t="s">
        <v>2384</v>
      </c>
      <c r="Z32" s="1539" t="str">
        <f t="shared" si="15"/>
        <v>车位类型</v>
      </c>
      <c r="AA32" s="1536">
        <f t="shared" si="3"/>
        <v>1</v>
      </c>
      <c r="AB32" s="1536">
        <f t="shared" si="4"/>
        <v>1</v>
      </c>
      <c r="AC32" s="1536">
        <f t="shared" si="5"/>
        <v>1</v>
      </c>
    </row>
    <row r="33" spans="1:29" ht="15">
      <c r="A33" s="611"/>
      <c r="B33" s="609" t="s">
        <v>2538</v>
      </c>
      <c r="C33" s="418"/>
      <c r="D33" s="393">
        <v>100</v>
      </c>
      <c r="E33" s="418"/>
      <c r="F33" s="419">
        <f>SUMIF(95:95,E33,96:96)-SUMIF(95:95,C33,96:96)+100</f>
        <v>100</v>
      </c>
      <c r="G33" s="418"/>
      <c r="H33" s="393">
        <f>SUMIF(95:95,G33,96:96)-SUMIF(95:95,C33,96:96)+100</f>
        <v>100</v>
      </c>
      <c r="I33" s="418"/>
      <c r="J33" s="393">
        <f>SUMIF(95:95,I33,96:96)-SUMIF(95:95,C33,96:96)+100</f>
        <v>100</v>
      </c>
      <c r="K33" s="568"/>
      <c r="L33" s="2948"/>
      <c r="M33" s="2942"/>
      <c r="N33" s="2942"/>
      <c r="O33" s="2942"/>
      <c r="P33" s="3303"/>
      <c r="Q33" s="1535" t="str">
        <f t="shared" si="11"/>
        <v>是否直接入户</v>
      </c>
      <c r="R33" s="713" t="s">
        <v>17</v>
      </c>
      <c r="S33" s="714">
        <f t="shared" si="12"/>
        <v>100</v>
      </c>
      <c r="T33" s="713" t="s">
        <v>17</v>
      </c>
      <c r="U33" s="714">
        <f t="shared" si="13"/>
        <v>100</v>
      </c>
      <c r="V33" s="713" t="s">
        <v>17</v>
      </c>
      <c r="W33" s="714">
        <f t="shared" si="14"/>
        <v>100</v>
      </c>
      <c r="X33" s="1538"/>
      <c r="Y33" s="3303"/>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8"/>
      <c r="M34" s="2942"/>
      <c r="N34" s="2942"/>
      <c r="O34" s="2942"/>
      <c r="P34" s="3303"/>
      <c r="Q34" s="1535">
        <f t="shared" si="11"/>
        <v>111</v>
      </c>
      <c r="R34" s="713" t="s">
        <v>17</v>
      </c>
      <c r="S34" s="714">
        <f t="shared" si="12"/>
        <v>100</v>
      </c>
      <c r="T34" s="713" t="s">
        <v>17</v>
      </c>
      <c r="U34" s="714">
        <f t="shared" si="13"/>
        <v>100</v>
      </c>
      <c r="V34" s="713" t="s">
        <v>17</v>
      </c>
      <c r="W34" s="714">
        <f t="shared" si="14"/>
        <v>100</v>
      </c>
      <c r="X34" s="1538"/>
      <c r="Y34" s="3303"/>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7"/>
      <c r="M35" s="2949"/>
      <c r="N35" s="2949"/>
      <c r="O35" s="2949"/>
      <c r="P35" s="3303"/>
      <c r="Q35" s="715">
        <f t="shared" si="11"/>
        <v>111</v>
      </c>
      <c r="R35" s="716" t="s">
        <v>17</v>
      </c>
      <c r="S35" s="717">
        <f t="shared" si="12"/>
        <v>100</v>
      </c>
      <c r="T35" s="716" t="s">
        <v>17</v>
      </c>
      <c r="U35" s="717">
        <f t="shared" si="13"/>
        <v>100</v>
      </c>
      <c r="V35" s="716" t="s">
        <v>17</v>
      </c>
      <c r="W35" s="717">
        <f t="shared" si="14"/>
        <v>100</v>
      </c>
      <c r="X35" s="718"/>
      <c r="Y35" s="3303"/>
      <c r="Z35" s="719">
        <f t="shared" si="15"/>
        <v>111</v>
      </c>
      <c r="AA35" s="1536">
        <f t="shared" si="3"/>
        <v>1</v>
      </c>
      <c r="AB35" s="1536">
        <f t="shared" si="4"/>
        <v>1</v>
      </c>
      <c r="AC35" s="153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8"/>
      <c r="M36" s="2942"/>
      <c r="N36" s="2942"/>
      <c r="O36" s="2942"/>
      <c r="P36" s="3303"/>
      <c r="Q36" s="1535">
        <f t="shared" si="11"/>
        <v>111</v>
      </c>
      <c r="R36" s="713" t="s">
        <v>17</v>
      </c>
      <c r="S36" s="714">
        <f t="shared" si="12"/>
        <v>100</v>
      </c>
      <c r="T36" s="713" t="s">
        <v>17</v>
      </c>
      <c r="U36" s="714">
        <f t="shared" si="13"/>
        <v>100</v>
      </c>
      <c r="V36" s="713" t="s">
        <v>17</v>
      </c>
      <c r="W36" s="714">
        <f t="shared" si="14"/>
        <v>100</v>
      </c>
      <c r="X36" s="1538"/>
      <c r="Y36" s="3303"/>
      <c r="Z36" s="1539">
        <f t="shared" si="15"/>
        <v>111</v>
      </c>
      <c r="AA36" s="1536">
        <f t="shared" si="3"/>
        <v>1</v>
      </c>
      <c r="AB36" s="1536">
        <f t="shared" si="4"/>
        <v>1</v>
      </c>
      <c r="AC36" s="1536">
        <f t="shared" si="5"/>
        <v>1</v>
      </c>
    </row>
    <row r="37" spans="1:29" ht="15">
      <c r="A37" s="437" t="s">
        <v>2539</v>
      </c>
      <c r="B37" s="2156" t="s">
        <v>2540</v>
      </c>
      <c r="C37" s="1315" t="s">
        <v>1</v>
      </c>
      <c r="D37" s="1316"/>
      <c r="E37" s="1317"/>
      <c r="F37" s="1318"/>
      <c r="G37" s="1319"/>
      <c r="H37" s="1320"/>
      <c r="I37" s="1317"/>
      <c r="J37" s="1320"/>
      <c r="K37" s="575"/>
      <c r="L37" s="2950"/>
      <c r="M37" s="2951"/>
      <c r="N37" s="2942"/>
      <c r="O37" s="2951"/>
      <c r="P37" s="3298" t="str">
        <f>A37</f>
        <v>成交单价</v>
      </c>
      <c r="Q37" s="3298"/>
      <c r="R37" s="3335">
        <f>E37</f>
        <v>0</v>
      </c>
      <c r="S37" s="3335"/>
      <c r="T37" s="3335">
        <f>G37</f>
        <v>0</v>
      </c>
      <c r="U37" s="3335"/>
      <c r="V37" s="3335">
        <f>I37</f>
        <v>0</v>
      </c>
      <c r="W37" s="3335"/>
      <c r="X37" s="698"/>
      <c r="Y37" s="720"/>
      <c r="Z37" s="698"/>
      <c r="AA37" s="698"/>
      <c r="AB37" s="698"/>
      <c r="AC37" s="698"/>
    </row>
    <row r="38" spans="1:29" ht="15.75" thickBot="1">
      <c r="A38" s="444" t="s">
        <v>2541</v>
      </c>
      <c r="B38" s="445" t="str">
        <f>B37</f>
        <v>元/车位</v>
      </c>
      <c r="C38" s="1321" t="e">
        <f>R39</f>
        <v>#DIV/0!</v>
      </c>
      <c r="D38" s="2535" t="s">
        <v>2879</v>
      </c>
      <c r="E38" s="1322" t="e">
        <f>R38</f>
        <v>#DIV/0!</v>
      </c>
      <c r="F38" s="2536"/>
      <c r="G38" s="1321" t="e">
        <f>T38</f>
        <v>#DIV/0!</v>
      </c>
      <c r="H38" s="2536"/>
      <c r="I38" s="1322" t="e">
        <f>V38</f>
        <v>#DIV/0!</v>
      </c>
      <c r="J38" s="2536"/>
      <c r="K38" s="2538">
        <f>F38+H38+J38</f>
        <v>0</v>
      </c>
      <c r="L38" s="2950"/>
      <c r="M38" s="2951"/>
      <c r="N38" s="2951"/>
      <c r="O38" s="2951"/>
      <c r="P38" s="3298" t="str">
        <f>A38</f>
        <v>比较价值（元/平方米）</v>
      </c>
      <c r="Q38" s="3298"/>
      <c r="R38" s="3335" t="e">
        <f>IF(F1="售价",ROUND(PRODUCT(R37,AA7:AA36),0),ROUND(PRODUCT(R37,AA7:AA36),1))</f>
        <v>#DIV/0!</v>
      </c>
      <c r="S38" s="3335"/>
      <c r="T38" s="3335" t="e">
        <f>IF(F1="售价",ROUND(PRODUCT(T37,AB7:AB36),0),ROUND(PRODUCT(T37,AB7:AB36),1))</f>
        <v>#DIV/0!</v>
      </c>
      <c r="U38" s="3335"/>
      <c r="V38" s="3335" t="e">
        <f>IF(F1="售价",ROUND(PRODUCT(V37,AC7:AC36),0),ROUND(PRODUCT(V37,AC7:AC36),1))</f>
        <v>#DIV/0!</v>
      </c>
      <c r="W38" s="3335"/>
      <c r="X38" s="698"/>
      <c r="Y38" s="698"/>
      <c r="Z38" s="698"/>
      <c r="AA38" s="698"/>
      <c r="AB38" s="698"/>
      <c r="AC38" s="698"/>
    </row>
    <row r="39" spans="1:29" ht="15.75" thickBot="1">
      <c r="A39" s="448" t="s">
        <v>2542</v>
      </c>
      <c r="B39" s="449"/>
      <c r="C39" s="1324" t="e">
        <f>R39</f>
        <v>#DIV/0!</v>
      </c>
      <c r="D39" s="1324"/>
      <c r="E39" s="1324"/>
      <c r="F39" s="1324"/>
      <c r="G39" s="1324"/>
      <c r="H39" s="1324"/>
      <c r="I39" s="1324"/>
      <c r="J39" s="1324"/>
      <c r="K39" s="576"/>
      <c r="L39" s="2950"/>
      <c r="M39" s="2951"/>
      <c r="N39" s="2951"/>
      <c r="O39" s="2951"/>
      <c r="P39" s="3292" t="str">
        <f>A39</f>
        <v>估价对象XX用房的比较价值（楼面单价，元/平方米）</v>
      </c>
      <c r="Q39" s="3293"/>
      <c r="R39" s="3387" t="e">
        <f>IF(F1="售价",ROUND(IF(D38="简单平均",AVERAGE(R38:W38),R38*F38+T38*H38+V38*J38),0),ROUND(IF(D38="简单平均",AVERAGE(R38:V38),R38*F38+T38*H38+V38*J38),1))</f>
        <v>#DIV/0!</v>
      </c>
      <c r="S39" s="3387"/>
      <c r="T39" s="3387"/>
      <c r="U39" s="3387"/>
      <c r="V39" s="3387"/>
      <c r="W39" s="3387"/>
      <c r="X39" s="698"/>
      <c r="Y39" s="698"/>
      <c r="Z39" s="698"/>
      <c r="AA39" s="698"/>
      <c r="AB39" s="698"/>
      <c r="AC39" s="698"/>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3" t="s">
        <v>2543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3" t="s">
        <v>2544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8" customFormat="1" ht="13.5" customHeight="1">
      <c r="A44" s="2954"/>
      <c r="B44" s="2954"/>
      <c r="C44" s="453" t="s">
        <v>2545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8"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7" t="s">
        <v>2546</v>
      </c>
      <c r="B47" s="1057"/>
      <c r="C47" s="1070"/>
      <c r="D47" s="1070"/>
      <c r="E47" s="1070"/>
      <c r="F47" s="1328"/>
      <c r="G47" s="1328"/>
      <c r="H47" s="1070"/>
      <c r="I47" s="1070"/>
      <c r="J47" s="1070"/>
      <c r="K47" s="1071"/>
      <c r="L47" s="1072"/>
      <c r="M47" s="1070"/>
      <c r="N47" s="2995"/>
      <c r="O47" s="2995"/>
      <c r="P47" s="2984"/>
      <c r="Q47" s="2965"/>
      <c r="R47" s="2951"/>
      <c r="S47" s="2951"/>
      <c r="T47" s="2951"/>
      <c r="U47" s="2951"/>
      <c r="V47" s="2951"/>
      <c r="W47" s="2951"/>
      <c r="X47" s="2951"/>
      <c r="Y47" s="2951"/>
      <c r="Z47" s="2951"/>
      <c r="AA47" s="2951"/>
      <c r="AB47" s="2951"/>
      <c r="AC47" s="2951"/>
    </row>
    <row r="48" spans="1:29" s="464" customFormat="1" ht="15">
      <c r="A48" s="461" t="s">
        <v>2547</v>
      </c>
      <c r="B48" s="462"/>
      <c r="C48" s="1345" t="str">
        <f>YEAR(C7)&amp;"-"&amp;MONTH(C7)</f>
        <v>2021-10</v>
      </c>
      <c r="D48" s="1346">
        <f>EDATE(C48,-1)</f>
        <v>44440</v>
      </c>
      <c r="E48" s="1346">
        <f t="shared" ref="E48:O48" si="16">EDATE(D48,-1)</f>
        <v>44409</v>
      </c>
      <c r="F48" s="1346">
        <f t="shared" si="16"/>
        <v>44378</v>
      </c>
      <c r="G48" s="1346">
        <f t="shared" si="16"/>
        <v>44348</v>
      </c>
      <c r="H48" s="1346">
        <f t="shared" si="16"/>
        <v>44317</v>
      </c>
      <c r="I48" s="1346">
        <f t="shared" si="16"/>
        <v>44287</v>
      </c>
      <c r="J48" s="1346">
        <f t="shared" si="16"/>
        <v>44256</v>
      </c>
      <c r="K48" s="1346">
        <f t="shared" si="16"/>
        <v>44228</v>
      </c>
      <c r="L48" s="1346">
        <f t="shared" si="16"/>
        <v>44197</v>
      </c>
      <c r="M48" s="1346">
        <f t="shared" si="16"/>
        <v>44166</v>
      </c>
      <c r="N48" s="1346">
        <f t="shared" si="16"/>
        <v>44136</v>
      </c>
      <c r="O48" s="1346">
        <f t="shared" si="16"/>
        <v>44105</v>
      </c>
      <c r="P48" s="2985"/>
      <c r="Q48" s="2967"/>
      <c r="R48" s="2967"/>
      <c r="S48" s="2967"/>
      <c r="T48" s="2967"/>
      <c r="U48" s="2967"/>
      <c r="V48" s="2967"/>
      <c r="W48" s="2967"/>
      <c r="X48" s="2967"/>
      <c r="Y48" s="2967"/>
      <c r="Z48" s="2967"/>
      <c r="AA48" s="2967"/>
      <c r="AB48" s="2967"/>
      <c r="AC48" s="2967"/>
    </row>
    <row r="49" spans="1:29" s="112" customFormat="1" ht="15">
      <c r="A49" s="465"/>
      <c r="B49" s="466"/>
      <c r="C49" s="1338">
        <v>100</v>
      </c>
      <c r="D49" s="468"/>
      <c r="E49" s="468"/>
      <c r="F49" s="468"/>
      <c r="G49" s="468"/>
      <c r="H49" s="468"/>
      <c r="I49" s="468"/>
      <c r="J49" s="468"/>
      <c r="K49" s="468"/>
      <c r="L49" s="468"/>
      <c r="M49" s="469"/>
      <c r="N49" s="468"/>
      <c r="O49" s="469"/>
      <c r="P49" s="2986"/>
      <c r="Q49" s="2885"/>
      <c r="R49" s="2885"/>
      <c r="S49" s="2885"/>
      <c r="T49" s="2885"/>
      <c r="U49" s="2885"/>
      <c r="V49" s="2885"/>
      <c r="W49" s="2885"/>
      <c r="X49" s="2885"/>
      <c r="Y49" s="2885"/>
      <c r="Z49" s="2885"/>
      <c r="AA49" s="2885"/>
      <c r="AB49" s="2885"/>
      <c r="AC49" s="2885"/>
    </row>
    <row r="50" spans="1:29" s="112" customFormat="1" ht="15.75" thickBot="1">
      <c r="A50" s="471" t="s">
        <v>2404</v>
      </c>
      <c r="B50" s="472"/>
      <c r="C50" s="473"/>
      <c r="D50" s="474"/>
      <c r="E50" s="474"/>
      <c r="F50" s="474"/>
      <c r="G50" s="474"/>
      <c r="H50" s="474"/>
      <c r="I50" s="474"/>
      <c r="J50" s="474"/>
      <c r="K50" s="474"/>
      <c r="L50" s="474"/>
      <c r="M50" s="475"/>
      <c r="N50" s="474"/>
      <c r="O50" s="475"/>
      <c r="P50" s="2986"/>
      <c r="Q50" s="2965"/>
      <c r="R50" s="2885"/>
      <c r="S50" s="2885"/>
      <c r="T50" s="2885"/>
      <c r="U50" s="2885"/>
      <c r="V50" s="2885"/>
      <c r="W50" s="2885"/>
      <c r="X50" s="2885"/>
      <c r="Y50" s="2885"/>
      <c r="Z50" s="2885"/>
      <c r="AA50" s="2885"/>
      <c r="AB50" s="2885"/>
      <c r="AC50" s="2885"/>
    </row>
    <row r="51" spans="1:29" s="112" customFormat="1" ht="15">
      <c r="A51" s="477" t="s">
        <v>2369</v>
      </c>
      <c r="B51" s="466"/>
      <c r="C51" s="478" t="s">
        <v>2471</v>
      </c>
      <c r="D51" s="479"/>
      <c r="E51" s="479"/>
      <c r="F51" s="479"/>
      <c r="G51" s="479"/>
      <c r="H51" s="479"/>
      <c r="I51" s="479"/>
      <c r="J51" s="479"/>
      <c r="K51" s="479"/>
      <c r="L51" s="480"/>
      <c r="M51" s="481"/>
      <c r="N51" s="2978"/>
      <c r="O51" s="2978"/>
      <c r="P51" s="2987"/>
      <c r="Q51" s="2965"/>
      <c r="R51" s="2885"/>
      <c r="S51" s="2885"/>
      <c r="T51" s="2885"/>
      <c r="U51" s="2885"/>
      <c r="V51" s="2885"/>
      <c r="W51" s="2885"/>
      <c r="X51" s="2885"/>
      <c r="Y51" s="2885"/>
      <c r="Z51" s="2885"/>
      <c r="AA51" s="2885"/>
      <c r="AB51" s="2885"/>
      <c r="AC51" s="2885"/>
    </row>
    <row r="52" spans="1:29" s="112" customFormat="1" ht="15.75" thickBot="1">
      <c r="A52" s="477"/>
      <c r="B52" s="466"/>
      <c r="C52" s="594">
        <v>100</v>
      </c>
      <c r="D52" s="468"/>
      <c r="E52" s="468"/>
      <c r="F52" s="468"/>
      <c r="G52" s="468"/>
      <c r="H52" s="468"/>
      <c r="I52" s="468"/>
      <c r="J52" s="468"/>
      <c r="K52" s="468"/>
      <c r="L52" s="468"/>
      <c r="M52" s="470"/>
      <c r="N52" s="2978"/>
      <c r="O52" s="2978"/>
      <c r="P52" s="2986"/>
      <c r="Q52" s="2965"/>
      <c r="R52" s="2885"/>
      <c r="S52" s="2885"/>
      <c r="T52" s="2885"/>
      <c r="U52" s="2885"/>
      <c r="V52" s="2885"/>
      <c r="W52" s="2885"/>
      <c r="X52" s="2885"/>
      <c r="Y52" s="2885"/>
      <c r="Z52" s="2885"/>
      <c r="AA52" s="2885"/>
      <c r="AB52" s="2885"/>
      <c r="AC52" s="2885"/>
    </row>
    <row r="53" spans="1:29">
      <c r="A53" s="483" t="s">
        <v>2407</v>
      </c>
      <c r="B53" s="484" t="s">
        <v>2373</v>
      </c>
      <c r="C53" s="485">
        <f>C9</f>
        <v>0</v>
      </c>
      <c r="D53" s="486"/>
      <c r="E53" s="486"/>
      <c r="F53" s="486"/>
      <c r="G53" s="486"/>
      <c r="H53" s="486"/>
      <c r="I53" s="486"/>
      <c r="J53" s="486"/>
      <c r="K53" s="487"/>
      <c r="L53" s="488"/>
      <c r="M53" s="489"/>
      <c r="N53" s="2979"/>
      <c r="O53" s="2979"/>
      <c r="P53" s="2988"/>
      <c r="Q53" s="2965"/>
      <c r="R53" s="2951"/>
      <c r="S53" s="2951"/>
      <c r="T53" s="2951"/>
      <c r="U53" s="2951"/>
      <c r="V53" s="2951"/>
      <c r="W53" s="2951"/>
      <c r="X53" s="2951"/>
      <c r="Y53" s="2951"/>
      <c r="Z53" s="2951"/>
      <c r="AA53" s="2951"/>
      <c r="AB53" s="2951"/>
      <c r="AC53" s="2951"/>
    </row>
    <row r="54" spans="1:29" ht="15.75" thickBot="1">
      <c r="A54" s="490"/>
      <c r="B54" s="491"/>
      <c r="C54" s="492">
        <v>100</v>
      </c>
      <c r="D54" s="492"/>
      <c r="E54" s="492"/>
      <c r="F54" s="492"/>
      <c r="G54" s="492"/>
      <c r="H54" s="492"/>
      <c r="I54" s="492"/>
      <c r="J54" s="492"/>
      <c r="K54" s="492"/>
      <c r="L54" s="492"/>
      <c r="M54" s="493"/>
      <c r="N54" s="2980"/>
      <c r="O54" s="2980"/>
      <c r="P54" s="2988"/>
      <c r="Q54" s="2965"/>
      <c r="R54" s="2951"/>
      <c r="S54" s="2951"/>
      <c r="T54" s="2951"/>
      <c r="U54" s="2951"/>
      <c r="V54" s="2951"/>
      <c r="W54" s="2951"/>
      <c r="X54" s="2951"/>
      <c r="Y54" s="2951"/>
      <c r="Z54" s="2951"/>
      <c r="AA54" s="2951"/>
      <c r="AB54" s="2951"/>
      <c r="AC54" s="2951"/>
    </row>
    <row r="55" spans="1:29" ht="27.75" thickTop="1">
      <c r="A55" s="490"/>
      <c r="B55" s="494" t="s">
        <v>2376</v>
      </c>
      <c r="C55" s="495" t="s">
        <v>2408</v>
      </c>
      <c r="D55" s="495" t="s">
        <v>2409</v>
      </c>
      <c r="E55" s="495" t="s">
        <v>2410</v>
      </c>
      <c r="F55" s="495" t="s">
        <v>2411</v>
      </c>
      <c r="G55" s="495" t="s">
        <v>2412</v>
      </c>
      <c r="H55" s="495" t="s">
        <v>2413</v>
      </c>
      <c r="I55" s="495" t="s">
        <v>2414</v>
      </c>
      <c r="J55" s="495"/>
      <c r="K55" s="496"/>
      <c r="L55" s="497"/>
      <c r="M55" s="498"/>
      <c r="N55" s="2979"/>
      <c r="O55" s="2979"/>
      <c r="P55" s="2988"/>
      <c r="Q55" s="2965"/>
      <c r="R55" s="2951"/>
      <c r="S55" s="2951"/>
      <c r="T55" s="2951"/>
      <c r="U55" s="2951"/>
      <c r="V55" s="2951"/>
      <c r="W55" s="2951"/>
      <c r="X55" s="2951"/>
      <c r="Y55" s="2951"/>
      <c r="Z55" s="2951"/>
      <c r="AA55" s="2951"/>
      <c r="AB55" s="2951"/>
      <c r="AC55" s="295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0"/>
      <c r="O56" s="2980"/>
      <c r="P56" s="2988"/>
      <c r="Q56" s="2965"/>
      <c r="R56" s="2951"/>
      <c r="S56" s="2951"/>
      <c r="T56" s="2951"/>
      <c r="U56" s="2951"/>
      <c r="V56" s="2951"/>
      <c r="W56" s="2951"/>
      <c r="X56" s="2951"/>
      <c r="Y56" s="2951"/>
      <c r="Z56" s="2951"/>
      <c r="AA56" s="2951"/>
      <c r="AB56" s="2951"/>
      <c r="AC56" s="2951"/>
    </row>
    <row r="57" spans="1:29" ht="15.75" thickTop="1">
      <c r="A57" s="490"/>
      <c r="B57" s="615">
        <f>B11</f>
        <v>111</v>
      </c>
      <c r="C57" s="505"/>
      <c r="D57" s="505"/>
      <c r="E57" s="505"/>
      <c r="F57" s="505"/>
      <c r="G57" s="505"/>
      <c r="H57" s="505"/>
      <c r="I57" s="505"/>
      <c r="J57" s="505"/>
      <c r="K57" s="506"/>
      <c r="L57" s="507"/>
      <c r="M57" s="508"/>
      <c r="N57" s="2979"/>
      <c r="O57" s="2979"/>
      <c r="P57" s="2988"/>
      <c r="Q57" s="2965"/>
      <c r="R57" s="2951"/>
      <c r="S57" s="2951"/>
      <c r="T57" s="2951"/>
      <c r="U57" s="2951"/>
      <c r="V57" s="2951"/>
      <c r="W57" s="2951"/>
      <c r="X57" s="2951"/>
      <c r="Y57" s="2951"/>
      <c r="Z57" s="2951"/>
      <c r="AA57" s="2951"/>
      <c r="AB57" s="2951"/>
      <c r="AC57" s="2951"/>
    </row>
    <row r="58" spans="1:29" ht="15.75" thickBot="1">
      <c r="A58" s="490"/>
      <c r="B58" s="491"/>
      <c r="C58" s="516"/>
      <c r="D58" s="492"/>
      <c r="E58" s="492"/>
      <c r="F58" s="492"/>
      <c r="G58" s="492"/>
      <c r="H58" s="492"/>
      <c r="I58" s="492"/>
      <c r="J58" s="492"/>
      <c r="K58" s="492"/>
      <c r="L58" s="492"/>
      <c r="M58" s="493"/>
      <c r="N58" s="2980"/>
      <c r="O58" s="2980"/>
      <c r="P58" s="2988"/>
      <c r="Q58" s="2965"/>
      <c r="R58" s="2951"/>
      <c r="S58" s="2951"/>
      <c r="T58" s="2951"/>
      <c r="U58" s="2951"/>
      <c r="V58" s="2951"/>
      <c r="W58" s="2951"/>
      <c r="X58" s="2951"/>
      <c r="Y58" s="2951"/>
      <c r="Z58" s="2951"/>
      <c r="AA58" s="2951"/>
      <c r="AB58" s="2951"/>
      <c r="AC58" s="2951"/>
    </row>
    <row r="59" spans="1:29" s="429" customFormat="1" ht="15.75" thickTop="1">
      <c r="A59" s="509"/>
      <c r="B59" s="494">
        <f>B12</f>
        <v>111</v>
      </c>
      <c r="C59" s="505"/>
      <c r="D59" s="505"/>
      <c r="E59" s="505"/>
      <c r="F59" s="505"/>
      <c r="G59" s="510"/>
      <c r="H59" s="511"/>
      <c r="I59" s="511"/>
      <c r="J59" s="511"/>
      <c r="K59" s="511"/>
      <c r="L59" s="512"/>
      <c r="M59" s="513"/>
      <c r="N59" s="2981"/>
      <c r="O59" s="2981"/>
      <c r="P59" s="2989"/>
      <c r="Q59" s="2972"/>
      <c r="R59" s="2973"/>
      <c r="S59" s="2973"/>
      <c r="T59" s="2973"/>
      <c r="U59" s="2973"/>
      <c r="V59" s="2973"/>
      <c r="W59" s="2973"/>
      <c r="X59" s="2973"/>
      <c r="Y59" s="2973"/>
      <c r="Z59" s="2973"/>
      <c r="AA59" s="2973"/>
      <c r="AB59" s="2973"/>
      <c r="AC59" s="2973"/>
    </row>
    <row r="60" spans="1:29" s="429" customFormat="1" ht="15.75" thickBot="1">
      <c r="A60" s="509"/>
      <c r="B60" s="499"/>
      <c r="C60" s="516"/>
      <c r="D60" s="492"/>
      <c r="E60" s="492"/>
      <c r="F60" s="492"/>
      <c r="G60" s="492"/>
      <c r="H60" s="492"/>
      <c r="I60" s="492"/>
      <c r="J60" s="492"/>
      <c r="K60" s="492"/>
      <c r="L60" s="492"/>
      <c r="M60" s="493"/>
      <c r="N60" s="2980"/>
      <c r="O60" s="2980"/>
      <c r="P60" s="2989"/>
      <c r="Q60" s="2972"/>
      <c r="R60" s="2973"/>
      <c r="S60" s="2973"/>
      <c r="T60" s="2973"/>
      <c r="U60" s="2973"/>
      <c r="V60" s="2973"/>
      <c r="W60" s="2973"/>
      <c r="X60" s="2973"/>
      <c r="Y60" s="2973"/>
      <c r="Z60" s="2973"/>
      <c r="AA60" s="2973"/>
      <c r="AB60" s="2973"/>
      <c r="AC60" s="2973"/>
    </row>
    <row r="61" spans="1:29" s="429" customFormat="1" ht="15.75" thickTop="1">
      <c r="A61" s="509"/>
      <c r="B61" s="494">
        <f>B13</f>
        <v>111</v>
      </c>
      <c r="C61" s="510"/>
      <c r="D61" s="510"/>
      <c r="E61" s="510"/>
      <c r="F61" s="510"/>
      <c r="G61" s="510"/>
      <c r="H61" s="511"/>
      <c r="I61" s="511"/>
      <c r="J61" s="511"/>
      <c r="K61" s="511"/>
      <c r="L61" s="512"/>
      <c r="M61" s="513"/>
      <c r="N61" s="2981"/>
      <c r="O61" s="2981"/>
      <c r="P61" s="2990"/>
      <c r="Q61" s="2975"/>
      <c r="R61" s="2973"/>
      <c r="S61" s="2973"/>
      <c r="T61" s="2973"/>
      <c r="U61" s="2973"/>
      <c r="V61" s="2973"/>
      <c r="W61" s="2973"/>
      <c r="X61" s="2973"/>
      <c r="Y61" s="2973"/>
      <c r="Z61" s="2973"/>
      <c r="AA61" s="2973"/>
      <c r="AB61" s="2973"/>
      <c r="AC61" s="2973"/>
    </row>
    <row r="62" spans="1:29" s="429" customFormat="1" ht="15.75" thickBot="1">
      <c r="A62" s="509"/>
      <c r="B62" s="499"/>
      <c r="C62" s="516"/>
      <c r="D62" s="516"/>
      <c r="E62" s="516"/>
      <c r="F62" s="516"/>
      <c r="G62" s="516"/>
      <c r="H62" s="518"/>
      <c r="I62" s="518"/>
      <c r="J62" s="518"/>
      <c r="K62" s="518"/>
      <c r="L62" s="518"/>
      <c r="M62" s="519"/>
      <c r="N62" s="2981"/>
      <c r="O62" s="2981"/>
      <c r="P62" s="2989"/>
      <c r="Q62" s="2972"/>
      <c r="R62" s="2973"/>
      <c r="S62" s="2973"/>
      <c r="T62" s="2973"/>
      <c r="U62" s="2973"/>
      <c r="V62" s="2973"/>
      <c r="W62" s="2973"/>
      <c r="X62" s="2973"/>
      <c r="Y62" s="2973"/>
      <c r="Z62" s="2973"/>
      <c r="AA62" s="2973"/>
      <c r="AB62" s="2973"/>
      <c r="AC62" s="2973"/>
    </row>
    <row r="63" spans="1:29" ht="15" thickTop="1">
      <c r="A63" s="483" t="s">
        <v>2378</v>
      </c>
      <c r="B63" s="484" t="s">
        <v>2421</v>
      </c>
      <c r="C63" s="529" t="s">
        <v>2416</v>
      </c>
      <c r="D63" s="529" t="s">
        <v>2417</v>
      </c>
      <c r="E63" s="529" t="s">
        <v>2418</v>
      </c>
      <c r="F63" s="529" t="s">
        <v>2419</v>
      </c>
      <c r="G63" s="529" t="s">
        <v>2420</v>
      </c>
      <c r="H63" s="485"/>
      <c r="I63" s="485"/>
      <c r="J63" s="485"/>
      <c r="K63" s="530"/>
      <c r="L63" s="531"/>
      <c r="M63" s="532"/>
      <c r="N63" s="2979"/>
      <c r="O63" s="2979"/>
      <c r="P63" s="2992"/>
      <c r="Q63" s="2965"/>
      <c r="R63" s="2951"/>
      <c r="S63" s="2951"/>
      <c r="T63" s="2951"/>
      <c r="U63" s="2951"/>
      <c r="V63" s="2951"/>
      <c r="W63" s="2951"/>
      <c r="X63" s="2951"/>
      <c r="Y63" s="2951"/>
      <c r="Z63" s="2951"/>
      <c r="AA63" s="2951"/>
      <c r="AB63" s="2951"/>
      <c r="AC63" s="295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0"/>
      <c r="O64" s="2980"/>
      <c r="P64" s="2988"/>
      <c r="Q64" s="2965"/>
      <c r="R64" s="2951"/>
      <c r="S64" s="2951"/>
      <c r="T64" s="2951"/>
      <c r="U64" s="2951"/>
      <c r="V64" s="2951"/>
      <c r="W64" s="2951"/>
      <c r="X64" s="2951"/>
      <c r="Y64" s="2951"/>
      <c r="Z64" s="2951"/>
      <c r="AA64" s="2951"/>
      <c r="AB64" s="2951"/>
      <c r="AC64" s="2951"/>
    </row>
    <row r="65" spans="1:29" ht="15.75" thickTop="1">
      <c r="A65" s="490"/>
      <c r="B65" s="494" t="s">
        <v>2422</v>
      </c>
      <c r="C65" s="534" t="s">
        <v>2416</v>
      </c>
      <c r="D65" s="534" t="s">
        <v>2417</v>
      </c>
      <c r="E65" s="534" t="s">
        <v>2418</v>
      </c>
      <c r="F65" s="534" t="s">
        <v>2419</v>
      </c>
      <c r="G65" s="534" t="s">
        <v>2420</v>
      </c>
      <c r="H65" s="495"/>
      <c r="I65" s="495"/>
      <c r="J65" s="495"/>
      <c r="K65" s="496"/>
      <c r="L65" s="497"/>
      <c r="M65" s="498"/>
      <c r="N65" s="2979"/>
      <c r="O65" s="2979"/>
      <c r="P65" s="2988"/>
      <c r="Q65" s="2965"/>
      <c r="R65" s="2951"/>
      <c r="S65" s="2951"/>
      <c r="T65" s="2951"/>
      <c r="U65" s="2951"/>
      <c r="V65" s="2951"/>
      <c r="W65" s="2951"/>
      <c r="X65" s="2951"/>
      <c r="Y65" s="2951"/>
      <c r="Z65" s="2951"/>
      <c r="AA65" s="2951"/>
      <c r="AB65" s="2951"/>
      <c r="AC65" s="295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0"/>
      <c r="O66" s="2980"/>
      <c r="P66" s="2988"/>
      <c r="Q66" s="2965"/>
      <c r="R66" s="2951"/>
      <c r="S66" s="2951"/>
      <c r="T66" s="2951"/>
      <c r="U66" s="2951"/>
      <c r="V66" s="2951"/>
      <c r="W66" s="2951"/>
      <c r="X66" s="2951"/>
      <c r="Y66" s="2951"/>
      <c r="Z66" s="2951"/>
      <c r="AA66" s="2951"/>
      <c r="AB66" s="2951"/>
      <c r="AC66" s="2951"/>
    </row>
    <row r="67" spans="1:29" ht="15.75" thickTop="1">
      <c r="A67" s="490"/>
      <c r="B67" s="502" t="s">
        <v>2508</v>
      </c>
      <c r="C67" s="615" t="s">
        <v>2494</v>
      </c>
      <c r="D67" s="615" t="s">
        <v>2495</v>
      </c>
      <c r="E67" s="615" t="s">
        <v>2496</v>
      </c>
      <c r="F67" s="615" t="s">
        <v>2497</v>
      </c>
      <c r="G67" s="615" t="s">
        <v>2498</v>
      </c>
      <c r="H67" s="495"/>
      <c r="I67" s="495"/>
      <c r="J67" s="495"/>
      <c r="K67" s="495"/>
      <c r="L67" s="495"/>
      <c r="M67" s="1290"/>
      <c r="N67" s="2980"/>
      <c r="O67" s="2980"/>
      <c r="P67" s="2988"/>
      <c r="Q67" s="2965"/>
      <c r="R67" s="2951"/>
      <c r="S67" s="2951"/>
      <c r="T67" s="2951"/>
      <c r="U67" s="2951"/>
      <c r="V67" s="2951"/>
      <c r="W67" s="2951"/>
      <c r="X67" s="2951"/>
      <c r="Y67" s="2951"/>
      <c r="Z67" s="2951"/>
      <c r="AA67" s="2951"/>
      <c r="AB67" s="2951"/>
      <c r="AC67" s="295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0"/>
      <c r="O68" s="2980"/>
      <c r="P68" s="2988"/>
      <c r="Q68" s="2965"/>
      <c r="R68" s="2951"/>
      <c r="S68" s="2951"/>
      <c r="T68" s="2951"/>
      <c r="U68" s="2951"/>
      <c r="V68" s="2951"/>
      <c r="W68" s="2951"/>
      <c r="X68" s="2951"/>
      <c r="Y68" s="2951"/>
      <c r="Z68" s="2951"/>
      <c r="AA68" s="2951"/>
      <c r="AB68" s="2951"/>
      <c r="AC68" s="2951"/>
    </row>
    <row r="69" spans="1:29" ht="15.75" thickTop="1">
      <c r="A69" s="490"/>
      <c r="B69" s="494" t="s">
        <v>2428</v>
      </c>
      <c r="C69" s="534" t="s">
        <v>2416</v>
      </c>
      <c r="D69" s="534" t="s">
        <v>2417</v>
      </c>
      <c r="E69" s="534" t="s">
        <v>2418</v>
      </c>
      <c r="F69" s="534" t="s">
        <v>2419</v>
      </c>
      <c r="G69" s="534" t="s">
        <v>2420</v>
      </c>
      <c r="H69" s="495"/>
      <c r="I69" s="495"/>
      <c r="J69" s="495"/>
      <c r="K69" s="496"/>
      <c r="L69" s="497"/>
      <c r="M69" s="498"/>
      <c r="N69" s="2979"/>
      <c r="O69" s="2979"/>
      <c r="P69" s="2988"/>
      <c r="Q69" s="2965"/>
      <c r="R69" s="2951"/>
      <c r="S69" s="2951"/>
      <c r="T69" s="2951"/>
      <c r="U69" s="2951"/>
      <c r="V69" s="2951"/>
      <c r="W69" s="2951"/>
      <c r="X69" s="2951"/>
      <c r="Y69" s="2951"/>
      <c r="Z69" s="2951"/>
      <c r="AA69" s="2951"/>
      <c r="AB69" s="2951"/>
      <c r="AC69" s="295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0"/>
      <c r="O70" s="2980"/>
      <c r="P70" s="2988"/>
      <c r="Q70" s="2965"/>
      <c r="R70" s="2951"/>
      <c r="S70" s="2951"/>
      <c r="T70" s="2951"/>
      <c r="U70" s="2951"/>
      <c r="V70" s="2951"/>
      <c r="W70" s="2951"/>
      <c r="X70" s="2951"/>
      <c r="Y70" s="2951"/>
      <c r="Z70" s="2951"/>
      <c r="AA70" s="2951"/>
      <c r="AB70" s="2951"/>
      <c r="AC70" s="2951"/>
    </row>
    <row r="71" spans="1:29" ht="15.75" thickTop="1">
      <c r="A71" s="490"/>
      <c r="B71" s="494" t="s">
        <v>2548</v>
      </c>
      <c r="C71" s="510"/>
      <c r="D71" s="510"/>
      <c r="E71" s="510"/>
      <c r="F71" s="510"/>
      <c r="G71" s="510"/>
      <c r="H71" s="539"/>
      <c r="I71" s="539"/>
      <c r="J71" s="539"/>
      <c r="K71" s="540"/>
      <c r="L71" s="541"/>
      <c r="M71" s="542"/>
      <c r="N71" s="2979"/>
      <c r="O71" s="2979"/>
      <c r="P71" s="2988"/>
      <c r="Q71" s="2965"/>
      <c r="R71" s="2951"/>
      <c r="S71" s="2951"/>
      <c r="T71" s="2951"/>
      <c r="U71" s="2951"/>
      <c r="V71" s="2951"/>
      <c r="W71" s="2951"/>
      <c r="X71" s="2951"/>
      <c r="Y71" s="2951"/>
      <c r="Z71" s="2951"/>
      <c r="AA71" s="2951"/>
      <c r="AB71" s="2951"/>
      <c r="AC71" s="295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0"/>
      <c r="O72" s="2980"/>
      <c r="P72" s="2988"/>
      <c r="Q72" s="2965"/>
      <c r="R72" s="2951"/>
      <c r="S72" s="2951"/>
      <c r="T72" s="2951"/>
      <c r="U72" s="2951"/>
      <c r="V72" s="2951"/>
      <c r="W72" s="2951"/>
      <c r="X72" s="2951"/>
      <c r="Y72" s="2951"/>
      <c r="Z72" s="2951"/>
      <c r="AA72" s="2951"/>
      <c r="AB72" s="2951"/>
      <c r="AC72" s="2951"/>
    </row>
    <row r="73" spans="1:29" s="112" customFormat="1" ht="15.75" thickTop="1">
      <c r="A73" s="535"/>
      <c r="B73" s="494">
        <f>B23</f>
        <v>111</v>
      </c>
      <c r="C73" s="505"/>
      <c r="D73" s="505"/>
      <c r="E73" s="505"/>
      <c r="F73" s="505"/>
      <c r="G73" s="510"/>
      <c r="H73" s="510"/>
      <c r="I73" s="510"/>
      <c r="J73" s="510"/>
      <c r="K73" s="510"/>
      <c r="L73" s="536"/>
      <c r="M73" s="537"/>
      <c r="N73" s="2978"/>
      <c r="O73" s="2978"/>
      <c r="P73" s="2988"/>
      <c r="Q73" s="2965"/>
      <c r="R73" s="2885"/>
      <c r="S73" s="2885"/>
      <c r="T73" s="2885"/>
      <c r="U73" s="2885"/>
      <c r="V73" s="2885"/>
      <c r="W73" s="2885"/>
      <c r="X73" s="2885"/>
      <c r="Y73" s="2885"/>
      <c r="Z73" s="2885"/>
      <c r="AA73" s="2885"/>
      <c r="AB73" s="2885"/>
      <c r="AC73" s="2885"/>
    </row>
    <row r="74" spans="1:29" s="112" customFormat="1" ht="15.75" thickBot="1">
      <c r="A74" s="535"/>
      <c r="B74" s="499"/>
      <c r="C74" s="516"/>
      <c r="D74" s="492"/>
      <c r="E74" s="492"/>
      <c r="F74" s="492"/>
      <c r="G74" s="492"/>
      <c r="H74" s="492"/>
      <c r="I74" s="492"/>
      <c r="J74" s="492"/>
      <c r="K74" s="492"/>
      <c r="L74" s="492"/>
      <c r="M74" s="493"/>
      <c r="N74" s="2980"/>
      <c r="O74" s="2980"/>
      <c r="P74" s="2988"/>
      <c r="Q74" s="2965"/>
      <c r="R74" s="2885"/>
      <c r="S74" s="2885"/>
      <c r="T74" s="2885"/>
      <c r="U74" s="2885"/>
      <c r="V74" s="2885"/>
      <c r="W74" s="2885"/>
      <c r="X74" s="2885"/>
      <c r="Y74" s="2885"/>
      <c r="Z74" s="2885"/>
      <c r="AA74" s="2885"/>
      <c r="AB74" s="2885"/>
      <c r="AC74" s="2885"/>
    </row>
    <row r="75" spans="1:29" s="112" customFormat="1" ht="15.75" thickTop="1">
      <c r="A75" s="535"/>
      <c r="B75" s="494">
        <f>B24</f>
        <v>111</v>
      </c>
      <c r="C75" s="505"/>
      <c r="D75" s="505"/>
      <c r="E75" s="505"/>
      <c r="F75" s="505"/>
      <c r="G75" s="510"/>
      <c r="H75" s="510"/>
      <c r="I75" s="510"/>
      <c r="J75" s="510"/>
      <c r="K75" s="510"/>
      <c r="L75" s="510"/>
      <c r="M75" s="537"/>
      <c r="N75" s="2978"/>
      <c r="O75" s="2978"/>
      <c r="P75" s="2988"/>
      <c r="Q75" s="2965"/>
      <c r="R75" s="2885"/>
      <c r="S75" s="2885"/>
      <c r="T75" s="2885"/>
      <c r="U75" s="2885"/>
      <c r="V75" s="2885"/>
      <c r="W75" s="2885"/>
      <c r="X75" s="2885"/>
      <c r="Y75" s="2885"/>
      <c r="Z75" s="2885"/>
      <c r="AA75" s="2885"/>
      <c r="AB75" s="2885"/>
      <c r="AC75" s="2885"/>
    </row>
    <row r="76" spans="1:29" s="112" customFormat="1" ht="15.75" thickBot="1">
      <c r="A76" s="535"/>
      <c r="B76" s="499"/>
      <c r="C76" s="516"/>
      <c r="D76" s="492"/>
      <c r="E76" s="492"/>
      <c r="F76" s="492"/>
      <c r="G76" s="492"/>
      <c r="H76" s="492"/>
      <c r="I76" s="492"/>
      <c r="J76" s="492"/>
      <c r="K76" s="492"/>
      <c r="L76" s="492"/>
      <c r="M76" s="493"/>
      <c r="N76" s="2980"/>
      <c r="O76" s="2980"/>
      <c r="P76" s="2988"/>
      <c r="Q76" s="2965"/>
      <c r="R76" s="2885"/>
      <c r="S76" s="2885"/>
      <c r="T76" s="2885"/>
      <c r="U76" s="2885"/>
      <c r="V76" s="2885"/>
      <c r="W76" s="2885"/>
      <c r="X76" s="2885"/>
      <c r="Y76" s="2885"/>
      <c r="Z76" s="2885"/>
      <c r="AA76" s="2885"/>
      <c r="AB76" s="2885"/>
      <c r="AC76" s="2885"/>
    </row>
    <row r="77" spans="1:29" s="429" customFormat="1" ht="15.75" thickTop="1">
      <c r="A77" s="509"/>
      <c r="B77" s="494">
        <f>B25</f>
        <v>111</v>
      </c>
      <c r="C77" s="510"/>
      <c r="D77" s="510"/>
      <c r="E77" s="510"/>
      <c r="F77" s="510"/>
      <c r="G77" s="510"/>
      <c r="H77" s="511"/>
      <c r="I77" s="511"/>
      <c r="J77" s="511"/>
      <c r="K77" s="511"/>
      <c r="L77" s="512"/>
      <c r="M77" s="513"/>
      <c r="N77" s="2981"/>
      <c r="O77" s="2981"/>
      <c r="P77" s="2989"/>
      <c r="Q77" s="2972"/>
      <c r="R77" s="2973"/>
      <c r="S77" s="2973"/>
      <c r="T77" s="2973"/>
      <c r="U77" s="2973"/>
      <c r="V77" s="2973"/>
      <c r="W77" s="2973"/>
      <c r="X77" s="2973"/>
      <c r="Y77" s="2973"/>
      <c r="Z77" s="2973"/>
      <c r="AA77" s="2973"/>
      <c r="AB77" s="2973"/>
      <c r="AC77" s="2973"/>
    </row>
    <row r="78" spans="1:29" s="429" customFormat="1" ht="15.75" thickBot="1">
      <c r="A78" s="509"/>
      <c r="B78" s="499"/>
      <c r="C78" s="516"/>
      <c r="D78" s="516"/>
      <c r="E78" s="516"/>
      <c r="F78" s="516"/>
      <c r="G78" s="492"/>
      <c r="H78" s="492"/>
      <c r="I78" s="492"/>
      <c r="J78" s="492"/>
      <c r="K78" s="492"/>
      <c r="L78" s="492"/>
      <c r="M78" s="493"/>
      <c r="N78" s="2981"/>
      <c r="O78" s="2981"/>
      <c r="P78" s="2989"/>
      <c r="Q78" s="2972"/>
      <c r="R78" s="2973"/>
      <c r="S78" s="2973"/>
      <c r="T78" s="2973"/>
      <c r="U78" s="2973"/>
      <c r="V78" s="2973"/>
      <c r="W78" s="2973"/>
      <c r="X78" s="2973"/>
      <c r="Y78" s="2973"/>
      <c r="Z78" s="2973"/>
      <c r="AA78" s="2973"/>
      <c r="AB78" s="2973"/>
      <c r="AC78" s="2973"/>
    </row>
    <row r="79" spans="1:29" ht="27.75" thickTop="1">
      <c r="A79" s="483" t="s">
        <v>2382</v>
      </c>
      <c r="B79" s="484" t="s">
        <v>2549</v>
      </c>
      <c r="C79" s="485">
        <f>C26</f>
        <v>0</v>
      </c>
      <c r="D79" s="486"/>
      <c r="E79" s="486"/>
      <c r="F79" s="486"/>
      <c r="G79" s="486"/>
      <c r="H79" s="486"/>
      <c r="I79" s="486"/>
      <c r="J79" s="486"/>
      <c r="K79" s="487"/>
      <c r="L79" s="488"/>
      <c r="M79" s="489"/>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0"/>
      <c r="B81" s="494" t="s">
        <v>2550</v>
      </c>
      <c r="C81" s="616"/>
      <c r="D81" s="616"/>
      <c r="E81" s="616"/>
      <c r="F81" s="616"/>
      <c r="G81" s="616"/>
      <c r="H81" s="616"/>
      <c r="I81" s="616"/>
      <c r="J81" s="616"/>
      <c r="K81" s="617"/>
      <c r="L81" s="618"/>
      <c r="M81" s="619"/>
      <c r="N81" s="2978"/>
      <c r="O81" s="2978"/>
      <c r="P81" s="2988"/>
      <c r="Q81" s="2965"/>
      <c r="R81" s="2951"/>
      <c r="S81" s="2951"/>
      <c r="T81" s="2951"/>
      <c r="U81" s="2951"/>
      <c r="V81" s="2951"/>
      <c r="W81" s="2951"/>
      <c r="X81" s="2951"/>
      <c r="Y81" s="2951"/>
      <c r="Z81" s="2951"/>
      <c r="AA81" s="2951"/>
      <c r="AB81" s="2951"/>
      <c r="AC81" s="2951"/>
    </row>
    <row r="82" spans="1:29" s="429" customFormat="1" ht="15.75" thickBot="1">
      <c r="A82" s="509"/>
      <c r="B82" s="499"/>
      <c r="C82" s="516"/>
      <c r="D82" s="492"/>
      <c r="E82" s="492"/>
      <c r="F82" s="492"/>
      <c r="G82" s="492"/>
      <c r="H82" s="492"/>
      <c r="I82" s="492"/>
      <c r="J82" s="492"/>
      <c r="K82" s="492"/>
      <c r="L82" s="492"/>
      <c r="M82" s="493"/>
      <c r="N82" s="2980"/>
      <c r="O82" s="2980"/>
      <c r="P82" s="2989"/>
      <c r="Q82" s="2972"/>
      <c r="R82" s="2973"/>
      <c r="S82" s="2973"/>
      <c r="T82" s="2973"/>
      <c r="U82" s="2973"/>
      <c r="V82" s="2973"/>
      <c r="W82" s="2973"/>
      <c r="X82" s="2973"/>
      <c r="Y82" s="2973"/>
      <c r="Z82" s="2973"/>
      <c r="AA82" s="2973"/>
      <c r="AB82" s="2973"/>
      <c r="AC82" s="2973"/>
    </row>
    <row r="83" spans="1:29" ht="15" thickTop="1">
      <c r="A83" s="555"/>
      <c r="B83" s="494" t="s">
        <v>2435</v>
      </c>
      <c r="C83" s="510"/>
      <c r="D83" s="510"/>
      <c r="E83" s="539"/>
      <c r="F83" s="539"/>
      <c r="G83" s="539"/>
      <c r="H83" s="539"/>
      <c r="I83" s="539"/>
      <c r="J83" s="539"/>
      <c r="K83" s="540"/>
      <c r="L83" s="541"/>
      <c r="M83" s="542"/>
      <c r="N83" s="2979"/>
      <c r="O83" s="2979"/>
      <c r="P83" s="2988"/>
      <c r="Q83" s="2965"/>
      <c r="R83" s="2951"/>
      <c r="S83" s="2951"/>
      <c r="T83" s="2951"/>
      <c r="U83" s="2951"/>
      <c r="V83" s="2951"/>
      <c r="W83" s="2951"/>
      <c r="X83" s="2951"/>
      <c r="Y83" s="2951"/>
      <c r="Z83" s="2951"/>
      <c r="AA83" s="2951"/>
      <c r="AB83" s="2951"/>
      <c r="AC83" s="295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5"/>
      <c r="B85" s="494" t="s">
        <v>2551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9"/>
      <c r="O85" s="2979"/>
      <c r="P85" s="2988"/>
      <c r="Q85" s="2965"/>
      <c r="R85" s="2951"/>
      <c r="S85" s="2951"/>
      <c r="T85" s="2951"/>
      <c r="U85" s="2951"/>
      <c r="V85" s="2951"/>
      <c r="W85" s="2951"/>
      <c r="X85" s="2951"/>
      <c r="Y85" s="2951"/>
      <c r="Z85" s="2951"/>
      <c r="AA85" s="2951"/>
      <c r="AB85" s="2951"/>
      <c r="AC85" s="2951"/>
    </row>
    <row r="86" spans="1:29">
      <c r="A86" s="555"/>
      <c r="B86" s="502"/>
      <c r="C86" s="559">
        <v>0.5</v>
      </c>
      <c r="D86" s="559">
        <v>0.6</v>
      </c>
      <c r="E86" s="559">
        <v>0.7</v>
      </c>
      <c r="F86" s="559">
        <v>0.8</v>
      </c>
      <c r="G86" s="559">
        <v>0.9</v>
      </c>
      <c r="H86" s="559">
        <v>1.0001</v>
      </c>
      <c r="I86" s="578"/>
      <c r="J86" s="578"/>
      <c r="K86" s="579"/>
      <c r="L86" s="580"/>
      <c r="M86" s="581"/>
      <c r="N86" s="2979"/>
      <c r="O86" s="2979"/>
      <c r="P86" s="2988"/>
      <c r="Q86" s="2965"/>
      <c r="R86" s="2951"/>
      <c r="S86" s="2951"/>
      <c r="T86" s="2951"/>
      <c r="U86" s="2951"/>
      <c r="V86" s="2951"/>
      <c r="W86" s="2951"/>
      <c r="X86" s="2951"/>
      <c r="Y86" s="2951"/>
      <c r="Z86" s="2951"/>
      <c r="AA86" s="2951"/>
      <c r="AB86" s="2951"/>
      <c r="AC86" s="295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5"/>
      <c r="B88" s="502" t="s">
        <v>2552</v>
      </c>
      <c r="C88" s="486"/>
      <c r="D88" s="486"/>
      <c r="E88" s="486"/>
      <c r="F88" s="486"/>
      <c r="G88" s="486"/>
      <c r="H88" s="486"/>
      <c r="I88" s="486"/>
      <c r="J88" s="486"/>
      <c r="K88" s="487"/>
      <c r="L88" s="488"/>
      <c r="M88" s="489"/>
      <c r="N88" s="2979"/>
      <c r="O88" s="2979"/>
      <c r="P88" s="2988"/>
      <c r="Q88" s="2965"/>
      <c r="R88" s="2951"/>
      <c r="S88" s="2951"/>
      <c r="T88" s="2951"/>
      <c r="U88" s="2951"/>
      <c r="V88" s="2951"/>
      <c r="W88" s="2951"/>
      <c r="X88" s="2951"/>
      <c r="Y88" s="2951"/>
      <c r="Z88" s="2951"/>
      <c r="AA88" s="2951"/>
      <c r="AB88" s="2951"/>
      <c r="AC88" s="295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0"/>
      <c r="O89" s="2980"/>
      <c r="P89" s="2988"/>
      <c r="Q89" s="2965"/>
      <c r="R89" s="2951"/>
      <c r="S89" s="2951"/>
      <c r="T89" s="2951"/>
      <c r="U89" s="2951"/>
      <c r="V89" s="2951"/>
      <c r="W89" s="2951"/>
      <c r="X89" s="2951"/>
      <c r="Y89" s="2951"/>
      <c r="Z89" s="2951"/>
      <c r="AA89" s="2951"/>
      <c r="AB89" s="2951"/>
      <c r="AC89" s="2951"/>
    </row>
    <row r="90" spans="1:29" s="429" customFormat="1" ht="15" thickTop="1">
      <c r="A90" s="549"/>
      <c r="B90" s="494" t="s">
        <v>2553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1"/>
      <c r="O90" s="2981"/>
      <c r="P90" s="2989"/>
      <c r="Q90" s="2972"/>
      <c r="R90" s="2973"/>
      <c r="S90" s="2973"/>
      <c r="T90" s="2973"/>
      <c r="U90" s="2973"/>
      <c r="V90" s="2973"/>
      <c r="W90" s="2973"/>
      <c r="X90" s="2973"/>
      <c r="Y90" s="2973"/>
      <c r="Z90" s="2973"/>
      <c r="AA90" s="2973"/>
      <c r="AB90" s="2973"/>
      <c r="AC90" s="2973"/>
    </row>
    <row r="91" spans="1:29" s="429" customFormat="1">
      <c r="A91" s="549"/>
      <c r="B91" s="502"/>
      <c r="C91" s="551"/>
      <c r="D91" s="551"/>
      <c r="E91" s="551"/>
      <c r="F91" s="551"/>
      <c r="G91" s="551"/>
      <c r="H91" s="551"/>
      <c r="I91" s="551"/>
      <c r="J91" s="552"/>
      <c r="K91" s="552"/>
      <c r="L91" s="553"/>
      <c r="M91" s="554"/>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16"/>
      <c r="D92" s="492"/>
      <c r="E92" s="492"/>
      <c r="F92" s="492"/>
      <c r="G92" s="492"/>
      <c r="H92" s="492"/>
      <c r="I92" s="492"/>
      <c r="J92" s="492"/>
      <c r="K92" s="492"/>
      <c r="L92" s="492"/>
      <c r="M92" s="493"/>
      <c r="N92" s="2981"/>
      <c r="O92" s="2981"/>
      <c r="P92" s="2989"/>
      <c r="Q92" s="2972"/>
      <c r="R92" s="2973"/>
      <c r="S92" s="2973"/>
      <c r="T92" s="2973"/>
      <c r="U92" s="2973"/>
      <c r="V92" s="2973"/>
      <c r="W92" s="2973"/>
      <c r="X92" s="2973"/>
      <c r="Y92" s="2973"/>
      <c r="Z92" s="2973"/>
      <c r="AA92" s="2973"/>
      <c r="AB92" s="2973"/>
      <c r="AC92" s="2973"/>
    </row>
    <row r="93" spans="1:29" ht="15" thickTop="1">
      <c r="A93" s="555"/>
      <c r="B93" s="494" t="s">
        <v>2554</v>
      </c>
      <c r="C93" s="510"/>
      <c r="D93" s="510"/>
      <c r="E93" s="539"/>
      <c r="F93" s="539"/>
      <c r="G93" s="539"/>
      <c r="H93" s="539"/>
      <c r="I93" s="539"/>
      <c r="J93" s="539"/>
      <c r="K93" s="540"/>
      <c r="L93" s="541"/>
      <c r="M93" s="542"/>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5"/>
      <c r="B95" s="494" t="s">
        <v>2555</v>
      </c>
      <c r="C95" s="486"/>
      <c r="D95" s="486"/>
      <c r="E95" s="486"/>
      <c r="F95" s="486"/>
      <c r="G95" s="486"/>
      <c r="H95" s="486"/>
      <c r="I95" s="486"/>
      <c r="J95" s="486"/>
      <c r="K95" s="487"/>
      <c r="L95" s="488"/>
      <c r="M95" s="489"/>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0"/>
      <c r="O96" s="2980"/>
      <c r="P96" s="2988"/>
      <c r="Q96" s="2965"/>
      <c r="R96" s="2951"/>
      <c r="S96" s="2951"/>
      <c r="T96" s="2951"/>
      <c r="U96" s="2951"/>
      <c r="V96" s="2951"/>
      <c r="W96" s="2951"/>
      <c r="X96" s="2951"/>
      <c r="Y96" s="2951"/>
      <c r="Z96" s="2951"/>
      <c r="AA96" s="2951"/>
      <c r="AB96" s="2951"/>
      <c r="AC96" s="2951"/>
    </row>
    <row r="97" spans="1:29" ht="15" thickTop="1">
      <c r="A97" s="555"/>
      <c r="B97" s="591">
        <f>B34</f>
        <v>111</v>
      </c>
      <c r="C97" s="505"/>
      <c r="D97" s="505"/>
      <c r="E97" s="505"/>
      <c r="F97" s="505"/>
      <c r="G97" s="510"/>
      <c r="H97" s="511"/>
      <c r="I97" s="511"/>
      <c r="J97" s="511"/>
      <c r="K97" s="511"/>
      <c r="L97" s="512"/>
      <c r="M97" s="513"/>
      <c r="N97" s="2980"/>
      <c r="O97" s="2980"/>
      <c r="P97" s="2993"/>
      <c r="Q97" s="2994"/>
      <c r="R97" s="2951"/>
      <c r="S97" s="2951"/>
      <c r="T97" s="2951"/>
      <c r="U97" s="2951"/>
      <c r="V97" s="2951"/>
      <c r="W97" s="2951"/>
      <c r="X97" s="2951"/>
      <c r="Y97" s="2951"/>
      <c r="Z97" s="2951"/>
      <c r="AA97" s="2951"/>
      <c r="AB97" s="2951"/>
      <c r="AC97" s="2951"/>
    </row>
    <row r="98" spans="1:29" ht="15.75" thickBot="1">
      <c r="A98" s="490"/>
      <c r="B98" s="499"/>
      <c r="C98" s="516"/>
      <c r="D98" s="492"/>
      <c r="E98" s="492"/>
      <c r="F98" s="492"/>
      <c r="G98" s="516"/>
      <c r="H98" s="518"/>
      <c r="I98" s="518"/>
      <c r="J98" s="518"/>
      <c r="K98" s="518"/>
      <c r="L98" s="518"/>
      <c r="M98" s="519"/>
      <c r="N98" s="2980"/>
      <c r="O98" s="2980"/>
      <c r="P98" s="2988"/>
      <c r="Q98" s="2965"/>
      <c r="R98" s="2951"/>
      <c r="S98" s="2951"/>
      <c r="T98" s="2951"/>
      <c r="U98" s="2951"/>
      <c r="V98" s="2951"/>
      <c r="W98" s="2951"/>
      <c r="X98" s="2951"/>
      <c r="Y98" s="2951"/>
      <c r="Z98" s="2951"/>
      <c r="AA98" s="2951"/>
      <c r="AB98" s="2951"/>
      <c r="AC98" s="2951"/>
    </row>
    <row r="99" spans="1:29" s="429" customFormat="1" ht="15" thickTop="1">
      <c r="A99" s="549"/>
      <c r="B99" s="494">
        <f>B35</f>
        <v>111</v>
      </c>
      <c r="C99" s="505"/>
      <c r="D99" s="505"/>
      <c r="E99" s="505"/>
      <c r="F99" s="505"/>
      <c r="G99" s="510"/>
      <c r="H99" s="511"/>
      <c r="I99" s="511"/>
      <c r="J99" s="511"/>
      <c r="K99" s="511"/>
      <c r="L99" s="512"/>
      <c r="M99" s="513"/>
      <c r="N99" s="2981"/>
      <c r="O99" s="2981"/>
      <c r="P99" s="2989"/>
      <c r="Q99" s="2972"/>
      <c r="R99" s="2973"/>
      <c r="S99" s="2973"/>
      <c r="T99" s="2973"/>
      <c r="U99" s="2973"/>
      <c r="V99" s="2973"/>
      <c r="W99" s="2973"/>
      <c r="X99" s="2973"/>
      <c r="Y99" s="2973"/>
      <c r="Z99" s="2973"/>
      <c r="AA99" s="2973"/>
      <c r="AB99" s="2973"/>
      <c r="AC99" s="2973"/>
    </row>
    <row r="100" spans="1:29" s="429" customFormat="1" ht="15.75" thickBot="1">
      <c r="A100" s="509"/>
      <c r="B100" s="491"/>
      <c r="C100" s="516"/>
      <c r="D100" s="492"/>
      <c r="E100" s="492"/>
      <c r="F100" s="492"/>
      <c r="G100" s="516"/>
      <c r="H100" s="518"/>
      <c r="I100" s="518"/>
      <c r="J100" s="518"/>
      <c r="K100" s="518"/>
      <c r="L100" s="518"/>
      <c r="M100" s="519"/>
      <c r="N100" s="2981"/>
      <c r="O100" s="2981"/>
      <c r="P100" s="2989"/>
      <c r="Q100" s="2972"/>
      <c r="R100" s="2973"/>
      <c r="S100" s="2973"/>
      <c r="T100" s="2973"/>
      <c r="U100" s="2973"/>
      <c r="V100" s="2973"/>
      <c r="W100" s="2973"/>
      <c r="X100" s="2973"/>
      <c r="Y100" s="2973"/>
      <c r="Z100" s="2973"/>
      <c r="AA100" s="2973"/>
      <c r="AB100" s="2973"/>
      <c r="AC100" s="2973"/>
    </row>
    <row r="101" spans="1:29" ht="15" thickTop="1">
      <c r="A101" s="555"/>
      <c r="B101" s="494">
        <f>B36</f>
        <v>111</v>
      </c>
      <c r="C101" s="510"/>
      <c r="D101" s="510"/>
      <c r="E101" s="510"/>
      <c r="F101" s="510"/>
      <c r="G101" s="510"/>
      <c r="H101" s="511"/>
      <c r="I101" s="511"/>
      <c r="J101" s="511"/>
      <c r="K101" s="511"/>
      <c r="L101" s="512"/>
      <c r="M101" s="513"/>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16"/>
      <c r="D102" s="516"/>
      <c r="E102" s="516"/>
      <c r="F102" s="516"/>
      <c r="G102" s="516"/>
      <c r="H102" s="518"/>
      <c r="I102" s="518"/>
      <c r="J102" s="518"/>
      <c r="K102" s="518"/>
      <c r="L102" s="518"/>
      <c r="M102" s="519"/>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2526</v>
      </c>
      <c r="B1" s="1390"/>
      <c r="C1" s="1391" t="s">
        <v>2349</v>
      </c>
      <c r="D1" s="1392"/>
      <c r="E1" s="1401"/>
      <c r="F1" s="2064"/>
      <c r="G1" s="1402" t="s">
        <v>2462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IF(C2="——",ROUND(C37*D3/10000,0),ROUND(C37*D3/10000,0)-D2)</f>
        <v>#DIV/0!</v>
      </c>
      <c r="C2" s="2066"/>
      <c r="D2" s="1037" t="e">
        <f ca="1">SUMIF(INDIRECT("'"&amp;F2&amp;"'"&amp;"!A:A"),"承租人权益价值",INDIRECT("'"&amp;F2&amp;"'"&amp;"!c:c"))</f>
        <v>#REF!</v>
      </c>
      <c r="E2" s="2067" t="s">
        <v>2150</v>
      </c>
      <c r="F2" s="2068"/>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 ca="1">IF(C2="——",C37,ROUND(B2*10000/D3,0))</f>
        <v>#DIV/0!</v>
      </c>
      <c r="C3" s="359" t="s">
        <v>2463</v>
      </c>
      <c r="D3" s="358">
        <f>SUMIF('数据-汇总表'!$C19:$C33,D1,'数据-汇总表'!$E19:$E33)</f>
        <v>0</v>
      </c>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2464</v>
      </c>
      <c r="B4" s="361"/>
      <c r="C4" s="3295" t="s">
        <v>2465</v>
      </c>
      <c r="D4" s="3308"/>
      <c r="E4" s="3309" t="s">
        <v>2466</v>
      </c>
      <c r="F4" s="3310"/>
      <c r="G4" s="3295" t="s">
        <v>2467</v>
      </c>
      <c r="H4" s="3308"/>
      <c r="I4" s="3295" t="s">
        <v>2468</v>
      </c>
      <c r="J4" s="3308"/>
      <c r="K4" s="566" t="s">
        <v>2469</v>
      </c>
      <c r="L4" s="2941"/>
      <c r="M4" s="2942"/>
      <c r="N4" s="2942"/>
      <c r="O4" s="2942"/>
      <c r="P4" s="3311" t="s">
        <v>2470</v>
      </c>
      <c r="Q4" s="3312"/>
      <c r="R4" s="3317" t="s">
        <v>2466</v>
      </c>
      <c r="S4" s="3318"/>
      <c r="T4" s="3317" t="s">
        <v>2467</v>
      </c>
      <c r="U4" s="3318"/>
      <c r="V4" s="3304" t="s">
        <v>2468</v>
      </c>
      <c r="W4" s="3304"/>
      <c r="X4" s="1538"/>
      <c r="Y4" s="3317" t="s">
        <v>2470</v>
      </c>
      <c r="Z4" s="3318"/>
      <c r="AA4" s="3305" t="s">
        <v>2466</v>
      </c>
      <c r="AB4" s="3306" t="s">
        <v>2467</v>
      </c>
      <c r="AC4" s="3305" t="s">
        <v>2468</v>
      </c>
    </row>
    <row r="5" spans="1:29" ht="15">
      <c r="A5" s="363"/>
      <c r="B5" s="364"/>
      <c r="C5" s="3325" t="s">
        <v>2361</v>
      </c>
      <c r="D5" s="3326"/>
      <c r="E5" s="3332" t="s">
        <v>2362</v>
      </c>
      <c r="F5" s="3333"/>
      <c r="G5" s="3325" t="s">
        <v>2363</v>
      </c>
      <c r="H5" s="3326"/>
      <c r="I5" s="3325" t="s">
        <v>2364</v>
      </c>
      <c r="J5" s="3326"/>
      <c r="K5" s="566"/>
      <c r="L5" s="2941"/>
      <c r="M5" s="2942"/>
      <c r="N5" s="2942"/>
      <c r="O5" s="2942"/>
      <c r="P5" s="3313"/>
      <c r="Q5" s="3314"/>
      <c r="R5" s="3319"/>
      <c r="S5" s="3320"/>
      <c r="T5" s="3319"/>
      <c r="U5" s="3320"/>
      <c r="V5" s="3304"/>
      <c r="W5" s="3304"/>
      <c r="X5" s="1538"/>
      <c r="Y5" s="3319"/>
      <c r="Z5" s="3320"/>
      <c r="AA5" s="3306"/>
      <c r="AB5" s="3306"/>
      <c r="AC5" s="3306"/>
    </row>
    <row r="6" spans="1:29" ht="15.75" thickBot="1">
      <c r="A6" s="365"/>
      <c r="B6" s="366"/>
      <c r="C6" s="3323" t="s">
        <v>2365</v>
      </c>
      <c r="D6" s="3324"/>
      <c r="E6" s="3330" t="s">
        <v>2365</v>
      </c>
      <c r="F6" s="3331"/>
      <c r="G6" s="3323" t="s">
        <v>2365</v>
      </c>
      <c r="H6" s="3324"/>
      <c r="I6" s="3323" t="s">
        <v>2365</v>
      </c>
      <c r="J6" s="3324"/>
      <c r="K6" s="566" t="s">
        <v>2366</v>
      </c>
      <c r="L6" s="2941"/>
      <c r="M6" s="2942"/>
      <c r="N6" s="2942"/>
      <c r="O6" s="2942"/>
      <c r="P6" s="3315"/>
      <c r="Q6" s="3316"/>
      <c r="R6" s="3319"/>
      <c r="S6" s="3320"/>
      <c r="T6" s="3321"/>
      <c r="U6" s="3322"/>
      <c r="V6" s="3304"/>
      <c r="W6" s="3304"/>
      <c r="X6" s="1538"/>
      <c r="Y6" s="3321"/>
      <c r="Z6" s="3322"/>
      <c r="AA6" s="3307"/>
      <c r="AB6" s="3307"/>
      <c r="AC6" s="3307"/>
    </row>
    <row r="7" spans="1:29" s="112" customFormat="1" ht="15.75" thickBot="1">
      <c r="A7" s="367" t="s">
        <v>2367</v>
      </c>
      <c r="B7" s="368"/>
      <c r="C7" s="369">
        <f>'数据-取费表'!B2</f>
        <v>44478</v>
      </c>
      <c r="D7" s="370">
        <v>100</v>
      </c>
      <c r="E7" s="371"/>
      <c r="F7" s="372">
        <f>SUMIF(46:46,YEAR(E7)&amp;"-"&amp;MONTH(E7),47:47)</f>
        <v>0</v>
      </c>
      <c r="G7" s="2157"/>
      <c r="H7" s="370">
        <f>SUMIF(46:46,YEAR(G7)&amp;"-"&amp;MONTH(G7),47:47)</f>
        <v>0</v>
      </c>
      <c r="I7" s="371"/>
      <c r="J7" s="370">
        <f>SUMIF(46:46,YEAR(I7)&amp;"-"&amp;MONTH(I7),47:47)</f>
        <v>0</v>
      </c>
      <c r="K7" s="567"/>
      <c r="L7" s="2943"/>
      <c r="M7" s="2944"/>
      <c r="N7" s="2944"/>
      <c r="O7" s="2944"/>
      <c r="P7" s="3327" t="s">
        <v>2368</v>
      </c>
      <c r="Q7" s="3329"/>
      <c r="R7" s="709" t="s">
        <v>17</v>
      </c>
      <c r="S7" s="710">
        <f t="shared" ref="S7:S14" si="0">F7</f>
        <v>0</v>
      </c>
      <c r="T7" s="709" t="s">
        <v>17</v>
      </c>
      <c r="U7" s="710">
        <f t="shared" ref="U7:U14" si="1">H7</f>
        <v>0</v>
      </c>
      <c r="V7" s="709" t="s">
        <v>17</v>
      </c>
      <c r="W7" s="710">
        <f t="shared" ref="W7:W14" si="2">J7</f>
        <v>0</v>
      </c>
      <c r="X7" s="711"/>
      <c r="Y7" s="3327" t="s">
        <v>2368</v>
      </c>
      <c r="Z7" s="3328"/>
      <c r="AA7" s="712" t="e">
        <f>D7/F7</f>
        <v>#DIV/0!</v>
      </c>
      <c r="AB7" s="712" t="e">
        <f>D7/H7</f>
        <v>#DIV/0!</v>
      </c>
      <c r="AC7" s="712" t="e">
        <f>D7/J7</f>
        <v>#DIV/0!</v>
      </c>
    </row>
    <row r="8" spans="1:29" s="112" customFormat="1" ht="15.75" thickBot="1">
      <c r="A8" s="367" t="s">
        <v>2369</v>
      </c>
      <c r="B8" s="368"/>
      <c r="C8" s="373" t="s">
        <v>2471</v>
      </c>
      <c r="D8" s="370">
        <v>100</v>
      </c>
      <c r="E8" s="373"/>
      <c r="F8" s="372">
        <f>SUMIF(49:49,E8,50:50)-SUMIF(49:49,C8,50:50)+100</f>
        <v>0</v>
      </c>
      <c r="G8" s="373"/>
      <c r="H8" s="370">
        <f>SUMIF(49:49,G8,50:50)-SUMIF(49:49,C8,50:50)+100</f>
        <v>0</v>
      </c>
      <c r="I8" s="373"/>
      <c r="J8" s="370">
        <f>SUMIF(49:49,I8,50:50)-SUMIF(49:49,C8,50:50)+100</f>
        <v>0</v>
      </c>
      <c r="K8" s="567"/>
      <c r="L8" s="2943"/>
      <c r="M8" s="2944"/>
      <c r="N8" s="2944"/>
      <c r="O8" s="2944"/>
      <c r="P8" s="3327" t="s">
        <v>2371</v>
      </c>
      <c r="Q8" s="3328"/>
      <c r="R8" s="709" t="s">
        <v>17</v>
      </c>
      <c r="S8" s="710">
        <f t="shared" si="0"/>
        <v>0</v>
      </c>
      <c r="T8" s="709" t="s">
        <v>17</v>
      </c>
      <c r="U8" s="710">
        <f t="shared" si="1"/>
        <v>0</v>
      </c>
      <c r="V8" s="709" t="s">
        <v>17</v>
      </c>
      <c r="W8" s="710">
        <f t="shared" si="2"/>
        <v>0</v>
      </c>
      <c r="X8" s="711"/>
      <c r="Y8" s="3327" t="s">
        <v>2371</v>
      </c>
      <c r="Z8" s="3328"/>
      <c r="AA8" s="712" t="e">
        <f t="shared" ref="AA8:AA34" si="3">D8/F8</f>
        <v>#DIV/0!</v>
      </c>
      <c r="AB8" s="712" t="e">
        <f t="shared" ref="AB8:AB34" si="4">D8/H8</f>
        <v>#DIV/0!</v>
      </c>
      <c r="AC8" s="712" t="e">
        <f t="shared" ref="AC8:AC34" si="5">D8/J8</f>
        <v>#DIV/0!</v>
      </c>
    </row>
    <row r="9" spans="1:29" s="112" customFormat="1">
      <c r="A9" s="374" t="s">
        <v>2372</v>
      </c>
      <c r="B9" s="66" t="s">
        <v>2373</v>
      </c>
      <c r="C9" s="375"/>
      <c r="D9" s="130">
        <v>100</v>
      </c>
      <c r="E9" s="378"/>
      <c r="F9" s="377">
        <f>SUMIF(51:51,E9,52:52)-SUMIF(51:51,C9,52:52)+100</f>
        <v>100</v>
      </c>
      <c r="G9" s="378"/>
      <c r="H9" s="130">
        <f>SUMIF(51:51,G9,52:52)-SUMIF(51:51,C9,52:52)+100</f>
        <v>100</v>
      </c>
      <c r="I9" s="378"/>
      <c r="J9" s="130">
        <f>SUMIF(51:51,I9,52:52)-SUMIF(51:51,C9,52:52)+100</f>
        <v>100</v>
      </c>
      <c r="K9" s="567"/>
      <c r="L9" s="2943"/>
      <c r="M9" s="2944"/>
      <c r="N9" s="2944"/>
      <c r="O9" s="2998"/>
      <c r="P9" s="3298" t="s">
        <v>2374</v>
      </c>
      <c r="Q9" s="1526" t="str">
        <f t="shared" ref="Q9:Q14" si="6">B9</f>
        <v>用途</v>
      </c>
      <c r="R9" s="709" t="s">
        <v>17</v>
      </c>
      <c r="S9" s="710">
        <f t="shared" si="0"/>
        <v>100</v>
      </c>
      <c r="T9" s="709" t="s">
        <v>17</v>
      </c>
      <c r="U9" s="710">
        <f t="shared" si="1"/>
        <v>100</v>
      </c>
      <c r="V9" s="709" t="s">
        <v>17</v>
      </c>
      <c r="W9" s="710">
        <f t="shared" si="2"/>
        <v>100</v>
      </c>
      <c r="X9" s="711"/>
      <c r="Y9" s="3192" t="s">
        <v>2375</v>
      </c>
      <c r="Z9" s="55" t="str">
        <f t="shared" ref="Z9:Z14" si="7">Q9</f>
        <v>用途</v>
      </c>
      <c r="AA9" s="712">
        <f t="shared" si="3"/>
        <v>1</v>
      </c>
      <c r="AB9" s="712">
        <f t="shared" si="4"/>
        <v>1</v>
      </c>
      <c r="AC9" s="712">
        <f t="shared" si="5"/>
        <v>1</v>
      </c>
    </row>
    <row r="10" spans="1:29" s="385" customFormat="1" ht="27">
      <c r="A10" s="379"/>
      <c r="B10" s="380" t="s">
        <v>2376</v>
      </c>
      <c r="C10" s="381"/>
      <c r="D10" s="131">
        <v>100</v>
      </c>
      <c r="E10" s="381"/>
      <c r="F10" s="383">
        <f>SUMIF(53:53,E10,54:54)-SUMIF(53:53,C10,54:54)+100</f>
        <v>100</v>
      </c>
      <c r="G10" s="381"/>
      <c r="H10" s="131">
        <f>SUMIF(53:53,G10,54:54)-SUMIF(53:53,C10,54:54)+100</f>
        <v>100</v>
      </c>
      <c r="I10" s="381"/>
      <c r="J10" s="131">
        <f>SUMIF(53:53,I10,54:54)-SUMIF(53:53,C10,54:54)+100</f>
        <v>100</v>
      </c>
      <c r="K10" s="568"/>
      <c r="L10" s="2945"/>
      <c r="M10" s="2946"/>
      <c r="N10" s="2946"/>
      <c r="O10" s="2999"/>
      <c r="P10" s="3298"/>
      <c r="Q10" s="1526" t="str">
        <f t="shared" si="6"/>
        <v>土地使用年限（年）</v>
      </c>
      <c r="R10" s="709" t="s">
        <v>17</v>
      </c>
      <c r="S10" s="710">
        <f t="shared" si="0"/>
        <v>100</v>
      </c>
      <c r="T10" s="709" t="s">
        <v>17</v>
      </c>
      <c r="U10" s="710">
        <f t="shared" si="1"/>
        <v>100</v>
      </c>
      <c r="V10" s="709" t="s">
        <v>17</v>
      </c>
      <c r="W10" s="710">
        <f t="shared" si="2"/>
        <v>100</v>
      </c>
      <c r="X10" s="711"/>
      <c r="Y10" s="3192"/>
      <c r="Z10" s="55" t="str">
        <f t="shared" si="7"/>
        <v>土地使用年限（年）</v>
      </c>
      <c r="AA10" s="712">
        <f t="shared" si="3"/>
        <v>1</v>
      </c>
      <c r="AB10" s="712">
        <f t="shared" si="4"/>
        <v>1</v>
      </c>
      <c r="AC10" s="712">
        <f t="shared" si="5"/>
        <v>1</v>
      </c>
    </row>
    <row r="11" spans="1:29" ht="15">
      <c r="A11" s="386"/>
      <c r="B11" s="2078">
        <v>111</v>
      </c>
      <c r="C11" s="390"/>
      <c r="D11" s="131">
        <v>100</v>
      </c>
      <c r="E11" s="427"/>
      <c r="F11" s="383">
        <f>SUMIF(55:55,E11,56:56)-SUMIF(55:55,C11,56:56)+100</f>
        <v>100</v>
      </c>
      <c r="G11" s="427"/>
      <c r="H11" s="131">
        <f>SUMIF(55:55,G11,56:56)-SUMIF(55:55,C11,56:56)+100</f>
        <v>100</v>
      </c>
      <c r="I11" s="427"/>
      <c r="J11" s="131">
        <f>SUMIF(55:55,I11,56:56)-SUMIF(55:55,C11,56:56)+100</f>
        <v>100</v>
      </c>
      <c r="K11" s="569"/>
      <c r="L11" s="2947"/>
      <c r="M11" s="2942"/>
      <c r="N11" s="2942"/>
      <c r="O11" s="3000"/>
      <c r="P11" s="3298"/>
      <c r="Q11" s="1526">
        <f t="shared" si="6"/>
        <v>111</v>
      </c>
      <c r="R11" s="709" t="s">
        <v>17</v>
      </c>
      <c r="S11" s="710">
        <f t="shared" si="0"/>
        <v>100</v>
      </c>
      <c r="T11" s="709" t="s">
        <v>17</v>
      </c>
      <c r="U11" s="710">
        <f t="shared" si="1"/>
        <v>100</v>
      </c>
      <c r="V11" s="709" t="s">
        <v>17</v>
      </c>
      <c r="W11" s="710">
        <f t="shared" si="2"/>
        <v>100</v>
      </c>
      <c r="X11" s="711"/>
      <c r="Y11" s="3192"/>
      <c r="Z11" s="55">
        <f t="shared" si="7"/>
        <v>111</v>
      </c>
      <c r="AA11" s="712">
        <f t="shared" si="3"/>
        <v>1</v>
      </c>
      <c r="AB11" s="712">
        <f t="shared" si="4"/>
        <v>1</v>
      </c>
      <c r="AC11" s="712">
        <f t="shared" si="5"/>
        <v>1</v>
      </c>
    </row>
    <row r="12" spans="1:29" s="112" customFormat="1" ht="15">
      <c r="A12" s="389"/>
      <c r="B12" s="2078">
        <v>111</v>
      </c>
      <c r="C12" s="390"/>
      <c r="D12" s="391">
        <v>100</v>
      </c>
      <c r="E12" s="427"/>
      <c r="F12" s="383">
        <f>SUMIF(57:57,E12,58:58)-SUMIF(57:57,C12,58:58)+100</f>
        <v>100</v>
      </c>
      <c r="G12" s="427"/>
      <c r="H12" s="131">
        <f>SUMIF(57:57,G12,58:58)-SUMIF(57:57,C12,58:58)+100</f>
        <v>100</v>
      </c>
      <c r="I12" s="427"/>
      <c r="J12" s="131">
        <f>SUMIF(57:57,I12,58:58)-SUMIF(57:57,C12,58:58)+100</f>
        <v>100</v>
      </c>
      <c r="K12" s="569"/>
      <c r="L12" s="2943"/>
      <c r="M12" s="2944"/>
      <c r="N12" s="2944"/>
      <c r="O12" s="2998"/>
      <c r="P12" s="3298"/>
      <c r="Q12" s="1526">
        <f t="shared" si="6"/>
        <v>111</v>
      </c>
      <c r="R12" s="709" t="s">
        <v>17</v>
      </c>
      <c r="S12" s="710">
        <f t="shared" si="0"/>
        <v>100</v>
      </c>
      <c r="T12" s="709" t="s">
        <v>17</v>
      </c>
      <c r="U12" s="710">
        <f t="shared" si="1"/>
        <v>100</v>
      </c>
      <c r="V12" s="709" t="s">
        <v>17</v>
      </c>
      <c r="W12" s="710">
        <f t="shared" si="2"/>
        <v>100</v>
      </c>
      <c r="X12" s="711"/>
      <c r="Y12" s="3192"/>
      <c r="Z12" s="55">
        <f t="shared" si="7"/>
        <v>111</v>
      </c>
      <c r="AA12" s="712">
        <f>D12/F12</f>
        <v>1</v>
      </c>
      <c r="AB12" s="712">
        <f>D12/H12</f>
        <v>1</v>
      </c>
      <c r="AC12" s="712">
        <f>D12/J12</f>
        <v>1</v>
      </c>
    </row>
    <row r="13" spans="1:29" ht="15.75" thickBot="1">
      <c r="A13" s="386"/>
      <c r="B13" s="2078">
        <v>111</v>
      </c>
      <c r="C13" s="392"/>
      <c r="D13" s="393">
        <v>100</v>
      </c>
      <c r="E13" s="427"/>
      <c r="F13" s="383">
        <f>SUMIF(59:59,E13,60:60)-SUMIF(59:59,C13,60:60)+100</f>
        <v>100</v>
      </c>
      <c r="G13" s="2158"/>
      <c r="H13" s="396">
        <f>SUMIF(59:59,G13,60:60)-SUMIF(59:59,C13,60:60)+100</f>
        <v>100</v>
      </c>
      <c r="I13" s="427"/>
      <c r="J13" s="393">
        <f>SUMIF(59:59,I13,60:60)-SUMIF(59:59,C13,60:60)+100</f>
        <v>100</v>
      </c>
      <c r="K13" s="569"/>
      <c r="L13" s="2948"/>
      <c r="M13" s="2942"/>
      <c r="N13" s="2942"/>
      <c r="O13" s="3000"/>
      <c r="P13" s="3298"/>
      <c r="Q13" s="1526">
        <f t="shared" si="6"/>
        <v>111</v>
      </c>
      <c r="R13" s="709" t="s">
        <v>17</v>
      </c>
      <c r="S13" s="710">
        <f t="shared" si="0"/>
        <v>100</v>
      </c>
      <c r="T13" s="709" t="s">
        <v>17</v>
      </c>
      <c r="U13" s="710">
        <f t="shared" si="1"/>
        <v>100</v>
      </c>
      <c r="V13" s="709" t="s">
        <v>17</v>
      </c>
      <c r="W13" s="710">
        <f t="shared" si="2"/>
        <v>100</v>
      </c>
      <c r="X13" s="711"/>
      <c r="Y13" s="3192"/>
      <c r="Z13" s="55">
        <f t="shared" si="7"/>
        <v>111</v>
      </c>
      <c r="AA13" s="712">
        <f t="shared" si="3"/>
        <v>1</v>
      </c>
      <c r="AB13" s="712">
        <f t="shared" si="4"/>
        <v>1</v>
      </c>
      <c r="AC13" s="712">
        <f t="shared" si="5"/>
        <v>1</v>
      </c>
    </row>
    <row r="14" spans="1:29" ht="15">
      <c r="A14" s="398" t="s">
        <v>2378</v>
      </c>
      <c r="B14" s="64" t="s">
        <v>2528</v>
      </c>
      <c r="C14" s="2154">
        <f>IF(B1="工业",估价对象房地状况!G4,估价对象房地状况!C6)</f>
        <v>0</v>
      </c>
      <c r="D14" s="399">
        <v>100</v>
      </c>
      <c r="E14" s="400"/>
      <c r="F14" s="401">
        <f>SUMIF(61:61,E15,62:62)-SUMIF(61:61,C15,62:62)+100</f>
        <v>100</v>
      </c>
      <c r="G14" s="402"/>
      <c r="H14" s="399">
        <f>SUMIF(61:61,G15,62:62)-SUMIF(61:61,C15,62:62)+100</f>
        <v>100</v>
      </c>
      <c r="I14" s="400"/>
      <c r="J14" s="399">
        <f>SUMIF(61:61,I15,62:62)-SUMIF(61:61,C15,62:62)+100</f>
        <v>100</v>
      </c>
      <c r="K14" s="570"/>
      <c r="L14" s="2948"/>
      <c r="M14" s="2942"/>
      <c r="N14" s="2942"/>
      <c r="O14" s="3000"/>
      <c r="P14" s="3300" t="s">
        <v>2379</v>
      </c>
      <c r="Q14" s="1535" t="str">
        <f t="shared" si="6"/>
        <v>交通便捷度</v>
      </c>
      <c r="R14" s="713" t="s">
        <v>17</v>
      </c>
      <c r="S14" s="714">
        <f t="shared" si="0"/>
        <v>100</v>
      </c>
      <c r="T14" s="713" t="s">
        <v>17</v>
      </c>
      <c r="U14" s="714">
        <f t="shared" si="1"/>
        <v>100</v>
      </c>
      <c r="V14" s="713" t="s">
        <v>17</v>
      </c>
      <c r="W14" s="714">
        <f t="shared" si="2"/>
        <v>100</v>
      </c>
      <c r="X14" s="1538"/>
      <c r="Y14" s="3300" t="s">
        <v>2379</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48"/>
      <c r="M15" s="2942"/>
      <c r="N15" s="2942"/>
      <c r="O15" s="3000"/>
      <c r="P15" s="3301"/>
      <c r="Q15" s="1535"/>
      <c r="R15" s="713"/>
      <c r="S15" s="714"/>
      <c r="T15" s="713"/>
      <c r="U15" s="714"/>
      <c r="V15" s="713"/>
      <c r="W15" s="714"/>
      <c r="X15" s="1538"/>
      <c r="Y15" s="3301"/>
      <c r="Z15" s="1539"/>
      <c r="AA15" s="1536">
        <v>1</v>
      </c>
      <c r="AB15" s="1536">
        <v>1</v>
      </c>
      <c r="AC15" s="1536">
        <v>1</v>
      </c>
    </row>
    <row r="16" spans="1:29" ht="15">
      <c r="A16" s="386"/>
      <c r="B16" s="409" t="s">
        <v>2507</v>
      </c>
      <c r="C16" s="2085">
        <f>IF(B1="工业",估价对象房地状况!G5,估价对象房地状况!C7)</f>
        <v>0</v>
      </c>
      <c r="D16" s="413">
        <v>100</v>
      </c>
      <c r="E16" s="415"/>
      <c r="F16" s="416">
        <f>SUMIF(63:63,E17,64:64)-SUMIF(63:63,C17,64:64)+100</f>
        <v>100</v>
      </c>
      <c r="G16" s="417"/>
      <c r="H16" s="413">
        <f>SUMIF(63:63,G17,64:64)-SUMIF(63:63,C17,64:64)+100</f>
        <v>100</v>
      </c>
      <c r="I16" s="415"/>
      <c r="J16" s="413">
        <f>SUMIF(63:63,I17,64:64)-SUMIF(63:63,C17,64:64)+100</f>
        <v>100</v>
      </c>
      <c r="K16" s="570"/>
      <c r="L16" s="2948"/>
      <c r="M16" s="2942"/>
      <c r="N16" s="2942"/>
      <c r="O16" s="3000"/>
      <c r="P16" s="3301"/>
      <c r="Q16" s="1535" t="str">
        <f>B16</f>
        <v>公共配套设施</v>
      </c>
      <c r="R16" s="713" t="s">
        <v>17</v>
      </c>
      <c r="S16" s="714">
        <f>F16</f>
        <v>100</v>
      </c>
      <c r="T16" s="713" t="s">
        <v>17</v>
      </c>
      <c r="U16" s="714">
        <f>H16</f>
        <v>100</v>
      </c>
      <c r="V16" s="713" t="s">
        <v>17</v>
      </c>
      <c r="W16" s="714">
        <f>J16</f>
        <v>100</v>
      </c>
      <c r="X16" s="1538"/>
      <c r="Y16" s="3301"/>
      <c r="Z16" s="1539" t="str">
        <f>Q16</f>
        <v>公共配套设施</v>
      </c>
      <c r="AA16" s="1536">
        <f t="shared" si="3"/>
        <v>1</v>
      </c>
      <c r="AB16" s="1536">
        <f t="shared" si="4"/>
        <v>1</v>
      </c>
      <c r="AC16" s="1536">
        <f t="shared" si="5"/>
        <v>1</v>
      </c>
    </row>
    <row r="17" spans="1:29" ht="15">
      <c r="A17" s="386"/>
      <c r="B17" s="414"/>
      <c r="C17" s="2086"/>
      <c r="D17" s="406"/>
      <c r="E17" s="405"/>
      <c r="F17" s="407"/>
      <c r="G17" s="405"/>
      <c r="H17" s="406"/>
      <c r="I17" s="405"/>
      <c r="J17" s="406"/>
      <c r="K17" s="571"/>
      <c r="L17" s="2948"/>
      <c r="M17" s="2942"/>
      <c r="N17" s="2942"/>
      <c r="O17" s="3000"/>
      <c r="P17" s="3301"/>
      <c r="Q17" s="1535"/>
      <c r="R17" s="713"/>
      <c r="S17" s="714"/>
      <c r="T17" s="713"/>
      <c r="U17" s="714"/>
      <c r="V17" s="713"/>
      <c r="W17" s="714"/>
      <c r="X17" s="1538"/>
      <c r="Y17" s="3301"/>
      <c r="Z17" s="1539"/>
      <c r="AA17" s="1536">
        <v>1</v>
      </c>
      <c r="AB17" s="1536">
        <v>1</v>
      </c>
      <c r="AC17" s="1536">
        <v>1</v>
      </c>
    </row>
    <row r="18" spans="1:29" ht="15">
      <c r="A18" s="386"/>
      <c r="B18" s="1292" t="s">
        <v>2508</v>
      </c>
      <c r="C18" s="2085">
        <f>IF(B1="工业",估价对象房地状况!G6,估价对象房地状况!C8)</f>
        <v>0</v>
      </c>
      <c r="D18" s="413">
        <v>100</v>
      </c>
      <c r="E18" s="410"/>
      <c r="F18" s="416">
        <f>SUMIF(65:65,E19,66:66)-SUMIF(65:65,C19,66:66)+100</f>
        <v>100</v>
      </c>
      <c r="G18" s="412"/>
      <c r="H18" s="413">
        <f>SUMIF(65:65,G19,66:66)-SUMIF(65:65,C19,66:66)+100</f>
        <v>100</v>
      </c>
      <c r="I18" s="415"/>
      <c r="J18" s="413">
        <f>SUMIF(65:65,I19,66:66)-SUMIF(65:65,C19,66:66)+100</f>
        <v>100</v>
      </c>
      <c r="K18" s="570"/>
      <c r="L18" s="2948"/>
      <c r="M18" s="2942"/>
      <c r="N18" s="2942"/>
      <c r="O18" s="3000"/>
      <c r="P18" s="3301"/>
      <c r="Q18" s="1535" t="str">
        <f>B18</f>
        <v>基础设施水平</v>
      </c>
      <c r="R18" s="713" t="s">
        <v>17</v>
      </c>
      <c r="S18" s="714">
        <f>F18</f>
        <v>100</v>
      </c>
      <c r="T18" s="713" t="s">
        <v>17</v>
      </c>
      <c r="U18" s="714">
        <f>H18</f>
        <v>100</v>
      </c>
      <c r="V18" s="713" t="s">
        <v>17</v>
      </c>
      <c r="W18" s="714">
        <f>J18</f>
        <v>100</v>
      </c>
      <c r="X18" s="1538"/>
      <c r="Y18" s="3301"/>
      <c r="Z18" s="1539" t="str">
        <f>Q18</f>
        <v>基础设施水平</v>
      </c>
      <c r="AA18" s="1536">
        <f t="shared" ref="AA18" si="8">D18/F18</f>
        <v>1</v>
      </c>
      <c r="AB18" s="1536">
        <f t="shared" ref="AB18" si="9">D18/H18</f>
        <v>1</v>
      </c>
      <c r="AC18" s="1536">
        <f t="shared" ref="AC18" si="10">D18/J18</f>
        <v>1</v>
      </c>
    </row>
    <row r="19" spans="1:29" ht="15">
      <c r="A19" s="386"/>
      <c r="B19" s="1292"/>
      <c r="C19" s="2086"/>
      <c r="D19" s="408"/>
      <c r="E19" s="2086"/>
      <c r="F19" s="411"/>
      <c r="G19" s="2086"/>
      <c r="H19" s="406"/>
      <c r="I19" s="405"/>
      <c r="J19" s="406"/>
      <c r="K19" s="1291"/>
      <c r="L19" s="2948"/>
      <c r="M19" s="2942"/>
      <c r="N19" s="2942"/>
      <c r="O19" s="3000"/>
      <c r="P19" s="3301"/>
      <c r="Q19" s="1535"/>
      <c r="R19" s="713"/>
      <c r="S19" s="714"/>
      <c r="T19" s="713"/>
      <c r="U19" s="714"/>
      <c r="V19" s="713"/>
      <c r="W19" s="714"/>
      <c r="X19" s="1538"/>
      <c r="Y19" s="3301"/>
      <c r="Z19" s="1539"/>
      <c r="AA19" s="1536">
        <v>1</v>
      </c>
      <c r="AB19" s="1536">
        <v>1</v>
      </c>
      <c r="AC19" s="1536">
        <v>1</v>
      </c>
    </row>
    <row r="20" spans="1:29" ht="15">
      <c r="A20" s="386"/>
      <c r="B20" s="409" t="s">
        <v>2529</v>
      </c>
      <c r="C20" s="2085">
        <f>IF(B1="工业",估价对象房地状况!G7,估价对象房地状况!C9)</f>
        <v>0</v>
      </c>
      <c r="D20" s="413">
        <v>100</v>
      </c>
      <c r="E20" s="415"/>
      <c r="F20" s="416">
        <f>SUMIF(67:67,E21,68:68)-SUMIF(67:67,C21,68:68)+100</f>
        <v>100</v>
      </c>
      <c r="G20" s="417"/>
      <c r="H20" s="408">
        <f>SUMIF(67:67,G21,68:68)-SUMIF(67:67,C21,68:68)+100</f>
        <v>100</v>
      </c>
      <c r="I20" s="410"/>
      <c r="J20" s="408">
        <f>SUMIF(67:67,I21,68:68)-SUMIF(67:67,C21,68:68)+100</f>
        <v>100</v>
      </c>
      <c r="K20" s="570"/>
      <c r="L20" s="2948"/>
      <c r="M20" s="2942"/>
      <c r="N20" s="2942"/>
      <c r="O20" s="3000"/>
      <c r="P20" s="3301"/>
      <c r="Q20" s="1535" t="str">
        <f>B20</f>
        <v>自然及人文环境</v>
      </c>
      <c r="R20" s="713" t="s">
        <v>17</v>
      </c>
      <c r="S20" s="714">
        <f>F20</f>
        <v>100</v>
      </c>
      <c r="T20" s="713" t="s">
        <v>17</v>
      </c>
      <c r="U20" s="714">
        <f>H20</f>
        <v>100</v>
      </c>
      <c r="V20" s="713" t="s">
        <v>17</v>
      </c>
      <c r="W20" s="714">
        <f>J20</f>
        <v>100</v>
      </c>
      <c r="X20" s="1538"/>
      <c r="Y20" s="3301"/>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48"/>
      <c r="M21" s="2942"/>
      <c r="N21" s="2942"/>
      <c r="O21" s="3000"/>
      <c r="P21" s="3301"/>
      <c r="Q21" s="1535"/>
      <c r="R21" s="713"/>
      <c r="S21" s="714"/>
      <c r="T21" s="713"/>
      <c r="U21" s="714"/>
      <c r="V21" s="713"/>
      <c r="W21" s="714"/>
      <c r="X21" s="1538"/>
      <c r="Y21" s="3301"/>
      <c r="Z21" s="1539"/>
      <c r="AA21" s="1536">
        <v>1</v>
      </c>
      <c r="AB21" s="1536">
        <v>1</v>
      </c>
      <c r="AC21" s="1536">
        <v>1</v>
      </c>
    </row>
    <row r="22" spans="1:29" ht="15">
      <c r="A22" s="386"/>
      <c r="B22" s="409" t="s">
        <v>2530</v>
      </c>
      <c r="C22" s="572"/>
      <c r="D22" s="408">
        <v>100</v>
      </c>
      <c r="E22" s="572"/>
      <c r="F22" s="419">
        <f>SUMIF(69:69,E22,70:70)-SUMIF(69:69,C22,70:70)+100</f>
        <v>100</v>
      </c>
      <c r="G22" s="572"/>
      <c r="H22" s="393">
        <f>SUMIF(69:69,G22,70:70)-SUMIF(69:69,C22,70:70)+100</f>
        <v>100</v>
      </c>
      <c r="I22" s="572"/>
      <c r="J22" s="393">
        <f>SUMIF(69:69,I22,70:70)-SUMIF(69:69,C22,70:70)+100</f>
        <v>100</v>
      </c>
      <c r="K22" s="568"/>
      <c r="L22" s="2948"/>
      <c r="M22" s="2942"/>
      <c r="N22" s="2942"/>
      <c r="O22" s="3000"/>
      <c r="P22" s="3301"/>
      <c r="Q22" s="1535" t="str">
        <f>B22</f>
        <v>楼层</v>
      </c>
      <c r="R22" s="713" t="s">
        <v>17</v>
      </c>
      <c r="S22" s="714">
        <f>F22</f>
        <v>100</v>
      </c>
      <c r="T22" s="713" t="s">
        <v>17</v>
      </c>
      <c r="U22" s="714">
        <f>H22</f>
        <v>100</v>
      </c>
      <c r="V22" s="713" t="s">
        <v>17</v>
      </c>
      <c r="W22" s="714">
        <f>J22</f>
        <v>100</v>
      </c>
      <c r="X22" s="1538"/>
      <c r="Y22" s="3301"/>
      <c r="Z22" s="1539" t="str">
        <f>Q22</f>
        <v>楼层</v>
      </c>
      <c r="AA22" s="1536">
        <f t="shared" si="3"/>
        <v>1</v>
      </c>
      <c r="AB22" s="1536">
        <f t="shared" si="4"/>
        <v>1</v>
      </c>
      <c r="AC22" s="1536">
        <f t="shared" si="5"/>
        <v>1</v>
      </c>
    </row>
    <row r="23" spans="1:29" ht="15">
      <c r="A23" s="363"/>
      <c r="B23" s="2078">
        <v>111</v>
      </c>
      <c r="C23" s="390"/>
      <c r="D23" s="393">
        <v>100</v>
      </c>
      <c r="E23" s="392"/>
      <c r="F23" s="419">
        <f>SUMIF(71:71,E23,72:72)-SUMIF(71:71,C23,72:72)+100</f>
        <v>100</v>
      </c>
      <c r="G23" s="392"/>
      <c r="H23" s="393">
        <f>SUMIF(71:71,G23,72:72)-SUMIF(71:71,C23,72:72)+100</f>
        <v>100</v>
      </c>
      <c r="I23" s="392"/>
      <c r="J23" s="393">
        <f>SUMIF(71:71,I23,72:72)-SUMIF(71:71,C23,72:72)+100</f>
        <v>100</v>
      </c>
      <c r="K23" s="569"/>
      <c r="L23" s="2948"/>
      <c r="M23" s="2942"/>
      <c r="N23" s="2942"/>
      <c r="O23" s="3000"/>
      <c r="P23" s="3301"/>
      <c r="Q23" s="1535">
        <f>B23</f>
        <v>111</v>
      </c>
      <c r="R23" s="713" t="s">
        <v>17</v>
      </c>
      <c r="S23" s="714">
        <f>F23</f>
        <v>100</v>
      </c>
      <c r="T23" s="713" t="s">
        <v>17</v>
      </c>
      <c r="U23" s="714">
        <f>H23</f>
        <v>100</v>
      </c>
      <c r="V23" s="713" t="s">
        <v>17</v>
      </c>
      <c r="W23" s="714">
        <f>J23</f>
        <v>100</v>
      </c>
      <c r="X23" s="1538"/>
      <c r="Y23" s="3301"/>
      <c r="Z23" s="1539">
        <f>Q23</f>
        <v>111</v>
      </c>
      <c r="AA23" s="1536">
        <f t="shared" si="3"/>
        <v>1</v>
      </c>
      <c r="AB23" s="1536">
        <f t="shared" si="4"/>
        <v>1</v>
      </c>
      <c r="AC23" s="1536">
        <f t="shared" si="5"/>
        <v>1</v>
      </c>
    </row>
    <row r="24" spans="1:29" ht="15">
      <c r="A24" s="386"/>
      <c r="B24" s="2078">
        <v>111</v>
      </c>
      <c r="C24" s="390"/>
      <c r="D24" s="393">
        <v>100</v>
      </c>
      <c r="E24" s="392"/>
      <c r="F24" s="419">
        <f>SUMIF(73:73,E24,74:74)-SUMIF(73:73,C24,74:74)+100</f>
        <v>100</v>
      </c>
      <c r="G24" s="392"/>
      <c r="H24" s="393">
        <f>SUMIF(73:73,G24,74:74)-SUMIF(73:73,C24,74:74)+100</f>
        <v>100</v>
      </c>
      <c r="I24" s="392"/>
      <c r="J24" s="393">
        <f>SUMIF(73:73,I24,74:74)-SUMIF(73:73,C24,74:74)+100</f>
        <v>100</v>
      </c>
      <c r="K24" s="569"/>
      <c r="L24" s="2948"/>
      <c r="M24" s="2942"/>
      <c r="N24" s="2942"/>
      <c r="O24" s="3000"/>
      <c r="P24" s="3301"/>
      <c r="Q24" s="1535">
        <f t="shared" ref="Q24:Q34" si="11">B24</f>
        <v>111</v>
      </c>
      <c r="R24" s="713" t="s">
        <v>17</v>
      </c>
      <c r="S24" s="714">
        <f>F24</f>
        <v>100</v>
      </c>
      <c r="T24" s="713" t="s">
        <v>17</v>
      </c>
      <c r="U24" s="714">
        <f>H24</f>
        <v>100</v>
      </c>
      <c r="V24" s="713" t="s">
        <v>17</v>
      </c>
      <c r="W24" s="714">
        <f>J24</f>
        <v>100</v>
      </c>
      <c r="X24" s="1538"/>
      <c r="Y24" s="3301"/>
      <c r="Z24" s="1539">
        <f>Q24</f>
        <v>111</v>
      </c>
      <c r="AA24" s="1536">
        <f t="shared" si="3"/>
        <v>1</v>
      </c>
      <c r="AB24" s="1536">
        <f t="shared" si="4"/>
        <v>1</v>
      </c>
      <c r="AC24" s="1536">
        <f t="shared" si="5"/>
        <v>1</v>
      </c>
    </row>
    <row r="25" spans="1:29" s="112" customFormat="1" ht="15.75" thickBot="1">
      <c r="A25" s="389"/>
      <c r="B25" s="2078">
        <v>111</v>
      </c>
      <c r="C25" s="2159"/>
      <c r="D25" s="620">
        <v>100</v>
      </c>
      <c r="E25" s="2159"/>
      <c r="F25" s="621">
        <f>SUMIF(75:75,E25,76:76)-SUMIF(75:75,C25,76:76)+100</f>
        <v>100</v>
      </c>
      <c r="G25" s="2159"/>
      <c r="H25" s="620">
        <f>SUMIF(75:75,G25,76:76)-SUMIF(75:75,C25,76:76)+100</f>
        <v>100</v>
      </c>
      <c r="I25" s="2159"/>
      <c r="J25" s="620">
        <f>SUMIF(75:75,I25,76:76)-SUMIF(75:75,C25,76:76)+100</f>
        <v>100</v>
      </c>
      <c r="K25" s="569"/>
      <c r="L25" s="2943"/>
      <c r="M25" s="2944"/>
      <c r="N25" s="2944"/>
      <c r="O25" s="2998"/>
      <c r="P25" s="3301"/>
      <c r="Q25" s="1526">
        <f t="shared" si="11"/>
        <v>111</v>
      </c>
      <c r="R25" s="709" t="s">
        <v>17</v>
      </c>
      <c r="S25" s="710">
        <f>F25</f>
        <v>100</v>
      </c>
      <c r="T25" s="709" t="s">
        <v>17</v>
      </c>
      <c r="U25" s="710">
        <f>H25</f>
        <v>100</v>
      </c>
      <c r="V25" s="709" t="s">
        <v>17</v>
      </c>
      <c r="W25" s="710">
        <f>J25</f>
        <v>100</v>
      </c>
      <c r="X25" s="711"/>
      <c r="Y25" s="3301"/>
      <c r="Z25" s="55">
        <f>Q25</f>
        <v>111</v>
      </c>
      <c r="AA25" s="1536">
        <f>D25/F25</f>
        <v>1</v>
      </c>
      <c r="AB25" s="1536">
        <f>D25/H25</f>
        <v>1</v>
      </c>
      <c r="AC25" s="1536">
        <f>D25/J25</f>
        <v>1</v>
      </c>
    </row>
    <row r="26" spans="1:29" ht="28.5">
      <c r="A26" s="424" t="s">
        <v>2382</v>
      </c>
      <c r="B26" s="66" t="s">
        <v>2533</v>
      </c>
      <c r="C26" s="2150"/>
      <c r="D26" s="425">
        <v>100</v>
      </c>
      <c r="E26" s="2150"/>
      <c r="F26" s="622">
        <f>SUMIF(77:77,E26,78:78)-SUMIF(77:77,C26,78:78)+100</f>
        <v>100</v>
      </c>
      <c r="G26" s="2150"/>
      <c r="H26" s="425">
        <f>SUMIF(77:77,G26,78:78)-SUMIF(77:77,C26,78:78)+100</f>
        <v>100</v>
      </c>
      <c r="I26" s="2150"/>
      <c r="J26" s="425">
        <f>SUMIF(77:77,I26,78:78)-SUMIF(77:77,C26,78:78)+100</f>
        <v>100</v>
      </c>
      <c r="K26" s="568"/>
      <c r="L26" s="2948"/>
      <c r="M26" s="2942"/>
      <c r="N26" s="2942"/>
      <c r="O26" s="3000"/>
      <c r="P26" s="3302" t="s">
        <v>2384</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303" t="s">
        <v>2384</v>
      </c>
      <c r="Z26" s="1539" t="str">
        <f t="shared" ref="Z26:Z34" si="15">Q26</f>
        <v>公共部分装修</v>
      </c>
      <c r="AA26" s="1536">
        <f t="shared" si="3"/>
        <v>1</v>
      </c>
      <c r="AB26" s="1536">
        <f t="shared" si="4"/>
        <v>1</v>
      </c>
      <c r="AC26" s="1536">
        <f t="shared" si="5"/>
        <v>1</v>
      </c>
    </row>
    <row r="27" spans="1:29" s="429" customFormat="1" ht="15">
      <c r="A27" s="426"/>
      <c r="B27" s="380" t="s">
        <v>2534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7"/>
      <c r="M27" s="2949"/>
      <c r="N27" s="2949"/>
      <c r="O27" s="3001"/>
      <c r="P27" s="3303"/>
      <c r="Q27" s="715" t="str">
        <f t="shared" si="11"/>
        <v>成新率</v>
      </c>
      <c r="R27" s="716" t="s">
        <v>17</v>
      </c>
      <c r="S27" s="717" t="e">
        <f t="shared" si="12"/>
        <v>#N/A</v>
      </c>
      <c r="T27" s="716" t="s">
        <v>17</v>
      </c>
      <c r="U27" s="717" t="e">
        <f t="shared" si="13"/>
        <v>#N/A</v>
      </c>
      <c r="V27" s="716" t="s">
        <v>17</v>
      </c>
      <c r="W27" s="717" t="e">
        <f t="shared" si="14"/>
        <v>#N/A</v>
      </c>
      <c r="X27" s="718"/>
      <c r="Y27" s="3303"/>
      <c r="Z27" s="719" t="str">
        <f t="shared" si="15"/>
        <v>成新率</v>
      </c>
      <c r="AA27" s="1536" t="e">
        <f t="shared" si="3"/>
        <v>#N/A</v>
      </c>
      <c r="AB27" s="1536" t="e">
        <f t="shared" si="4"/>
        <v>#N/A</v>
      </c>
      <c r="AC27" s="1536" t="e">
        <f t="shared" si="5"/>
        <v>#N/A</v>
      </c>
    </row>
    <row r="28" spans="1:29" ht="15">
      <c r="A28" s="430"/>
      <c r="B28" s="380" t="s">
        <v>2535</v>
      </c>
      <c r="C28" s="418"/>
      <c r="D28" s="393">
        <v>100</v>
      </c>
      <c r="E28" s="418"/>
      <c r="F28" s="419">
        <f>SUMIF(82:82,E28,83:83)-SUMIF(82:82,C28,83:83)+100</f>
        <v>100</v>
      </c>
      <c r="G28" s="418"/>
      <c r="H28" s="393">
        <f>SUMIF(82:82,G28,83:83)-SUMIF(82:82,C28,83:83)+100</f>
        <v>100</v>
      </c>
      <c r="I28" s="418"/>
      <c r="J28" s="393">
        <f>SUMIF(82:82,I28,83:83)-SUMIF(82:82,C28,83:83)+100</f>
        <v>100</v>
      </c>
      <c r="K28" s="568"/>
      <c r="L28" s="2948"/>
      <c r="M28" s="2942"/>
      <c r="N28" s="2942"/>
      <c r="O28" s="3000"/>
      <c r="P28" s="3303"/>
      <c r="Q28" s="1535" t="str">
        <f t="shared" si="11"/>
        <v>物业等级</v>
      </c>
      <c r="R28" s="713" t="s">
        <v>17</v>
      </c>
      <c r="S28" s="714">
        <f t="shared" si="12"/>
        <v>100</v>
      </c>
      <c r="T28" s="713" t="s">
        <v>17</v>
      </c>
      <c r="U28" s="714">
        <f t="shared" si="13"/>
        <v>100</v>
      </c>
      <c r="V28" s="713" t="s">
        <v>17</v>
      </c>
      <c r="W28" s="714">
        <f t="shared" si="14"/>
        <v>100</v>
      </c>
      <c r="X28" s="1538"/>
      <c r="Y28" s="3303"/>
      <c r="Z28" s="1539" t="str">
        <f t="shared" si="15"/>
        <v>物业等级</v>
      </c>
      <c r="AA28" s="1536">
        <f t="shared" si="3"/>
        <v>1</v>
      </c>
      <c r="AB28" s="1536">
        <f t="shared" si="4"/>
        <v>1</v>
      </c>
      <c r="AC28" s="1536">
        <f t="shared" si="5"/>
        <v>1</v>
      </c>
    </row>
    <row r="29" spans="1:29" ht="15">
      <c r="A29" s="430"/>
      <c r="B29" s="380" t="s">
        <v>2556</v>
      </c>
      <c r="C29" s="612"/>
      <c r="D29" s="393">
        <v>100</v>
      </c>
      <c r="E29" s="612"/>
      <c r="F29" s="419">
        <f>SUMIF(84:84,E29,85:85)-SUMIF(84:84,C29,85:85)+100</f>
        <v>100</v>
      </c>
      <c r="G29" s="612"/>
      <c r="H29" s="393">
        <f>SUMIF(84:84,G29,85:85)-SUMIF(84:84,C29,85:85)+100</f>
        <v>100</v>
      </c>
      <c r="I29" s="612"/>
      <c r="J29" s="393">
        <f>SUMIF(84:84,I29,85:85)-SUMIF(84:84,C29,85:85)+100</f>
        <v>100</v>
      </c>
      <c r="K29" s="568"/>
      <c r="L29" s="2948"/>
      <c r="M29" s="2942"/>
      <c r="N29" s="2942"/>
      <c r="O29" s="3000"/>
      <c r="P29" s="3303"/>
      <c r="Q29" s="1535" t="str">
        <f t="shared" si="11"/>
        <v>有无电梯</v>
      </c>
      <c r="R29" s="713" t="s">
        <v>17</v>
      </c>
      <c r="S29" s="714">
        <f t="shared" si="12"/>
        <v>100</v>
      </c>
      <c r="T29" s="713" t="s">
        <v>17</v>
      </c>
      <c r="U29" s="714">
        <f t="shared" si="13"/>
        <v>100</v>
      </c>
      <c r="V29" s="713" t="s">
        <v>17</v>
      </c>
      <c r="W29" s="714">
        <f t="shared" si="14"/>
        <v>100</v>
      </c>
      <c r="X29" s="1538"/>
      <c r="Y29" s="3303"/>
      <c r="Z29" s="1539" t="str">
        <f t="shared" si="15"/>
        <v>有无电梯</v>
      </c>
      <c r="AA29" s="1536">
        <f t="shared" si="3"/>
        <v>1</v>
      </c>
      <c r="AB29" s="1536">
        <f t="shared" si="4"/>
        <v>1</v>
      </c>
      <c r="AC29" s="1536">
        <f t="shared" si="5"/>
        <v>1</v>
      </c>
    </row>
    <row r="30" spans="1:29" ht="15">
      <c r="A30" s="430"/>
      <c r="B30" s="380" t="s">
        <v>2557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8"/>
      <c r="M30" s="2942"/>
      <c r="N30" s="2942"/>
      <c r="O30" s="3000"/>
      <c r="P30" s="3303"/>
      <c r="Q30" s="1535" t="str">
        <f t="shared" si="11"/>
        <v>建筑面积</v>
      </c>
      <c r="R30" s="713" t="s">
        <v>17</v>
      </c>
      <c r="S30" s="714" t="e">
        <f t="shared" si="12"/>
        <v>#N/A</v>
      </c>
      <c r="T30" s="713" t="s">
        <v>17</v>
      </c>
      <c r="U30" s="714" t="e">
        <f t="shared" si="13"/>
        <v>#N/A</v>
      </c>
      <c r="V30" s="713" t="s">
        <v>17</v>
      </c>
      <c r="W30" s="714" t="e">
        <f t="shared" si="14"/>
        <v>#N/A</v>
      </c>
      <c r="X30" s="1538"/>
      <c r="Y30" s="3303"/>
      <c r="Z30" s="1539" t="str">
        <f t="shared" si="15"/>
        <v>建筑面积</v>
      </c>
      <c r="AA30" s="1536" t="e">
        <f t="shared" si="3"/>
        <v>#N/A</v>
      </c>
      <c r="AB30" s="1536" t="e">
        <f t="shared" si="4"/>
        <v>#N/A</v>
      </c>
      <c r="AC30" s="1536" t="e">
        <f t="shared" si="5"/>
        <v>#N/A</v>
      </c>
    </row>
    <row r="31" spans="1:29" s="112" customFormat="1" ht="15">
      <c r="A31" s="431"/>
      <c r="B31" s="380" t="s">
        <v>2558</v>
      </c>
      <c r="C31" s="612"/>
      <c r="D31" s="131">
        <v>100</v>
      </c>
      <c r="E31" s="612"/>
      <c r="F31" s="419">
        <f>SUMIF(89:89,E31,90:90)-SUMIF(89:89,C31,90:90)+100</f>
        <v>100</v>
      </c>
      <c r="G31" s="612"/>
      <c r="H31" s="393">
        <f>SUMIF(89:89,G31,90:90)-SUMIF(89:89,C31,90:90)+100</f>
        <v>100</v>
      </c>
      <c r="I31" s="612"/>
      <c r="J31" s="393">
        <f>SUMIF(89:89,I31,90:90)-SUMIF(89:89,C31,90:90)+100</f>
        <v>100</v>
      </c>
      <c r="K31" s="568"/>
      <c r="L31" s="2943"/>
      <c r="M31" s="2944"/>
      <c r="N31" s="2944"/>
      <c r="O31" s="2998"/>
      <c r="P31" s="3303"/>
      <c r="Q31" s="1526" t="str">
        <f t="shared" si="11"/>
        <v>是否封闭</v>
      </c>
      <c r="R31" s="709" t="s">
        <v>17</v>
      </c>
      <c r="S31" s="710">
        <f t="shared" si="12"/>
        <v>100</v>
      </c>
      <c r="T31" s="709" t="s">
        <v>17</v>
      </c>
      <c r="U31" s="710">
        <f t="shared" si="13"/>
        <v>100</v>
      </c>
      <c r="V31" s="709" t="s">
        <v>17</v>
      </c>
      <c r="W31" s="710">
        <f t="shared" si="14"/>
        <v>100</v>
      </c>
      <c r="X31" s="711"/>
      <c r="Y31" s="3303"/>
      <c r="Z31" s="55" t="str">
        <f t="shared" si="15"/>
        <v>是否封闭</v>
      </c>
      <c r="AA31" s="712">
        <f t="shared" si="3"/>
        <v>1</v>
      </c>
      <c r="AB31" s="712">
        <f t="shared" si="4"/>
        <v>1</v>
      </c>
      <c r="AC31" s="712">
        <f t="shared" si="5"/>
        <v>1</v>
      </c>
    </row>
    <row r="32" spans="1:29" ht="15">
      <c r="A32" s="430"/>
      <c r="B32" s="2078">
        <v>111</v>
      </c>
      <c r="C32" s="390"/>
      <c r="D32" s="393">
        <v>100</v>
      </c>
      <c r="E32" s="427"/>
      <c r="F32" s="419">
        <f>SUMIF(91:91,E32,92:92)-SUMIF(91:91,C32,92:92)+100</f>
        <v>100</v>
      </c>
      <c r="G32" s="427"/>
      <c r="H32" s="393">
        <f>SUMIF(91:91,G32,92:92)-SUMIF(91:91,C32,92:92)+100</f>
        <v>100</v>
      </c>
      <c r="I32" s="427"/>
      <c r="J32" s="393">
        <f>SUMIF(91:91,I32,92:92)-SUMIF(91:91,C32,92:92)+100</f>
        <v>100</v>
      </c>
      <c r="K32" s="569"/>
      <c r="L32" s="2948"/>
      <c r="M32" s="2942"/>
      <c r="N32" s="2942"/>
      <c r="O32" s="3000"/>
      <c r="P32" s="3303" t="s">
        <v>2384</v>
      </c>
      <c r="Q32" s="1535">
        <f t="shared" si="11"/>
        <v>111</v>
      </c>
      <c r="R32" s="713" t="s">
        <v>17</v>
      </c>
      <c r="S32" s="714">
        <f t="shared" si="12"/>
        <v>100</v>
      </c>
      <c r="T32" s="713" t="s">
        <v>17</v>
      </c>
      <c r="U32" s="714">
        <f t="shared" si="13"/>
        <v>100</v>
      </c>
      <c r="V32" s="713" t="s">
        <v>17</v>
      </c>
      <c r="W32" s="714">
        <f t="shared" si="14"/>
        <v>100</v>
      </c>
      <c r="X32" s="1538"/>
      <c r="Y32" s="3303" t="s">
        <v>2384</v>
      </c>
      <c r="Z32" s="1539">
        <f t="shared" si="15"/>
        <v>111</v>
      </c>
      <c r="AA32" s="1536">
        <f t="shared" si="3"/>
        <v>1</v>
      </c>
      <c r="AB32" s="1536">
        <f t="shared" si="4"/>
        <v>1</v>
      </c>
      <c r="AC32" s="1536">
        <f t="shared" si="5"/>
        <v>1</v>
      </c>
    </row>
    <row r="33" spans="1:30" ht="15">
      <c r="A33" s="430"/>
      <c r="B33" s="2078">
        <v>111</v>
      </c>
      <c r="C33" s="390"/>
      <c r="D33" s="393">
        <v>100</v>
      </c>
      <c r="E33" s="427"/>
      <c r="F33" s="419">
        <f>SUMIF(93:93,E33,94:94)-SUMIF(93:93,C33,94:94)+100</f>
        <v>100</v>
      </c>
      <c r="G33" s="427"/>
      <c r="H33" s="393">
        <f>SUMIF(93:93,G33,94:94)-SUMIF(93:93,C33,94:94)+100</f>
        <v>100</v>
      </c>
      <c r="I33" s="427"/>
      <c r="J33" s="393">
        <f>SUMIF(93:93,I33,94:94)-SUMIF(93:93,C33,94:94)+100</f>
        <v>100</v>
      </c>
      <c r="K33" s="569"/>
      <c r="L33" s="2948"/>
      <c r="M33" s="2942"/>
      <c r="N33" s="2942"/>
      <c r="O33" s="3000"/>
      <c r="P33" s="3303"/>
      <c r="Q33" s="1535">
        <f t="shared" si="11"/>
        <v>111</v>
      </c>
      <c r="R33" s="713" t="s">
        <v>17</v>
      </c>
      <c r="S33" s="714">
        <f t="shared" si="12"/>
        <v>100</v>
      </c>
      <c r="T33" s="713" t="s">
        <v>17</v>
      </c>
      <c r="U33" s="714">
        <f t="shared" si="13"/>
        <v>100</v>
      </c>
      <c r="V33" s="713" t="s">
        <v>17</v>
      </c>
      <c r="W33" s="714">
        <f t="shared" si="14"/>
        <v>100</v>
      </c>
      <c r="X33" s="1538"/>
      <c r="Y33" s="3303"/>
      <c r="Z33" s="1539">
        <f t="shared" si="15"/>
        <v>111</v>
      </c>
      <c r="AA33" s="1536">
        <f t="shared" si="3"/>
        <v>1</v>
      </c>
      <c r="AB33" s="1536">
        <f t="shared" si="4"/>
        <v>1</v>
      </c>
      <c r="AC33" s="1536">
        <f t="shared" si="5"/>
        <v>1</v>
      </c>
    </row>
    <row r="34" spans="1:30" ht="15.75" thickBot="1">
      <c r="A34" s="436"/>
      <c r="B34" s="2080">
        <v>111</v>
      </c>
      <c r="C34" s="395"/>
      <c r="D34" s="396">
        <v>100</v>
      </c>
      <c r="E34" s="2158"/>
      <c r="F34" s="397">
        <f>SUMIF(95:95,E34,96:96)-SUMIF(95:95,C34,96:96)+100</f>
        <v>100</v>
      </c>
      <c r="G34" s="2158"/>
      <c r="H34" s="396">
        <f>SUMIF(95:95,G34,96:96)-SUMIF(95:95,C34,96:96)+100</f>
        <v>100</v>
      </c>
      <c r="I34" s="2158"/>
      <c r="J34" s="396">
        <f>SUMIF(95:95,I34,96:96)-SUMIF(95:95,C34,96:96)+100</f>
        <v>100</v>
      </c>
      <c r="K34" s="569"/>
      <c r="L34" s="2948"/>
      <c r="M34" s="2942"/>
      <c r="N34" s="2942"/>
      <c r="O34" s="3000"/>
      <c r="P34" s="3303"/>
      <c r="Q34" s="1535">
        <f t="shared" si="11"/>
        <v>111</v>
      </c>
      <c r="R34" s="713" t="s">
        <v>17</v>
      </c>
      <c r="S34" s="714">
        <f t="shared" si="12"/>
        <v>100</v>
      </c>
      <c r="T34" s="713" t="s">
        <v>17</v>
      </c>
      <c r="U34" s="714">
        <f t="shared" si="13"/>
        <v>100</v>
      </c>
      <c r="V34" s="713" t="s">
        <v>17</v>
      </c>
      <c r="W34" s="714">
        <f t="shared" si="14"/>
        <v>100</v>
      </c>
      <c r="X34" s="1538"/>
      <c r="Y34" s="3303"/>
      <c r="Z34" s="1539">
        <f t="shared" si="15"/>
        <v>111</v>
      </c>
      <c r="AA34" s="1536">
        <f t="shared" si="3"/>
        <v>1</v>
      </c>
      <c r="AB34" s="1536">
        <f t="shared" si="4"/>
        <v>1</v>
      </c>
      <c r="AC34" s="1536">
        <f t="shared" si="5"/>
        <v>1</v>
      </c>
    </row>
    <row r="35" spans="1:30" ht="15">
      <c r="A35" s="437" t="s">
        <v>2396</v>
      </c>
      <c r="B35" s="438"/>
      <c r="C35" s="1315" t="s">
        <v>1</v>
      </c>
      <c r="D35" s="1316"/>
      <c r="E35" s="1317"/>
      <c r="F35" s="1318"/>
      <c r="G35" s="1319"/>
      <c r="H35" s="1320"/>
      <c r="I35" s="1317"/>
      <c r="J35" s="1320"/>
      <c r="K35" s="722"/>
      <c r="L35" s="2950"/>
      <c r="M35" s="2951"/>
      <c r="N35" s="2942"/>
      <c r="O35" s="2951"/>
      <c r="P35" s="3298" t="str">
        <f>A35</f>
        <v>成交单价（元/平方米）</v>
      </c>
      <c r="Q35" s="3298"/>
      <c r="R35" s="3335">
        <f>E35</f>
        <v>0</v>
      </c>
      <c r="S35" s="3335"/>
      <c r="T35" s="3335">
        <f>G35</f>
        <v>0</v>
      </c>
      <c r="U35" s="3335"/>
      <c r="V35" s="3335">
        <f>I35</f>
        <v>0</v>
      </c>
      <c r="W35" s="3335"/>
      <c r="X35" s="698"/>
      <c r="Y35" s="720"/>
      <c r="Z35" s="698"/>
      <c r="AA35" s="698"/>
      <c r="AB35" s="698"/>
      <c r="AC35" s="698"/>
    </row>
    <row r="36" spans="1:30" ht="15.75" thickBot="1">
      <c r="A36" s="444" t="s">
        <v>2488</v>
      </c>
      <c r="B36" s="445"/>
      <c r="C36" s="1321" t="e">
        <f>R37</f>
        <v>#DIV/0!</v>
      </c>
      <c r="D36" s="2535" t="s">
        <v>2879</v>
      </c>
      <c r="E36" s="1322" t="e">
        <f>R36</f>
        <v>#DIV/0!</v>
      </c>
      <c r="F36" s="2536"/>
      <c r="G36" s="1321" t="e">
        <f>T36</f>
        <v>#DIV/0!</v>
      </c>
      <c r="H36" s="2536"/>
      <c r="I36" s="1322" t="e">
        <f>V36</f>
        <v>#DIV/0!</v>
      </c>
      <c r="J36" s="2536"/>
      <c r="K36" s="2538">
        <f>F36+H36+J36</f>
        <v>0</v>
      </c>
      <c r="L36" s="2950"/>
      <c r="M36" s="2951"/>
      <c r="N36" s="2942"/>
      <c r="O36" s="2951"/>
      <c r="P36" s="3298" t="str">
        <f>A36</f>
        <v>比较价值（元/平方米）</v>
      </c>
      <c r="Q36" s="3298"/>
      <c r="R36" s="3335" t="e">
        <f>IF(F1="售价",ROUND(PRODUCT(R35,AA7:AA34),0),ROUND(PRODUCT(R35,AA7:AA34),1))</f>
        <v>#DIV/0!</v>
      </c>
      <c r="S36" s="3335"/>
      <c r="T36" s="3335" t="e">
        <f>IF(F1="售价",ROUND(PRODUCT(T35,AB7:AB34),0),ROUND(PRODUCT(T35,AB7:AB34),1))</f>
        <v>#DIV/0!</v>
      </c>
      <c r="U36" s="3335"/>
      <c r="V36" s="3335" t="e">
        <f>IF(F1="售价",ROUND(PRODUCT(V35,AC7:AC34),0),ROUND(PRODUCT(V35,AC7:AC34),1))</f>
        <v>#DIV/0!</v>
      </c>
      <c r="W36" s="3335"/>
      <c r="X36" s="698"/>
      <c r="Y36" s="698"/>
      <c r="Z36" s="698"/>
      <c r="AA36" s="698"/>
      <c r="AB36" s="698"/>
      <c r="AC36" s="698"/>
    </row>
    <row r="37" spans="1:30" ht="15.75" thickBot="1">
      <c r="A37" s="448" t="s">
        <v>2489</v>
      </c>
      <c r="B37" s="449"/>
      <c r="C37" s="1324" t="e">
        <f>R37</f>
        <v>#DIV/0!</v>
      </c>
      <c r="D37" s="1324"/>
      <c r="E37" s="1324"/>
      <c r="F37" s="1324"/>
      <c r="G37" s="1324"/>
      <c r="H37" s="1324"/>
      <c r="I37" s="1324"/>
      <c r="J37" s="1324"/>
      <c r="K37" s="723"/>
      <c r="L37" s="2950"/>
      <c r="M37" s="2951"/>
      <c r="N37" s="2951"/>
      <c r="O37" s="2951"/>
      <c r="P37" s="3292" t="str">
        <f>A37</f>
        <v>估价对象XX用房的比较价值（楼面单价，元/平方米）</v>
      </c>
      <c r="Q37" s="3293"/>
      <c r="R37" s="3387" t="e">
        <f>IF(F1="售价",ROUND(IF(D36="简单平均",AVERAGE(R36:W36),R36*F36+T36*H36+V36*J36),0),ROUND(IF(D36="简单平均",AVERAGE(R36:V36),R36*F36+T36*H36+V36*J36),1))</f>
        <v>#DIV/0!</v>
      </c>
      <c r="S37" s="3387"/>
      <c r="T37" s="3387"/>
      <c r="U37" s="3387"/>
      <c r="V37" s="3387"/>
      <c r="W37" s="3387"/>
      <c r="X37" s="698"/>
      <c r="Y37" s="698"/>
      <c r="Z37" s="698"/>
      <c r="AA37" s="698"/>
      <c r="AB37" s="698"/>
      <c r="AC37" s="698"/>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3" t="s">
        <v>2490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3" t="s">
        <v>2491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8" customFormat="1" ht="13.5" customHeight="1">
      <c r="A42" s="2954"/>
      <c r="B42" s="2954"/>
      <c r="C42" s="453" t="s">
        <v>2492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8"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2" t="s">
        <v>2493</v>
      </c>
      <c r="B45" s="698"/>
      <c r="C45" s="703"/>
      <c r="D45" s="703"/>
      <c r="E45" s="703"/>
      <c r="F45" s="704"/>
      <c r="G45" s="704"/>
      <c r="H45" s="703"/>
      <c r="I45" s="703"/>
      <c r="J45" s="703"/>
      <c r="K45" s="705"/>
      <c r="L45" s="706"/>
      <c r="M45" s="703"/>
      <c r="N45" s="2995"/>
      <c r="O45" s="2995"/>
      <c r="P45" s="2995"/>
      <c r="Q45" s="2965"/>
      <c r="R45" s="2951"/>
      <c r="S45" s="2951"/>
      <c r="T45" s="2951"/>
      <c r="U45" s="2951"/>
      <c r="V45" s="2951"/>
      <c r="W45" s="2951"/>
      <c r="X45" s="2951"/>
      <c r="Y45" s="2951"/>
      <c r="Z45" s="2951"/>
      <c r="AA45" s="2951"/>
      <c r="AB45" s="2951"/>
      <c r="AC45" s="2951"/>
      <c r="AD45" s="2951"/>
    </row>
    <row r="46" spans="1:30" s="464" customFormat="1" ht="15">
      <c r="A46" s="461" t="s">
        <v>2367</v>
      </c>
      <c r="B46" s="462"/>
      <c r="C46" s="1345" t="str">
        <f>YEAR(C7)&amp;"-"&amp;MONTH(C7)</f>
        <v>2021-10</v>
      </c>
      <c r="D46" s="1346">
        <f>EDATE(C46,-1)</f>
        <v>44440</v>
      </c>
      <c r="E46" s="1346">
        <f t="shared" ref="E46:O46" si="16">EDATE(D46,-1)</f>
        <v>44409</v>
      </c>
      <c r="F46" s="1346">
        <f t="shared" si="16"/>
        <v>44378</v>
      </c>
      <c r="G46" s="1346">
        <f t="shared" si="16"/>
        <v>44348</v>
      </c>
      <c r="H46" s="1346">
        <f t="shared" si="16"/>
        <v>44317</v>
      </c>
      <c r="I46" s="1346">
        <f t="shared" si="16"/>
        <v>44287</v>
      </c>
      <c r="J46" s="1346">
        <f t="shared" si="16"/>
        <v>44256</v>
      </c>
      <c r="K46" s="1346">
        <f t="shared" si="16"/>
        <v>44228</v>
      </c>
      <c r="L46" s="1346">
        <f t="shared" si="16"/>
        <v>44197</v>
      </c>
      <c r="M46" s="1346">
        <f t="shared" si="16"/>
        <v>44166</v>
      </c>
      <c r="N46" s="1346">
        <f t="shared" si="16"/>
        <v>44136</v>
      </c>
      <c r="O46" s="1346">
        <f t="shared" si="16"/>
        <v>44105</v>
      </c>
      <c r="P46" s="3002"/>
      <c r="Q46" s="2967"/>
      <c r="R46" s="2967"/>
      <c r="S46" s="2967"/>
      <c r="T46" s="2967"/>
      <c r="U46" s="2967"/>
      <c r="V46" s="2967"/>
      <c r="W46" s="2967"/>
      <c r="X46" s="2967"/>
      <c r="Y46" s="2967"/>
      <c r="Z46" s="2967"/>
      <c r="AA46" s="2967"/>
      <c r="AB46" s="2967"/>
      <c r="AC46" s="2967"/>
      <c r="AD46" s="2967"/>
    </row>
    <row r="47" spans="1:30" s="112" customFormat="1" ht="15">
      <c r="A47" s="465"/>
      <c r="B47" s="466"/>
      <c r="C47" s="1344">
        <v>100</v>
      </c>
      <c r="D47" s="468"/>
      <c r="E47" s="468"/>
      <c r="F47" s="468"/>
      <c r="G47" s="468"/>
      <c r="H47" s="468"/>
      <c r="I47" s="468"/>
      <c r="J47" s="468"/>
      <c r="K47" s="468"/>
      <c r="L47" s="468"/>
      <c r="M47" s="469"/>
      <c r="N47" s="468"/>
      <c r="O47" s="470"/>
      <c r="P47" s="2965"/>
      <c r="Q47" s="2885"/>
      <c r="R47" s="2885"/>
      <c r="S47" s="2885"/>
      <c r="T47" s="2885"/>
      <c r="U47" s="2885"/>
      <c r="V47" s="2885"/>
      <c r="W47" s="2885"/>
      <c r="X47" s="2885"/>
      <c r="Y47" s="2885"/>
      <c r="Z47" s="2885"/>
      <c r="AA47" s="2885"/>
      <c r="AB47" s="2885"/>
      <c r="AC47" s="2885"/>
      <c r="AD47" s="2885"/>
    </row>
    <row r="48" spans="1:30" s="112" customFormat="1" ht="15.75" thickBot="1">
      <c r="A48" s="471" t="s">
        <v>2404</v>
      </c>
      <c r="B48" s="472"/>
      <c r="C48" s="473"/>
      <c r="D48" s="474"/>
      <c r="E48" s="474"/>
      <c r="F48" s="474"/>
      <c r="G48" s="474"/>
      <c r="H48" s="474"/>
      <c r="I48" s="474"/>
      <c r="J48" s="474"/>
      <c r="K48" s="474"/>
      <c r="L48" s="474"/>
      <c r="M48" s="475"/>
      <c r="N48" s="474"/>
      <c r="O48" s="476"/>
      <c r="P48" s="2965"/>
      <c r="Q48" s="2965"/>
      <c r="R48" s="2885"/>
      <c r="S48" s="2885"/>
      <c r="T48" s="2885"/>
      <c r="U48" s="2885"/>
      <c r="V48" s="2885"/>
      <c r="W48" s="2885"/>
      <c r="X48" s="2885"/>
      <c r="Y48" s="2885"/>
      <c r="Z48" s="2885"/>
      <c r="AA48" s="2885"/>
      <c r="AB48" s="2885"/>
      <c r="AC48" s="2885"/>
      <c r="AD48" s="2885"/>
    </row>
    <row r="49" spans="1:30" s="112" customFormat="1" ht="15">
      <c r="A49" s="477" t="s">
        <v>2369</v>
      </c>
      <c r="B49" s="466"/>
      <c r="C49" s="478" t="s">
        <v>2471</v>
      </c>
      <c r="D49" s="479"/>
      <c r="E49" s="479"/>
      <c r="F49" s="479"/>
      <c r="G49" s="479"/>
      <c r="H49" s="479"/>
      <c r="I49" s="479"/>
      <c r="J49" s="479"/>
      <c r="K49" s="479"/>
      <c r="L49" s="480"/>
      <c r="M49" s="481"/>
      <c r="N49" s="2978"/>
      <c r="O49" s="2978"/>
      <c r="P49" s="3003"/>
      <c r="Q49" s="2965"/>
      <c r="R49" s="2885"/>
      <c r="S49" s="2885"/>
      <c r="T49" s="2885"/>
      <c r="U49" s="2885"/>
      <c r="V49" s="2885"/>
      <c r="W49" s="2885"/>
      <c r="X49" s="2885"/>
      <c r="Y49" s="2885"/>
      <c r="Z49" s="2885"/>
      <c r="AA49" s="2885"/>
      <c r="AB49" s="2885"/>
      <c r="AC49" s="2885"/>
      <c r="AD49" s="2885"/>
    </row>
    <row r="50" spans="1:30" s="112" customFormat="1" ht="15.75" thickBot="1">
      <c r="A50" s="477"/>
      <c r="B50" s="466"/>
      <c r="C50" s="594">
        <v>100</v>
      </c>
      <c r="D50" s="468"/>
      <c r="E50" s="468"/>
      <c r="F50" s="468"/>
      <c r="G50" s="468"/>
      <c r="H50" s="468"/>
      <c r="I50" s="468"/>
      <c r="J50" s="468"/>
      <c r="K50" s="468"/>
      <c r="L50" s="468"/>
      <c r="M50" s="470"/>
      <c r="N50" s="2978"/>
      <c r="O50" s="2978"/>
      <c r="P50" s="2965"/>
      <c r="Q50" s="2965"/>
      <c r="R50" s="2885"/>
      <c r="S50" s="2885"/>
      <c r="T50" s="2885"/>
      <c r="U50" s="2885"/>
      <c r="V50" s="2885"/>
      <c r="W50" s="2885"/>
      <c r="X50" s="2885"/>
      <c r="Y50" s="2885"/>
      <c r="Z50" s="2885"/>
      <c r="AA50" s="2885"/>
      <c r="AB50" s="2885"/>
      <c r="AC50" s="2885"/>
      <c r="AD50" s="2885"/>
    </row>
    <row r="51" spans="1:30">
      <c r="A51" s="483" t="s">
        <v>2407</v>
      </c>
      <c r="B51" s="484" t="s">
        <v>2373</v>
      </c>
      <c r="C51" s="485">
        <f>C9</f>
        <v>0</v>
      </c>
      <c r="D51" s="486"/>
      <c r="E51" s="486"/>
      <c r="F51" s="486"/>
      <c r="G51" s="486"/>
      <c r="H51" s="486"/>
      <c r="I51" s="486"/>
      <c r="J51" s="486"/>
      <c r="K51" s="487"/>
      <c r="L51" s="488"/>
      <c r="M51" s="489"/>
      <c r="N51" s="2979"/>
      <c r="O51" s="2979"/>
      <c r="P51" s="3004"/>
      <c r="Q51" s="2965"/>
      <c r="R51" s="2951"/>
      <c r="S51" s="2951"/>
      <c r="T51" s="2951"/>
      <c r="U51" s="2951"/>
      <c r="V51" s="2951"/>
      <c r="W51" s="2951"/>
      <c r="X51" s="2951"/>
      <c r="Y51" s="2951"/>
      <c r="Z51" s="2951"/>
      <c r="AA51" s="2951"/>
      <c r="AB51" s="2951"/>
      <c r="AC51" s="2951"/>
      <c r="AD51" s="2951"/>
    </row>
    <row r="52" spans="1:30" ht="15.75" thickBot="1">
      <c r="A52" s="490"/>
      <c r="B52" s="491"/>
      <c r="C52" s="492">
        <v>100</v>
      </c>
      <c r="D52" s="492"/>
      <c r="E52" s="492"/>
      <c r="F52" s="492"/>
      <c r="G52" s="492"/>
      <c r="H52" s="492"/>
      <c r="I52" s="492"/>
      <c r="J52" s="492"/>
      <c r="K52" s="492"/>
      <c r="L52" s="492"/>
      <c r="M52" s="493"/>
      <c r="N52" s="2980"/>
      <c r="O52" s="2980"/>
      <c r="P52" s="3004"/>
      <c r="Q52" s="2965"/>
      <c r="R52" s="2951"/>
      <c r="S52" s="2951"/>
      <c r="T52" s="2951"/>
      <c r="U52" s="2951"/>
      <c r="V52" s="2951"/>
      <c r="W52" s="2951"/>
      <c r="X52" s="2951"/>
      <c r="Y52" s="2951"/>
      <c r="Z52" s="2951"/>
      <c r="AA52" s="2951"/>
      <c r="AB52" s="2951"/>
      <c r="AC52" s="2951"/>
      <c r="AD52" s="2951"/>
    </row>
    <row r="53" spans="1:30" ht="27.75" thickTop="1">
      <c r="A53" s="490"/>
      <c r="B53" s="494" t="s">
        <v>2376</v>
      </c>
      <c r="C53" s="495" t="s">
        <v>2408</v>
      </c>
      <c r="D53" s="495" t="s">
        <v>2409</v>
      </c>
      <c r="E53" s="495" t="s">
        <v>2410</v>
      </c>
      <c r="F53" s="495" t="s">
        <v>2411</v>
      </c>
      <c r="G53" s="495" t="s">
        <v>2412</v>
      </c>
      <c r="H53" s="495" t="s">
        <v>2413</v>
      </c>
      <c r="I53" s="495" t="s">
        <v>2414</v>
      </c>
      <c r="J53" s="495"/>
      <c r="K53" s="496"/>
      <c r="L53" s="497"/>
      <c r="M53" s="498"/>
      <c r="N53" s="2979"/>
      <c r="O53" s="2979"/>
      <c r="P53" s="3004"/>
      <c r="Q53" s="2965"/>
      <c r="R53" s="2951"/>
      <c r="S53" s="2951"/>
      <c r="T53" s="2951"/>
      <c r="U53" s="2951"/>
      <c r="V53" s="2951"/>
      <c r="W53" s="2951"/>
      <c r="X53" s="2951"/>
      <c r="Y53" s="2951"/>
      <c r="Z53" s="2951"/>
      <c r="AA53" s="2951"/>
      <c r="AB53" s="2951"/>
      <c r="AC53" s="2951"/>
      <c r="AD53" s="295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0"/>
      <c r="O54" s="2980"/>
      <c r="P54" s="3004"/>
      <c r="Q54" s="2965"/>
      <c r="R54" s="2951"/>
      <c r="S54" s="2951"/>
      <c r="T54" s="2951"/>
      <c r="U54" s="2951"/>
      <c r="V54" s="2951"/>
      <c r="W54" s="2951"/>
      <c r="X54" s="2951"/>
      <c r="Y54" s="2951"/>
      <c r="Z54" s="2951"/>
      <c r="AA54" s="2951"/>
      <c r="AB54" s="2951"/>
      <c r="AC54" s="2951"/>
      <c r="AD54" s="2951"/>
    </row>
    <row r="55" spans="1:30" ht="15.75" thickTop="1">
      <c r="A55" s="490"/>
      <c r="B55" s="615">
        <f>B11</f>
        <v>111</v>
      </c>
      <c r="C55" s="505"/>
      <c r="D55" s="505"/>
      <c r="E55" s="505"/>
      <c r="F55" s="505"/>
      <c r="G55" s="505"/>
      <c r="H55" s="505"/>
      <c r="I55" s="505"/>
      <c r="J55" s="505"/>
      <c r="K55" s="506"/>
      <c r="L55" s="507"/>
      <c r="M55" s="508"/>
      <c r="N55" s="2979"/>
      <c r="O55" s="2979"/>
      <c r="P55" s="3004"/>
      <c r="Q55" s="2965"/>
      <c r="R55" s="2951"/>
      <c r="S55" s="2951"/>
      <c r="T55" s="2951"/>
      <c r="U55" s="2951"/>
      <c r="V55" s="2951"/>
      <c r="W55" s="2951"/>
      <c r="X55" s="2951"/>
      <c r="Y55" s="2951"/>
      <c r="Z55" s="2951"/>
      <c r="AA55" s="2951"/>
      <c r="AB55" s="2951"/>
      <c r="AC55" s="2951"/>
      <c r="AD55" s="2951"/>
    </row>
    <row r="56" spans="1:30" ht="15.75" thickBot="1">
      <c r="A56" s="490"/>
      <c r="B56" s="491"/>
      <c r="C56" s="516"/>
      <c r="D56" s="492"/>
      <c r="E56" s="492"/>
      <c r="F56" s="492"/>
      <c r="G56" s="492"/>
      <c r="H56" s="492"/>
      <c r="I56" s="492"/>
      <c r="J56" s="492"/>
      <c r="K56" s="492"/>
      <c r="L56" s="492"/>
      <c r="M56" s="493"/>
      <c r="N56" s="2980"/>
      <c r="O56" s="2980"/>
      <c r="P56" s="3004"/>
      <c r="Q56" s="2965"/>
      <c r="R56" s="2951"/>
      <c r="S56" s="2951"/>
      <c r="T56" s="2951"/>
      <c r="U56" s="2951"/>
      <c r="V56" s="2951"/>
      <c r="W56" s="2951"/>
      <c r="X56" s="2951"/>
      <c r="Y56" s="2951"/>
      <c r="Z56" s="2951"/>
      <c r="AA56" s="2951"/>
      <c r="AB56" s="2951"/>
      <c r="AC56" s="2951"/>
      <c r="AD56" s="2951"/>
    </row>
    <row r="57" spans="1:30" s="429" customFormat="1" ht="15.75" thickTop="1">
      <c r="A57" s="509"/>
      <c r="B57" s="494">
        <f>B12</f>
        <v>111</v>
      </c>
      <c r="C57" s="505"/>
      <c r="D57" s="505"/>
      <c r="E57" s="505"/>
      <c r="F57" s="505"/>
      <c r="G57" s="510"/>
      <c r="H57" s="511"/>
      <c r="I57" s="511"/>
      <c r="J57" s="511"/>
      <c r="K57" s="511"/>
      <c r="L57" s="512"/>
      <c r="M57" s="513"/>
      <c r="N57" s="2981"/>
      <c r="O57" s="2981"/>
      <c r="P57" s="3005"/>
      <c r="Q57" s="2972"/>
      <c r="R57" s="2973"/>
      <c r="S57" s="2973"/>
      <c r="T57" s="2973"/>
      <c r="U57" s="2973"/>
      <c r="V57" s="2973"/>
      <c r="W57" s="2973"/>
      <c r="X57" s="2973"/>
      <c r="Y57" s="2973"/>
      <c r="Z57" s="2973"/>
      <c r="AA57" s="2973"/>
      <c r="AB57" s="2973"/>
      <c r="AC57" s="2973"/>
      <c r="AD57" s="2973"/>
    </row>
    <row r="58" spans="1:30" s="429" customFormat="1" ht="15.75" thickBot="1">
      <c r="A58" s="509"/>
      <c r="B58" s="499"/>
      <c r="C58" s="516"/>
      <c r="D58" s="492"/>
      <c r="E58" s="492"/>
      <c r="F58" s="492"/>
      <c r="G58" s="492"/>
      <c r="H58" s="492"/>
      <c r="I58" s="492"/>
      <c r="J58" s="492"/>
      <c r="K58" s="492"/>
      <c r="L58" s="492"/>
      <c r="M58" s="493"/>
      <c r="N58" s="2980"/>
      <c r="O58" s="2980"/>
      <c r="P58" s="3005"/>
      <c r="Q58" s="2972"/>
      <c r="R58" s="2973"/>
      <c r="S58" s="2973"/>
      <c r="T58" s="2973"/>
      <c r="U58" s="2973"/>
      <c r="V58" s="2973"/>
      <c r="W58" s="2973"/>
      <c r="X58" s="2973"/>
      <c r="Y58" s="2973"/>
      <c r="Z58" s="2973"/>
      <c r="AA58" s="2973"/>
      <c r="AB58" s="2973"/>
      <c r="AC58" s="2973"/>
      <c r="AD58" s="2973"/>
    </row>
    <row r="59" spans="1:30" s="429" customFormat="1" ht="15.75" thickTop="1">
      <c r="A59" s="509"/>
      <c r="B59" s="494">
        <f>B13</f>
        <v>111</v>
      </c>
      <c r="C59" s="505"/>
      <c r="D59" s="505"/>
      <c r="E59" s="505"/>
      <c r="F59" s="505"/>
      <c r="G59" s="510"/>
      <c r="H59" s="511"/>
      <c r="I59" s="511"/>
      <c r="J59" s="511"/>
      <c r="K59" s="511"/>
      <c r="L59" s="512"/>
      <c r="M59" s="513"/>
      <c r="N59" s="2981"/>
      <c r="O59" s="2981"/>
      <c r="P59" s="2949"/>
      <c r="Q59" s="2975"/>
      <c r="R59" s="2973"/>
      <c r="S59" s="2973"/>
      <c r="T59" s="2973"/>
      <c r="U59" s="2973"/>
      <c r="V59" s="2973"/>
      <c r="W59" s="2973"/>
      <c r="X59" s="2973"/>
      <c r="Y59" s="2973"/>
      <c r="Z59" s="2973"/>
      <c r="AA59" s="2973"/>
      <c r="AB59" s="2973"/>
      <c r="AC59" s="2973"/>
      <c r="AD59" s="2973"/>
    </row>
    <row r="60" spans="1:30" s="429" customFormat="1" ht="15.75" thickBot="1">
      <c r="A60" s="509"/>
      <c r="B60" s="499"/>
      <c r="C60" s="516"/>
      <c r="D60" s="516"/>
      <c r="E60" s="516"/>
      <c r="F60" s="516"/>
      <c r="G60" s="516"/>
      <c r="H60" s="518"/>
      <c r="I60" s="518"/>
      <c r="J60" s="518"/>
      <c r="K60" s="518"/>
      <c r="L60" s="518"/>
      <c r="M60" s="519"/>
      <c r="N60" s="2981"/>
      <c r="O60" s="2981"/>
      <c r="P60" s="3005"/>
      <c r="Q60" s="2972"/>
      <c r="R60" s="2973"/>
      <c r="S60" s="2973"/>
      <c r="T60" s="2973"/>
      <c r="U60" s="2973"/>
      <c r="V60" s="2973"/>
      <c r="W60" s="2973"/>
      <c r="X60" s="2973"/>
      <c r="Y60" s="2973"/>
      <c r="Z60" s="2973"/>
      <c r="AA60" s="2973"/>
      <c r="AB60" s="2973"/>
      <c r="AC60" s="2973"/>
      <c r="AD60" s="2973"/>
    </row>
    <row r="61" spans="1:30" ht="15" thickTop="1">
      <c r="A61" s="483" t="s">
        <v>2378</v>
      </c>
      <c r="B61" s="484" t="s">
        <v>2421</v>
      </c>
      <c r="C61" s="529" t="s">
        <v>2416</v>
      </c>
      <c r="D61" s="529" t="s">
        <v>2417</v>
      </c>
      <c r="E61" s="529" t="s">
        <v>2418</v>
      </c>
      <c r="F61" s="529" t="s">
        <v>2419</v>
      </c>
      <c r="G61" s="529" t="s">
        <v>2420</v>
      </c>
      <c r="H61" s="485"/>
      <c r="I61" s="485"/>
      <c r="J61" s="485"/>
      <c r="K61" s="530"/>
      <c r="L61" s="531"/>
      <c r="M61" s="532"/>
      <c r="N61" s="2979"/>
      <c r="O61" s="2979"/>
      <c r="P61" s="3006"/>
      <c r="Q61" s="2965"/>
      <c r="R61" s="2951"/>
      <c r="S61" s="2951"/>
      <c r="T61" s="2951"/>
      <c r="U61" s="2951"/>
      <c r="V61" s="2951"/>
      <c r="W61" s="2951"/>
      <c r="X61" s="2951"/>
      <c r="Y61" s="2951"/>
      <c r="Z61" s="2951"/>
      <c r="AA61" s="2951"/>
      <c r="AB61" s="2951"/>
      <c r="AC61" s="2951"/>
      <c r="AD61" s="295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0"/>
      <c r="O62" s="2980"/>
      <c r="P62" s="3004"/>
      <c r="Q62" s="2965"/>
      <c r="R62" s="2951"/>
      <c r="S62" s="2951"/>
      <c r="T62" s="2951"/>
      <c r="U62" s="2951"/>
      <c r="V62" s="2951"/>
      <c r="W62" s="2951"/>
      <c r="X62" s="2951"/>
      <c r="Y62" s="2951"/>
      <c r="Z62" s="2951"/>
      <c r="AA62" s="2951"/>
      <c r="AB62" s="2951"/>
      <c r="AC62" s="2951"/>
      <c r="AD62" s="2951"/>
    </row>
    <row r="63" spans="1:30" ht="27.75" thickTop="1">
      <c r="A63" s="490"/>
      <c r="B63" s="494" t="s">
        <v>2559</v>
      </c>
      <c r="C63" s="534" t="s">
        <v>2416</v>
      </c>
      <c r="D63" s="534" t="s">
        <v>2417</v>
      </c>
      <c r="E63" s="534" t="s">
        <v>2418</v>
      </c>
      <c r="F63" s="534" t="s">
        <v>2419</v>
      </c>
      <c r="G63" s="534" t="s">
        <v>2420</v>
      </c>
      <c r="H63" s="495"/>
      <c r="I63" s="495"/>
      <c r="J63" s="495"/>
      <c r="K63" s="496"/>
      <c r="L63" s="497"/>
      <c r="M63" s="498"/>
      <c r="N63" s="2979"/>
      <c r="O63" s="2979"/>
      <c r="P63" s="3004"/>
      <c r="Q63" s="2965"/>
      <c r="R63" s="2951"/>
      <c r="S63" s="2951"/>
      <c r="T63" s="2951"/>
      <c r="U63" s="2951"/>
      <c r="V63" s="2951"/>
      <c r="W63" s="2951"/>
      <c r="X63" s="2951"/>
      <c r="Y63" s="2951"/>
      <c r="Z63" s="2951"/>
      <c r="AA63" s="2951"/>
      <c r="AB63" s="2951"/>
      <c r="AC63" s="2951"/>
      <c r="AD63" s="295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0"/>
      <c r="O64" s="2980"/>
      <c r="P64" s="3004"/>
      <c r="Q64" s="2965"/>
      <c r="R64" s="2951"/>
      <c r="S64" s="2951"/>
      <c r="T64" s="2951"/>
      <c r="U64" s="2951"/>
      <c r="V64" s="2951"/>
      <c r="W64" s="2951"/>
      <c r="X64" s="2951"/>
      <c r="Y64" s="2951"/>
      <c r="Z64" s="2951"/>
      <c r="AA64" s="2951"/>
      <c r="AB64" s="2951"/>
      <c r="AC64" s="2951"/>
      <c r="AD64" s="2951"/>
    </row>
    <row r="65" spans="1:30" ht="15.75" thickTop="1">
      <c r="A65" s="490"/>
      <c r="B65" s="502" t="s">
        <v>2508</v>
      </c>
      <c r="C65" s="615" t="s">
        <v>2494</v>
      </c>
      <c r="D65" s="615" t="s">
        <v>2495</v>
      </c>
      <c r="E65" s="615" t="s">
        <v>2496</v>
      </c>
      <c r="F65" s="615" t="s">
        <v>2497</v>
      </c>
      <c r="G65" s="615" t="s">
        <v>2498</v>
      </c>
      <c r="H65" s="495"/>
      <c r="I65" s="495"/>
      <c r="J65" s="495"/>
      <c r="K65" s="495"/>
      <c r="L65" s="495"/>
      <c r="M65" s="1290"/>
      <c r="N65" s="2980"/>
      <c r="O65" s="2980"/>
      <c r="P65" s="3004"/>
      <c r="Q65" s="2965"/>
      <c r="R65" s="2951"/>
      <c r="S65" s="2951"/>
      <c r="T65" s="2951"/>
      <c r="U65" s="2951"/>
      <c r="V65" s="2951"/>
      <c r="W65" s="2951"/>
      <c r="X65" s="2951"/>
      <c r="Y65" s="2951"/>
      <c r="Z65" s="2951"/>
      <c r="AA65" s="2951"/>
      <c r="AB65" s="2951"/>
      <c r="AC65" s="2951"/>
      <c r="AD65" s="295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0"/>
      <c r="O66" s="2980"/>
      <c r="P66" s="3004"/>
      <c r="Q66" s="2965"/>
      <c r="R66" s="2951"/>
      <c r="S66" s="2951"/>
      <c r="T66" s="2951"/>
      <c r="U66" s="2951"/>
      <c r="V66" s="2951"/>
      <c r="W66" s="2951"/>
      <c r="X66" s="2951"/>
      <c r="Y66" s="2951"/>
      <c r="Z66" s="2951"/>
      <c r="AA66" s="2951"/>
      <c r="AB66" s="2951"/>
      <c r="AC66" s="2951"/>
      <c r="AD66" s="2951"/>
    </row>
    <row r="67" spans="1:30" ht="15.75" thickTop="1">
      <c r="A67" s="490"/>
      <c r="B67" s="494" t="s">
        <v>2428</v>
      </c>
      <c r="C67" s="534" t="s">
        <v>2416</v>
      </c>
      <c r="D67" s="534" t="s">
        <v>2417</v>
      </c>
      <c r="E67" s="534" t="s">
        <v>2418</v>
      </c>
      <c r="F67" s="534" t="s">
        <v>2419</v>
      </c>
      <c r="G67" s="534" t="s">
        <v>2420</v>
      </c>
      <c r="H67" s="495"/>
      <c r="I67" s="495"/>
      <c r="J67" s="495"/>
      <c r="K67" s="496"/>
      <c r="L67" s="497"/>
      <c r="M67" s="498"/>
      <c r="N67" s="2979"/>
      <c r="O67" s="2979"/>
      <c r="P67" s="3004"/>
      <c r="Q67" s="2965"/>
      <c r="R67" s="2951"/>
      <c r="S67" s="2951"/>
      <c r="T67" s="2951"/>
      <c r="U67" s="2951"/>
      <c r="V67" s="2951"/>
      <c r="W67" s="2951"/>
      <c r="X67" s="2951"/>
      <c r="Y67" s="2951"/>
      <c r="Z67" s="2951"/>
      <c r="AA67" s="2951"/>
      <c r="AB67" s="2951"/>
      <c r="AC67" s="2951"/>
      <c r="AD67" s="295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0"/>
      <c r="O68" s="2980"/>
      <c r="P68" s="3004"/>
      <c r="Q68" s="2965"/>
      <c r="R68" s="2951"/>
      <c r="S68" s="2951"/>
      <c r="T68" s="2951"/>
      <c r="U68" s="2951"/>
      <c r="V68" s="2951"/>
      <c r="W68" s="2951"/>
      <c r="X68" s="2951"/>
      <c r="Y68" s="2951"/>
      <c r="Z68" s="2951"/>
      <c r="AA68" s="2951"/>
      <c r="AB68" s="2951"/>
      <c r="AC68" s="2951"/>
      <c r="AD68" s="2951"/>
    </row>
    <row r="69" spans="1:30" ht="15.75" thickTop="1">
      <c r="A69" s="490"/>
      <c r="B69" s="494" t="s">
        <v>2548</v>
      </c>
      <c r="C69" s="510"/>
      <c r="D69" s="510"/>
      <c r="E69" s="510"/>
      <c r="F69" s="510"/>
      <c r="G69" s="510"/>
      <c r="H69" s="539"/>
      <c r="I69" s="539"/>
      <c r="J69" s="539"/>
      <c r="K69" s="540"/>
      <c r="L69" s="541"/>
      <c r="M69" s="542"/>
      <c r="N69" s="2979"/>
      <c r="O69" s="2979"/>
      <c r="P69" s="3004"/>
      <c r="Q69" s="2965"/>
      <c r="R69" s="2951"/>
      <c r="S69" s="2951"/>
      <c r="T69" s="2951"/>
      <c r="U69" s="2951"/>
      <c r="V69" s="2951"/>
      <c r="W69" s="2951"/>
      <c r="X69" s="2951"/>
      <c r="Y69" s="2951"/>
      <c r="Z69" s="2951"/>
      <c r="AA69" s="2951"/>
      <c r="AB69" s="2951"/>
      <c r="AC69" s="2951"/>
      <c r="AD69" s="2951"/>
    </row>
    <row r="70" spans="1:30" ht="15.75" thickBot="1">
      <c r="A70" s="490"/>
      <c r="B70" s="499"/>
      <c r="C70" s="500">
        <v>100</v>
      </c>
      <c r="D70" s="500">
        <f>C70-$K22</f>
        <v>100</v>
      </c>
      <c r="E70" s="500"/>
      <c r="F70" s="500"/>
      <c r="G70" s="500"/>
      <c r="H70" s="500"/>
      <c r="I70" s="500"/>
      <c r="J70" s="500"/>
      <c r="K70" s="500"/>
      <c r="L70" s="500"/>
      <c r="M70" s="501"/>
      <c r="N70" s="2980"/>
      <c r="O70" s="2980"/>
      <c r="P70" s="3004"/>
      <c r="Q70" s="2965"/>
      <c r="R70" s="2951"/>
      <c r="S70" s="2951"/>
      <c r="T70" s="2951"/>
      <c r="U70" s="2951"/>
      <c r="V70" s="2951"/>
      <c r="W70" s="2951"/>
      <c r="X70" s="2951"/>
      <c r="Y70" s="2951"/>
      <c r="Z70" s="2951"/>
      <c r="AA70" s="2951"/>
      <c r="AB70" s="2951"/>
      <c r="AC70" s="2951"/>
      <c r="AD70" s="2951"/>
    </row>
    <row r="71" spans="1:30" s="112" customFormat="1" ht="15.75" thickTop="1">
      <c r="A71" s="535"/>
      <c r="B71" s="494">
        <f>B23</f>
        <v>111</v>
      </c>
      <c r="C71" s="505"/>
      <c r="D71" s="505"/>
      <c r="E71" s="505"/>
      <c r="F71" s="505"/>
      <c r="G71" s="510"/>
      <c r="H71" s="510"/>
      <c r="I71" s="510"/>
      <c r="J71" s="510"/>
      <c r="K71" s="510"/>
      <c r="L71" s="536"/>
      <c r="M71" s="537"/>
      <c r="N71" s="2978"/>
      <c r="O71" s="2978"/>
      <c r="P71" s="3004"/>
      <c r="Q71" s="2965"/>
      <c r="R71" s="2885"/>
      <c r="S71" s="2885"/>
      <c r="T71" s="2885"/>
      <c r="U71" s="2885"/>
      <c r="V71" s="2885"/>
      <c r="W71" s="2885"/>
      <c r="X71" s="2885"/>
      <c r="Y71" s="2885"/>
      <c r="Z71" s="2885"/>
      <c r="AA71" s="2885"/>
      <c r="AB71" s="2885"/>
      <c r="AC71" s="2885"/>
      <c r="AD71" s="2885"/>
    </row>
    <row r="72" spans="1:30" s="112" customFormat="1" ht="15.75" thickBot="1">
      <c r="A72" s="535"/>
      <c r="B72" s="499"/>
      <c r="C72" s="516"/>
      <c r="D72" s="492"/>
      <c r="E72" s="492"/>
      <c r="F72" s="492"/>
      <c r="G72" s="492"/>
      <c r="H72" s="492"/>
      <c r="I72" s="492"/>
      <c r="J72" s="492"/>
      <c r="K72" s="492"/>
      <c r="L72" s="492"/>
      <c r="M72" s="493"/>
      <c r="N72" s="2980"/>
      <c r="O72" s="2980"/>
      <c r="P72" s="3004"/>
      <c r="Q72" s="2965"/>
      <c r="R72" s="2885"/>
      <c r="S72" s="2885"/>
      <c r="T72" s="2885"/>
      <c r="U72" s="2885"/>
      <c r="V72" s="2885"/>
      <c r="W72" s="2885"/>
      <c r="X72" s="2885"/>
      <c r="Y72" s="2885"/>
      <c r="Z72" s="2885"/>
      <c r="AA72" s="2885"/>
      <c r="AB72" s="2885"/>
      <c r="AC72" s="2885"/>
      <c r="AD72" s="2885"/>
    </row>
    <row r="73" spans="1:30" s="112" customFormat="1" ht="15.75" thickTop="1">
      <c r="A73" s="535"/>
      <c r="B73" s="494">
        <f>B24</f>
        <v>111</v>
      </c>
      <c r="C73" s="505"/>
      <c r="D73" s="505"/>
      <c r="E73" s="505"/>
      <c r="F73" s="505"/>
      <c r="G73" s="510"/>
      <c r="H73" s="510"/>
      <c r="I73" s="510"/>
      <c r="J73" s="510"/>
      <c r="K73" s="510"/>
      <c r="L73" s="510"/>
      <c r="M73" s="537"/>
      <c r="N73" s="2978"/>
      <c r="O73" s="2978"/>
      <c r="P73" s="3004"/>
      <c r="Q73" s="2965"/>
      <c r="R73" s="2885"/>
      <c r="S73" s="2885"/>
      <c r="T73" s="2885"/>
      <c r="U73" s="2885"/>
      <c r="V73" s="2885"/>
      <c r="W73" s="2885"/>
      <c r="X73" s="2885"/>
      <c r="Y73" s="2885"/>
      <c r="Z73" s="2885"/>
      <c r="AA73" s="2885"/>
      <c r="AB73" s="2885"/>
      <c r="AC73" s="2885"/>
      <c r="AD73" s="2885"/>
    </row>
    <row r="74" spans="1:30" s="112" customFormat="1" ht="15.75" thickBot="1">
      <c r="A74" s="535"/>
      <c r="B74" s="499"/>
      <c r="C74" s="516"/>
      <c r="D74" s="492"/>
      <c r="E74" s="492"/>
      <c r="F74" s="492"/>
      <c r="G74" s="492"/>
      <c r="H74" s="492"/>
      <c r="I74" s="492"/>
      <c r="J74" s="492"/>
      <c r="K74" s="492"/>
      <c r="L74" s="492"/>
      <c r="M74" s="493"/>
      <c r="N74" s="2980"/>
      <c r="O74" s="2980"/>
      <c r="P74" s="3004"/>
      <c r="Q74" s="2965"/>
      <c r="R74" s="2885"/>
      <c r="S74" s="2885"/>
      <c r="T74" s="2885"/>
      <c r="U74" s="2885"/>
      <c r="V74" s="2885"/>
      <c r="W74" s="2885"/>
      <c r="X74" s="2885"/>
      <c r="Y74" s="2885"/>
      <c r="Z74" s="2885"/>
      <c r="AA74" s="2885"/>
      <c r="AB74" s="2885"/>
      <c r="AC74" s="2885"/>
      <c r="AD74" s="2885"/>
    </row>
    <row r="75" spans="1:30" s="429" customFormat="1" ht="15.75" thickTop="1">
      <c r="A75" s="509"/>
      <c r="B75" s="494">
        <f>B25</f>
        <v>111</v>
      </c>
      <c r="C75" s="505"/>
      <c r="D75" s="505"/>
      <c r="E75" s="505"/>
      <c r="F75" s="505"/>
      <c r="G75" s="510"/>
      <c r="H75" s="511"/>
      <c r="I75" s="511"/>
      <c r="J75" s="511"/>
      <c r="K75" s="511"/>
      <c r="L75" s="512"/>
      <c r="M75" s="513"/>
      <c r="N75" s="2981"/>
      <c r="O75" s="2981"/>
      <c r="P75" s="3005"/>
      <c r="Q75" s="2972"/>
      <c r="R75" s="2973"/>
      <c r="S75" s="2973"/>
      <c r="T75" s="2973"/>
      <c r="U75" s="2973"/>
      <c r="V75" s="2973"/>
      <c r="W75" s="2973"/>
      <c r="X75" s="2973"/>
      <c r="Y75" s="2973"/>
      <c r="Z75" s="2973"/>
      <c r="AA75" s="2973"/>
      <c r="AB75" s="2973"/>
      <c r="AC75" s="2973"/>
      <c r="AD75" s="2973"/>
    </row>
    <row r="76" spans="1:30" s="429" customFormat="1" ht="15.75" thickBot="1">
      <c r="A76" s="509"/>
      <c r="B76" s="499"/>
      <c r="C76" s="516"/>
      <c r="D76" s="516"/>
      <c r="E76" s="516"/>
      <c r="F76" s="516"/>
      <c r="G76" s="492"/>
      <c r="H76" s="492"/>
      <c r="I76" s="492"/>
      <c r="J76" s="492"/>
      <c r="K76" s="492"/>
      <c r="L76" s="492"/>
      <c r="M76" s="493"/>
      <c r="N76" s="2981"/>
      <c r="O76" s="2981"/>
      <c r="P76" s="3005"/>
      <c r="Q76" s="2972"/>
      <c r="R76" s="2973"/>
      <c r="S76" s="2973"/>
      <c r="T76" s="2973"/>
      <c r="U76" s="2973"/>
      <c r="V76" s="2973"/>
      <c r="W76" s="2973"/>
      <c r="X76" s="2973"/>
      <c r="Y76" s="2973"/>
      <c r="Z76" s="2973"/>
      <c r="AA76" s="2973"/>
      <c r="AB76" s="2973"/>
      <c r="AC76" s="2973"/>
      <c r="AD76" s="2973"/>
    </row>
    <row r="77" spans="1:30" ht="15" thickTop="1">
      <c r="A77" s="483" t="s">
        <v>2382</v>
      </c>
      <c r="B77" s="484" t="s">
        <v>2435</v>
      </c>
      <c r="C77" s="510"/>
      <c r="D77" s="510"/>
      <c r="E77" s="486"/>
      <c r="F77" s="486"/>
      <c r="G77" s="486"/>
      <c r="H77" s="486"/>
      <c r="I77" s="486"/>
      <c r="J77" s="486"/>
      <c r="K77" s="487"/>
      <c r="L77" s="488"/>
      <c r="M77" s="489"/>
      <c r="N77" s="2979"/>
      <c r="O77" s="2979"/>
      <c r="P77" s="3004"/>
      <c r="Q77" s="2965"/>
      <c r="R77" s="2951"/>
      <c r="S77" s="2951"/>
      <c r="T77" s="2951"/>
      <c r="U77" s="2951"/>
      <c r="V77" s="2951"/>
      <c r="W77" s="2951"/>
      <c r="X77" s="2951"/>
      <c r="Y77" s="2951"/>
      <c r="Z77" s="2951"/>
      <c r="AA77" s="2951"/>
      <c r="AB77" s="2951"/>
      <c r="AC77" s="2951"/>
      <c r="AD77" s="295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0"/>
      <c r="B79" s="494" t="s">
        <v>2551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8"/>
      <c r="O79" s="2978"/>
      <c r="P79" s="3004"/>
      <c r="Q79" s="2965"/>
      <c r="R79" s="2951"/>
      <c r="S79" s="2951"/>
      <c r="T79" s="2951"/>
      <c r="U79" s="2951"/>
      <c r="V79" s="2951"/>
      <c r="W79" s="2951"/>
      <c r="X79" s="2951"/>
      <c r="Y79" s="2951"/>
      <c r="Z79" s="2951"/>
      <c r="AA79" s="2951"/>
      <c r="AB79" s="2951"/>
      <c r="AC79" s="2951"/>
      <c r="AD79" s="2951"/>
    </row>
    <row r="80" spans="1:30" ht="15">
      <c r="A80" s="490"/>
      <c r="B80" s="502"/>
      <c r="C80" s="559">
        <v>0.5</v>
      </c>
      <c r="D80" s="559">
        <v>0.6</v>
      </c>
      <c r="E80" s="559">
        <v>0.7</v>
      </c>
      <c r="F80" s="559">
        <v>0.8</v>
      </c>
      <c r="G80" s="559">
        <v>0.9</v>
      </c>
      <c r="H80" s="559">
        <v>1.0001</v>
      </c>
      <c r="I80" s="615"/>
      <c r="J80" s="615"/>
      <c r="K80" s="623"/>
      <c r="L80" s="624"/>
      <c r="M80" s="625"/>
      <c r="N80" s="2978"/>
      <c r="O80" s="2978"/>
      <c r="P80" s="3004"/>
      <c r="Q80" s="2965"/>
      <c r="R80" s="2951"/>
      <c r="S80" s="2951"/>
      <c r="T80" s="2951"/>
      <c r="U80" s="2951"/>
      <c r="V80" s="2951"/>
      <c r="W80" s="2951"/>
      <c r="X80" s="2951"/>
      <c r="Y80" s="2951"/>
      <c r="Z80" s="2951"/>
      <c r="AA80" s="2951"/>
      <c r="AB80" s="2951"/>
      <c r="AC80" s="2951"/>
      <c r="AD80" s="295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5"/>
      <c r="B82" s="502" t="s">
        <v>2552</v>
      </c>
      <c r="C82" s="510"/>
      <c r="D82" s="510"/>
      <c r="E82" s="539"/>
      <c r="F82" s="539"/>
      <c r="G82" s="539"/>
      <c r="H82" s="539"/>
      <c r="I82" s="539"/>
      <c r="J82" s="539"/>
      <c r="K82" s="540"/>
      <c r="L82" s="541"/>
      <c r="M82" s="542"/>
      <c r="N82" s="2979"/>
      <c r="O82" s="2979"/>
      <c r="P82" s="3004"/>
      <c r="Q82" s="2965"/>
      <c r="R82" s="2951"/>
      <c r="S82" s="2951"/>
      <c r="T82" s="2951"/>
      <c r="U82" s="2951"/>
      <c r="V82" s="2951"/>
      <c r="W82" s="2951"/>
      <c r="X82" s="2951"/>
      <c r="Y82" s="2951"/>
      <c r="Z82" s="2951"/>
      <c r="AA82" s="2951"/>
      <c r="AB82" s="2951"/>
      <c r="AC82" s="2951"/>
      <c r="AD82" s="295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5"/>
      <c r="B84" s="494" t="s">
        <v>2560</v>
      </c>
      <c r="C84" s="510"/>
      <c r="D84" s="510"/>
      <c r="E84" s="510"/>
      <c r="F84" s="510"/>
      <c r="G84" s="510"/>
      <c r="H84" s="510"/>
      <c r="I84" s="539"/>
      <c r="J84" s="539"/>
      <c r="K84" s="540"/>
      <c r="L84" s="541"/>
      <c r="M84" s="542"/>
      <c r="N84" s="2979"/>
      <c r="O84" s="2979"/>
      <c r="P84" s="3004"/>
      <c r="Q84" s="2965"/>
      <c r="R84" s="2951"/>
      <c r="S84" s="2951"/>
      <c r="T84" s="2951"/>
      <c r="U84" s="2951"/>
      <c r="V84" s="2951"/>
      <c r="W84" s="2951"/>
      <c r="X84" s="2951"/>
      <c r="Y84" s="2951"/>
      <c r="Z84" s="2951"/>
      <c r="AA84" s="2951"/>
      <c r="AB84" s="2951"/>
      <c r="AC84" s="2951"/>
      <c r="AD84" s="295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5"/>
      <c r="B86" s="502" t="s">
        <v>2561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5"/>
      <c r="B87" s="502"/>
      <c r="C87" s="551"/>
      <c r="D87" s="551"/>
      <c r="E87" s="551"/>
      <c r="F87" s="551"/>
      <c r="G87" s="551"/>
      <c r="H87" s="551"/>
      <c r="I87" s="551"/>
      <c r="J87" s="552"/>
      <c r="K87" s="552"/>
      <c r="L87" s="553"/>
      <c r="M87" s="554"/>
      <c r="N87" s="2979"/>
      <c r="O87" s="2979"/>
      <c r="P87" s="3004"/>
      <c r="Q87" s="2965"/>
      <c r="R87" s="2951"/>
      <c r="S87" s="2951"/>
      <c r="T87" s="2951"/>
      <c r="U87" s="2951"/>
      <c r="V87" s="2951"/>
      <c r="W87" s="2951"/>
      <c r="X87" s="2951"/>
      <c r="Y87" s="2951"/>
      <c r="Z87" s="2951"/>
      <c r="AA87" s="2951"/>
      <c r="AB87" s="2951"/>
      <c r="AC87" s="2951"/>
      <c r="AD87" s="2951"/>
    </row>
    <row r="88" spans="1:30" ht="15.75" thickBot="1">
      <c r="A88" s="490"/>
      <c r="B88" s="499"/>
      <c r="C88" s="516"/>
      <c r="D88" s="492"/>
      <c r="E88" s="492"/>
      <c r="F88" s="492"/>
      <c r="G88" s="492"/>
      <c r="H88" s="492"/>
      <c r="I88" s="492"/>
      <c r="J88" s="492"/>
      <c r="K88" s="492"/>
      <c r="L88" s="492"/>
      <c r="M88" s="492"/>
      <c r="N88" s="2980"/>
      <c r="O88" s="2980"/>
      <c r="P88" s="3004"/>
      <c r="Q88" s="2965"/>
      <c r="R88" s="2951"/>
      <c r="S88" s="2951"/>
      <c r="T88" s="2951"/>
      <c r="U88" s="2951"/>
      <c r="V88" s="2951"/>
      <c r="W88" s="2951"/>
      <c r="X88" s="2951"/>
      <c r="Y88" s="2951"/>
      <c r="Z88" s="2951"/>
      <c r="AA88" s="2951"/>
      <c r="AB88" s="2951"/>
      <c r="AC88" s="2951"/>
      <c r="AD88" s="2951"/>
    </row>
    <row r="89" spans="1:30" s="429" customFormat="1" ht="15" thickTop="1">
      <c r="A89" s="549"/>
      <c r="B89" s="494" t="s">
        <v>2562</v>
      </c>
      <c r="C89" s="510"/>
      <c r="D89" s="510"/>
      <c r="E89" s="510"/>
      <c r="F89" s="510"/>
      <c r="G89" s="510"/>
      <c r="H89" s="510"/>
      <c r="I89" s="510"/>
      <c r="J89" s="510"/>
      <c r="K89" s="510"/>
      <c r="L89" s="510"/>
      <c r="M89" s="537"/>
      <c r="N89" s="2981"/>
      <c r="O89" s="2981"/>
      <c r="P89" s="3005"/>
      <c r="Q89" s="2972"/>
      <c r="R89" s="2973"/>
      <c r="S89" s="2973"/>
      <c r="T89" s="2973"/>
      <c r="U89" s="2973"/>
      <c r="V89" s="2973"/>
      <c r="W89" s="2973"/>
      <c r="X89" s="2973"/>
      <c r="Y89" s="2973"/>
      <c r="Z89" s="2973"/>
      <c r="AA89" s="2973"/>
      <c r="AB89" s="2973"/>
      <c r="AC89" s="2973"/>
      <c r="AD89" s="2973"/>
    </row>
    <row r="90" spans="1:30" s="429" customFormat="1" ht="15.75" thickBot="1">
      <c r="A90" s="509"/>
      <c r="B90" s="499"/>
      <c r="C90" s="516"/>
      <c r="D90" s="492"/>
      <c r="E90" s="492"/>
      <c r="F90" s="492"/>
      <c r="G90" s="492"/>
      <c r="H90" s="492"/>
      <c r="I90" s="492"/>
      <c r="J90" s="492"/>
      <c r="K90" s="492"/>
      <c r="L90" s="492"/>
      <c r="M90" s="493"/>
      <c r="N90" s="2981"/>
      <c r="O90" s="2981"/>
      <c r="P90" s="3005"/>
      <c r="Q90" s="2972"/>
      <c r="R90" s="2973"/>
      <c r="S90" s="2973"/>
      <c r="T90" s="2973"/>
      <c r="U90" s="2973"/>
      <c r="V90" s="2973"/>
      <c r="W90" s="2973"/>
      <c r="X90" s="2973"/>
      <c r="Y90" s="2973"/>
      <c r="Z90" s="2973"/>
      <c r="AA90" s="2973"/>
      <c r="AB90" s="2973"/>
      <c r="AC90" s="2973"/>
      <c r="AD90" s="2973"/>
    </row>
    <row r="91" spans="1:30" ht="15" thickTop="1">
      <c r="A91" s="555"/>
      <c r="B91" s="494">
        <f>B32</f>
        <v>111</v>
      </c>
      <c r="C91" s="505"/>
      <c r="D91" s="505"/>
      <c r="E91" s="505"/>
      <c r="F91" s="505"/>
      <c r="G91" s="510"/>
      <c r="H91" s="511"/>
      <c r="I91" s="511"/>
      <c r="J91" s="511"/>
      <c r="K91" s="511"/>
      <c r="L91" s="512"/>
      <c r="M91" s="513"/>
      <c r="N91" s="2979"/>
      <c r="O91" s="2979"/>
      <c r="P91" s="3004"/>
      <c r="Q91" s="2965"/>
      <c r="R91" s="2951"/>
      <c r="S91" s="2951"/>
      <c r="T91" s="2951"/>
      <c r="U91" s="2951"/>
      <c r="V91" s="2951"/>
      <c r="W91" s="2951"/>
      <c r="X91" s="2951"/>
      <c r="Y91" s="2951"/>
      <c r="Z91" s="2951"/>
      <c r="AA91" s="2951"/>
      <c r="AB91" s="2951"/>
      <c r="AC91" s="2951"/>
      <c r="AD91" s="2951"/>
    </row>
    <row r="92" spans="1:30" ht="15.75" thickBot="1">
      <c r="A92" s="490"/>
      <c r="B92" s="499"/>
      <c r="C92" s="516"/>
      <c r="D92" s="492"/>
      <c r="E92" s="492"/>
      <c r="F92" s="492"/>
      <c r="G92" s="516"/>
      <c r="H92" s="518"/>
      <c r="I92" s="518"/>
      <c r="J92" s="518"/>
      <c r="K92" s="518"/>
      <c r="L92" s="518"/>
      <c r="M92" s="519"/>
      <c r="N92" s="2980"/>
      <c r="O92" s="2980"/>
      <c r="P92" s="3004"/>
      <c r="Q92" s="2965"/>
      <c r="R92" s="2951"/>
      <c r="S92" s="2951"/>
      <c r="T92" s="2951"/>
      <c r="U92" s="2951"/>
      <c r="V92" s="2951"/>
      <c r="W92" s="2951"/>
      <c r="X92" s="2951"/>
      <c r="Y92" s="2951"/>
      <c r="Z92" s="2951"/>
      <c r="AA92" s="2951"/>
      <c r="AB92" s="2951"/>
      <c r="AC92" s="2951"/>
      <c r="AD92" s="2951"/>
    </row>
    <row r="93" spans="1:30" ht="15" thickTop="1">
      <c r="A93" s="555"/>
      <c r="B93" s="494">
        <f>B33</f>
        <v>111</v>
      </c>
      <c r="C93" s="505"/>
      <c r="D93" s="505"/>
      <c r="E93" s="505"/>
      <c r="F93" s="505"/>
      <c r="G93" s="510"/>
      <c r="H93" s="511"/>
      <c r="I93" s="511"/>
      <c r="J93" s="511"/>
      <c r="K93" s="511"/>
      <c r="L93" s="512"/>
      <c r="M93" s="513"/>
      <c r="N93" s="2979"/>
      <c r="O93" s="2979"/>
      <c r="P93" s="3004"/>
      <c r="Q93" s="2965"/>
      <c r="R93" s="2951"/>
      <c r="S93" s="2951"/>
      <c r="T93" s="2951"/>
      <c r="U93" s="2951"/>
      <c r="V93" s="2951"/>
      <c r="W93" s="2951"/>
      <c r="X93" s="2951"/>
      <c r="Y93" s="2951"/>
      <c r="Z93" s="2951"/>
      <c r="AA93" s="2951"/>
      <c r="AB93" s="2951"/>
      <c r="AC93" s="2951"/>
      <c r="AD93" s="2951"/>
    </row>
    <row r="94" spans="1:30" ht="15.75" thickBot="1">
      <c r="A94" s="490"/>
      <c r="B94" s="499"/>
      <c r="C94" s="516"/>
      <c r="D94" s="492"/>
      <c r="E94" s="492"/>
      <c r="F94" s="492"/>
      <c r="G94" s="516"/>
      <c r="H94" s="518"/>
      <c r="I94" s="518"/>
      <c r="J94" s="518"/>
      <c r="K94" s="518"/>
      <c r="L94" s="518"/>
      <c r="M94" s="519"/>
      <c r="N94" s="2980"/>
      <c r="O94" s="2980"/>
      <c r="P94" s="3004"/>
      <c r="Q94" s="2965"/>
      <c r="R94" s="2951"/>
      <c r="S94" s="2951"/>
      <c r="T94" s="2951"/>
      <c r="U94" s="2951"/>
      <c r="V94" s="2951"/>
      <c r="W94" s="2951"/>
      <c r="X94" s="2951"/>
      <c r="Y94" s="2951"/>
      <c r="Z94" s="2951"/>
      <c r="AA94" s="2951"/>
      <c r="AB94" s="2951"/>
      <c r="AC94" s="2951"/>
      <c r="AD94" s="2951"/>
    </row>
    <row r="95" spans="1:30" ht="15" thickTop="1">
      <c r="A95" s="555"/>
      <c r="B95" s="591">
        <f>B34</f>
        <v>111</v>
      </c>
      <c r="C95" s="505"/>
      <c r="D95" s="505"/>
      <c r="E95" s="505"/>
      <c r="F95" s="505"/>
      <c r="G95" s="510"/>
      <c r="H95" s="511"/>
      <c r="I95" s="511"/>
      <c r="J95" s="511"/>
      <c r="K95" s="511"/>
      <c r="L95" s="512"/>
      <c r="M95" s="513"/>
      <c r="N95" s="2980"/>
      <c r="O95" s="2980"/>
      <c r="P95" s="3007"/>
      <c r="Q95" s="2994"/>
      <c r="R95" s="2951"/>
      <c r="S95" s="2951"/>
      <c r="T95" s="2951"/>
      <c r="U95" s="2951"/>
      <c r="V95" s="2951"/>
      <c r="W95" s="2951"/>
      <c r="X95" s="2951"/>
      <c r="Y95" s="2951"/>
      <c r="Z95" s="2951"/>
      <c r="AA95" s="2951"/>
      <c r="AB95" s="2951"/>
      <c r="AC95" s="2951"/>
      <c r="AD95" s="2951"/>
    </row>
    <row r="96" spans="1:30" ht="15.75" thickBot="1">
      <c r="A96" s="490"/>
      <c r="B96" s="499"/>
      <c r="C96" s="516"/>
      <c r="D96" s="516"/>
      <c r="E96" s="516"/>
      <c r="F96" s="516"/>
      <c r="G96" s="516"/>
      <c r="H96" s="518"/>
      <c r="I96" s="518"/>
      <c r="J96" s="518"/>
      <c r="K96" s="518"/>
      <c r="L96" s="518"/>
      <c r="M96" s="519"/>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6"/>
      <c r="B98" s="1066"/>
      <c r="C98" s="1066"/>
      <c r="D98" s="1066"/>
      <c r="E98" s="1066"/>
      <c r="F98" s="1066"/>
      <c r="G98" s="1066"/>
      <c r="H98" s="1066"/>
      <c r="I98" s="1066"/>
      <c r="J98" s="1066"/>
      <c r="K98" s="1067"/>
      <c r="L98" s="1068"/>
      <c r="M98" s="1066"/>
      <c r="N98" s="2951"/>
      <c r="O98" s="2951"/>
      <c r="P98" s="2951"/>
      <c r="Q98" s="2951"/>
      <c r="R98" s="2951"/>
      <c r="S98" s="2951"/>
      <c r="T98" s="2951"/>
      <c r="U98" s="2951"/>
      <c r="V98" s="2951"/>
      <c r="W98" s="2951"/>
      <c r="X98" s="2951"/>
      <c r="Y98" s="2951"/>
      <c r="Z98" s="2951"/>
      <c r="AA98" s="2951"/>
      <c r="AB98" s="2951"/>
      <c r="AC98" s="2951"/>
      <c r="AD98" s="2951"/>
    </row>
    <row r="99" spans="1:30">
      <c r="A99" s="1066"/>
      <c r="B99" s="1066"/>
      <c r="C99" s="1066"/>
      <c r="D99" s="1066"/>
      <c r="E99" s="1066"/>
      <c r="F99" s="1066"/>
      <c r="G99" s="1066"/>
      <c r="H99" s="1066"/>
      <c r="I99" s="1066"/>
      <c r="J99" s="1066"/>
      <c r="K99" s="1067"/>
      <c r="L99" s="1068"/>
      <c r="M99" s="1066"/>
      <c r="N99" s="2951"/>
      <c r="O99" s="2951"/>
      <c r="P99" s="2951"/>
      <c r="Q99" s="2951"/>
      <c r="R99" s="2951"/>
      <c r="S99" s="2951"/>
      <c r="T99" s="2951"/>
      <c r="U99" s="2951"/>
      <c r="V99" s="2951"/>
      <c r="W99" s="2951"/>
      <c r="X99" s="2951"/>
      <c r="Y99" s="2951"/>
      <c r="Z99" s="2951"/>
      <c r="AA99" s="2951"/>
      <c r="AB99" s="2951"/>
      <c r="AC99" s="2951"/>
      <c r="AD99" s="2951"/>
    </row>
    <row r="100" spans="1:30">
      <c r="A100" s="1066"/>
      <c r="B100" s="1066"/>
      <c r="C100" s="1066"/>
      <c r="D100" s="1066"/>
      <c r="E100" s="1066"/>
      <c r="F100" s="1066"/>
      <c r="G100" s="1066"/>
      <c r="H100" s="1066"/>
      <c r="I100" s="1066"/>
      <c r="J100" s="1066"/>
      <c r="K100" s="1067"/>
      <c r="L100" s="1068"/>
      <c r="M100" s="1066"/>
      <c r="N100" s="2951"/>
      <c r="O100" s="2951"/>
      <c r="P100" s="2951"/>
      <c r="Q100" s="2951"/>
      <c r="R100" s="2951"/>
      <c r="S100" s="2951"/>
      <c r="T100" s="2951"/>
      <c r="U100" s="2951"/>
      <c r="V100" s="2951"/>
      <c r="W100" s="2951"/>
      <c r="X100" s="2951"/>
      <c r="Y100" s="2951"/>
      <c r="Z100" s="2951"/>
      <c r="AA100" s="2951"/>
      <c r="AB100" s="2951"/>
      <c r="AC100" s="2951"/>
      <c r="AD100" s="2951"/>
    </row>
    <row r="101" spans="1:30">
      <c r="A101" s="1066"/>
      <c r="B101" s="1066"/>
      <c r="C101" s="1066"/>
      <c r="D101" s="1066"/>
      <c r="E101" s="1066"/>
      <c r="F101" s="1066"/>
      <c r="G101" s="1066"/>
      <c r="H101" s="1066"/>
      <c r="I101" s="1066"/>
      <c r="J101" s="1066"/>
      <c r="K101" s="1067"/>
      <c r="L101" s="1068"/>
      <c r="M101" s="1066"/>
      <c r="N101" s="2951"/>
      <c r="O101" s="2951"/>
      <c r="P101" s="2951"/>
      <c r="Q101" s="2951"/>
      <c r="R101" s="2951"/>
      <c r="S101" s="2951"/>
      <c r="T101" s="2951"/>
      <c r="U101" s="2951"/>
      <c r="V101" s="2951"/>
      <c r="W101" s="2951"/>
      <c r="X101" s="2951"/>
      <c r="Y101" s="2951"/>
      <c r="Z101" s="2951"/>
      <c r="AA101" s="2951"/>
      <c r="AB101" s="2951"/>
      <c r="AC101" s="2951"/>
      <c r="AD101" s="2951"/>
    </row>
    <row r="102" spans="1:30">
      <c r="A102" s="1066"/>
      <c r="B102" s="1066"/>
      <c r="C102" s="1066"/>
      <c r="D102" s="1066"/>
      <c r="E102" s="1066"/>
      <c r="F102" s="1066"/>
      <c r="G102" s="1066"/>
      <c r="H102" s="1066"/>
      <c r="I102" s="1066"/>
      <c r="J102" s="1066"/>
      <c r="K102" s="1067"/>
      <c r="L102" s="1068"/>
      <c r="M102" s="1066"/>
      <c r="N102" s="2951"/>
      <c r="O102" s="2951"/>
      <c r="P102" s="2951"/>
      <c r="Q102" s="2951"/>
      <c r="R102" s="2951"/>
      <c r="S102" s="2951"/>
      <c r="T102" s="2951"/>
      <c r="U102" s="2951"/>
      <c r="V102" s="2951"/>
      <c r="W102" s="2951"/>
      <c r="X102" s="2951"/>
      <c r="Y102" s="2951"/>
      <c r="Z102" s="2951"/>
      <c r="AA102" s="2951"/>
      <c r="AB102" s="2951"/>
      <c r="AC102" s="2951"/>
      <c r="AD102" s="2951"/>
    </row>
    <row r="103" spans="1:30">
      <c r="A103" s="1066"/>
      <c r="B103" s="1066"/>
      <c r="C103" s="1066"/>
      <c r="D103" s="1066"/>
      <c r="E103" s="1066"/>
      <c r="F103" s="1066"/>
      <c r="G103" s="1066"/>
      <c r="H103" s="1066"/>
      <c r="I103" s="1066"/>
      <c r="J103" s="1066"/>
      <c r="K103" s="1067"/>
      <c r="L103" s="1068"/>
      <c r="M103" s="1066"/>
      <c r="N103" s="1066"/>
      <c r="O103" s="1066"/>
      <c r="P103" s="2951"/>
      <c r="Q103" s="2951"/>
      <c r="R103" s="2951"/>
      <c r="S103" s="2951"/>
      <c r="T103" s="2951"/>
      <c r="U103" s="2951"/>
      <c r="V103" s="2951"/>
      <c r="W103" s="2951"/>
      <c r="X103" s="2951"/>
      <c r="Y103" s="2951"/>
      <c r="Z103" s="2951"/>
      <c r="AA103" s="2951"/>
      <c r="AB103" s="2951"/>
      <c r="AC103" s="2951"/>
      <c r="AD103" s="295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2563</v>
      </c>
      <c r="B1" s="354"/>
      <c r="C1" s="355" t="s">
        <v>2615</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2149</v>
      </c>
      <c r="B2" s="626" t="e">
        <f>F61</f>
        <v>#DIV/0!</v>
      </c>
      <c r="C2" s="1038"/>
      <c r="D2" s="1038"/>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ROUND(IF(D3="",B2*10000/'数据-汇总表'!E3,B2*10000/D3),0)</f>
        <v>#DIV/0!</v>
      </c>
      <c r="C3" s="208" t="s">
        <v>2565</v>
      </c>
      <c r="D3" s="1354"/>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2464</v>
      </c>
      <c r="B4" s="361"/>
      <c r="C4" s="3295" t="s">
        <v>2465</v>
      </c>
      <c r="D4" s="3308"/>
      <c r="E4" s="3309" t="s">
        <v>2466</v>
      </c>
      <c r="F4" s="3310"/>
      <c r="G4" s="3295" t="s">
        <v>2467</v>
      </c>
      <c r="H4" s="3308"/>
      <c r="I4" s="3295" t="s">
        <v>2468</v>
      </c>
      <c r="J4" s="3308"/>
      <c r="K4" s="566" t="s">
        <v>2469</v>
      </c>
      <c r="L4" s="2941"/>
      <c r="M4" s="2942"/>
      <c r="N4" s="2942"/>
      <c r="O4" s="2942"/>
      <c r="P4" s="3311" t="s">
        <v>2470</v>
      </c>
      <c r="Q4" s="3312"/>
      <c r="R4" s="3317" t="s">
        <v>2466</v>
      </c>
      <c r="S4" s="3318"/>
      <c r="T4" s="3317" t="s">
        <v>2467</v>
      </c>
      <c r="U4" s="3318"/>
      <c r="V4" s="3304" t="s">
        <v>2468</v>
      </c>
      <c r="W4" s="3304"/>
      <c r="X4" s="1538"/>
      <c r="Y4" s="3317" t="s">
        <v>2470</v>
      </c>
      <c r="Z4" s="3318"/>
      <c r="AA4" s="3305" t="s">
        <v>2466</v>
      </c>
      <c r="AB4" s="3306" t="s">
        <v>2467</v>
      </c>
      <c r="AC4" s="3305" t="s">
        <v>2468</v>
      </c>
    </row>
    <row r="5" spans="1:29" ht="15">
      <c r="A5" s="363"/>
      <c r="B5" s="364"/>
      <c r="C5" s="3325" t="s">
        <v>2361</v>
      </c>
      <c r="D5" s="3326"/>
      <c r="E5" s="3332" t="s">
        <v>2362</v>
      </c>
      <c r="F5" s="3333"/>
      <c r="G5" s="3325" t="s">
        <v>2363</v>
      </c>
      <c r="H5" s="3326"/>
      <c r="I5" s="3325" t="s">
        <v>2364</v>
      </c>
      <c r="J5" s="3326"/>
      <c r="K5" s="566"/>
      <c r="L5" s="2941"/>
      <c r="M5" s="2942"/>
      <c r="N5" s="2942"/>
      <c r="O5" s="2942"/>
      <c r="P5" s="3313"/>
      <c r="Q5" s="3314"/>
      <c r="R5" s="3319"/>
      <c r="S5" s="3320"/>
      <c r="T5" s="3319"/>
      <c r="U5" s="3320"/>
      <c r="V5" s="3304"/>
      <c r="W5" s="3304"/>
      <c r="X5" s="1538"/>
      <c r="Y5" s="3319"/>
      <c r="Z5" s="3320"/>
      <c r="AA5" s="3306"/>
      <c r="AB5" s="3306"/>
      <c r="AC5" s="3306"/>
    </row>
    <row r="6" spans="1:29" ht="15.75" thickBot="1">
      <c r="A6" s="365"/>
      <c r="B6" s="366"/>
      <c r="C6" s="3388" t="s">
        <v>2616</v>
      </c>
      <c r="D6" s="3389"/>
      <c r="E6" s="3390" t="s">
        <v>2616</v>
      </c>
      <c r="F6" s="3391"/>
      <c r="G6" s="3388" t="s">
        <v>2616</v>
      </c>
      <c r="H6" s="3389"/>
      <c r="I6" s="3388" t="s">
        <v>2616</v>
      </c>
      <c r="J6" s="3389"/>
      <c r="K6" s="566" t="s">
        <v>2366</v>
      </c>
      <c r="L6" s="2941"/>
      <c r="M6" s="2942"/>
      <c r="N6" s="2942"/>
      <c r="O6" s="2942"/>
      <c r="P6" s="3315"/>
      <c r="Q6" s="3316"/>
      <c r="R6" s="3319"/>
      <c r="S6" s="3320"/>
      <c r="T6" s="3321"/>
      <c r="U6" s="3322"/>
      <c r="V6" s="3304"/>
      <c r="W6" s="3304"/>
      <c r="X6" s="1538"/>
      <c r="Y6" s="3321"/>
      <c r="Z6" s="3322"/>
      <c r="AA6" s="3307"/>
      <c r="AB6" s="3307"/>
      <c r="AC6" s="3307"/>
    </row>
    <row r="7" spans="1:29" s="112" customFormat="1" ht="15.75" thickBot="1">
      <c r="A7" s="367" t="s">
        <v>2367</v>
      </c>
      <c r="B7" s="368"/>
      <c r="C7" s="369">
        <f>'数据-取费表'!B2</f>
        <v>44478</v>
      </c>
      <c r="D7" s="370">
        <v>100</v>
      </c>
      <c r="E7" s="371"/>
      <c r="F7" s="372">
        <f>SUMIF(65:65,YEAR(E7)&amp;"-"&amp;INT((MONTH(E7)+2)/3),66:66)</f>
        <v>0</v>
      </c>
      <c r="G7" s="2157"/>
      <c r="H7" s="370">
        <f>SUMIF(65:65,YEAR(G7)&amp;"-"&amp;INT((MONTH(G7)+2)/3),66:66)</f>
        <v>0</v>
      </c>
      <c r="I7" s="2157"/>
      <c r="J7" s="370">
        <f>SUMIF(65:65,YEAR(I7)&amp;"-"&amp;INT((MONTH(I7)+2)/3),66:66)</f>
        <v>0</v>
      </c>
      <c r="K7" s="567"/>
      <c r="L7" s="2943"/>
      <c r="M7" s="2944"/>
      <c r="N7" s="2944"/>
      <c r="O7" s="2944"/>
      <c r="P7" s="3327" t="s">
        <v>2368</v>
      </c>
      <c r="Q7" s="3329"/>
      <c r="R7" s="709" t="s">
        <v>17</v>
      </c>
      <c r="S7" s="710">
        <f t="shared" ref="S7:S15" si="0">F7</f>
        <v>0</v>
      </c>
      <c r="T7" s="709" t="s">
        <v>17</v>
      </c>
      <c r="U7" s="710">
        <f t="shared" ref="U7:U15" si="1">H7</f>
        <v>0</v>
      </c>
      <c r="V7" s="709" t="s">
        <v>17</v>
      </c>
      <c r="W7" s="710">
        <f t="shared" ref="W7:W15" si="2">J7</f>
        <v>0</v>
      </c>
      <c r="X7" s="711"/>
      <c r="Y7" s="3327" t="s">
        <v>2368</v>
      </c>
      <c r="Z7" s="3328"/>
      <c r="AA7" s="712" t="e">
        <f>D7/F7</f>
        <v>#DIV/0!</v>
      </c>
      <c r="AB7" s="712" t="e">
        <f>D7/H7</f>
        <v>#DIV/0!</v>
      </c>
      <c r="AC7" s="712" t="e">
        <f>D7/J7</f>
        <v>#DIV/0!</v>
      </c>
    </row>
    <row r="8" spans="1:29" s="112" customFormat="1" ht="15.75" thickBot="1">
      <c r="A8" s="367" t="s">
        <v>2369</v>
      </c>
      <c r="B8" s="368"/>
      <c r="C8" s="373" t="s">
        <v>2370</v>
      </c>
      <c r="D8" s="370">
        <v>100</v>
      </c>
      <c r="E8" s="373"/>
      <c r="F8" s="372">
        <f>SUMIF(68:68,E8,69:69)-SUMIF(68:68,C8,69:69)+100</f>
        <v>0</v>
      </c>
      <c r="G8" s="373"/>
      <c r="H8" s="370">
        <f>SUMIF(68:68,G8,69:69)-SUMIF(68:68,C8,69:69)+100</f>
        <v>0</v>
      </c>
      <c r="I8" s="373"/>
      <c r="J8" s="370">
        <f>SUMIF(68:68,I8,69:69)-SUMIF(68:68,C8,69:69)+100</f>
        <v>0</v>
      </c>
      <c r="K8" s="567"/>
      <c r="L8" s="2943"/>
      <c r="M8" s="2944"/>
      <c r="N8" s="2944"/>
      <c r="O8" s="2944"/>
      <c r="P8" s="3327" t="s">
        <v>2371</v>
      </c>
      <c r="Q8" s="3328"/>
      <c r="R8" s="709" t="s">
        <v>17</v>
      </c>
      <c r="S8" s="710">
        <f t="shared" si="0"/>
        <v>0</v>
      </c>
      <c r="T8" s="709" t="s">
        <v>17</v>
      </c>
      <c r="U8" s="710">
        <f t="shared" si="1"/>
        <v>0</v>
      </c>
      <c r="V8" s="709" t="s">
        <v>17</v>
      </c>
      <c r="W8" s="710">
        <f t="shared" si="2"/>
        <v>0</v>
      </c>
      <c r="X8" s="711"/>
      <c r="Y8" s="3327" t="s">
        <v>2371</v>
      </c>
      <c r="Z8" s="3328"/>
      <c r="AA8" s="712" t="e">
        <f t="shared" ref="AA8:AA40" si="3">D8/F8</f>
        <v>#DIV/0!</v>
      </c>
      <c r="AB8" s="712" t="e">
        <f t="shared" ref="AB8:AB40" si="4">D8/H8</f>
        <v>#DIV/0!</v>
      </c>
      <c r="AC8" s="712" t="e">
        <f t="shared" ref="AC8:AC40" si="5">D8/J8</f>
        <v>#DIV/0!</v>
      </c>
    </row>
    <row r="9" spans="1:29" s="112" customFormat="1">
      <c r="A9" s="374" t="s">
        <v>2372</v>
      </c>
      <c r="B9" s="66" t="s">
        <v>2373</v>
      </c>
      <c r="C9" s="2160"/>
      <c r="D9" s="130">
        <v>100</v>
      </c>
      <c r="E9" s="2160"/>
      <c r="F9" s="130">
        <f>SUMIF(70:70,E9,71:71)-SUMIF(70:70,C9,71:71)+100</f>
        <v>100</v>
      </c>
      <c r="G9" s="2160"/>
      <c r="H9" s="130">
        <f>SUMIF(70:70,G9,71:71)-SUMIF(70:70,C9,71:71)+100</f>
        <v>100</v>
      </c>
      <c r="I9" s="2160"/>
      <c r="J9" s="130">
        <f>SUMIF(70:70,I9,71:71)-SUMIF(70:70,C9,71:71)+100</f>
        <v>100</v>
      </c>
      <c r="K9" s="567"/>
      <c r="L9" s="2943"/>
      <c r="M9" s="2944"/>
      <c r="N9" s="2944"/>
      <c r="O9" s="2998"/>
      <c r="P9" s="3298" t="s">
        <v>2374</v>
      </c>
      <c r="Q9" s="1526" t="str">
        <f t="shared" ref="Q9:Q15" si="6">B9</f>
        <v>用途</v>
      </c>
      <c r="R9" s="709" t="s">
        <v>17</v>
      </c>
      <c r="S9" s="710">
        <f t="shared" si="0"/>
        <v>100</v>
      </c>
      <c r="T9" s="709" t="s">
        <v>17</v>
      </c>
      <c r="U9" s="710">
        <f t="shared" si="1"/>
        <v>100</v>
      </c>
      <c r="V9" s="709" t="s">
        <v>17</v>
      </c>
      <c r="W9" s="710">
        <f t="shared" si="2"/>
        <v>100</v>
      </c>
      <c r="X9" s="711"/>
      <c r="Y9" s="3192" t="s">
        <v>2375</v>
      </c>
      <c r="Z9" s="55" t="str">
        <f t="shared" ref="Z9:Z15" si="7">Q9</f>
        <v>用途</v>
      </c>
      <c r="AA9" s="712">
        <f t="shared" si="3"/>
        <v>1</v>
      </c>
      <c r="AB9" s="712">
        <f t="shared" si="4"/>
        <v>1</v>
      </c>
      <c r="AC9" s="712">
        <f t="shared" si="5"/>
        <v>1</v>
      </c>
    </row>
    <row r="10" spans="1:29" s="385" customFormat="1" ht="27">
      <c r="A10" s="379"/>
      <c r="B10" s="380" t="s">
        <v>2376</v>
      </c>
      <c r="C10" s="390"/>
      <c r="D10" s="131">
        <v>100</v>
      </c>
      <c r="E10" s="390"/>
      <c r="F10" s="131">
        <f>ROUND(100/'数据-取费表'!G16,0)</f>
        <v>100</v>
      </c>
      <c r="G10" s="390"/>
      <c r="H10" s="131">
        <f>ROUND(100/'数据-取费表'!G16,0)</f>
        <v>100</v>
      </c>
      <c r="I10" s="390"/>
      <c r="J10" s="131">
        <f>ROUND(100/'数据-取费表'!G16,0)</f>
        <v>100</v>
      </c>
      <c r="K10" s="627"/>
      <c r="L10" s="2945"/>
      <c r="M10" s="2946"/>
      <c r="N10" s="2946"/>
      <c r="O10" s="2999"/>
      <c r="P10" s="3298"/>
      <c r="Q10" s="1526" t="str">
        <f t="shared" si="6"/>
        <v>土地使用年限（年）</v>
      </c>
      <c r="R10" s="709" t="s">
        <v>17</v>
      </c>
      <c r="S10" s="710">
        <f t="shared" si="0"/>
        <v>100</v>
      </c>
      <c r="T10" s="709" t="s">
        <v>17</v>
      </c>
      <c r="U10" s="710">
        <f t="shared" si="1"/>
        <v>100</v>
      </c>
      <c r="V10" s="709" t="s">
        <v>17</v>
      </c>
      <c r="W10" s="710">
        <f t="shared" si="2"/>
        <v>100</v>
      </c>
      <c r="X10" s="711"/>
      <c r="Y10" s="3192"/>
      <c r="Z10" s="55" t="str">
        <f t="shared" si="7"/>
        <v>土地使用年限（年）</v>
      </c>
      <c r="AA10" s="712">
        <f t="shared" si="3"/>
        <v>1</v>
      </c>
      <c r="AB10" s="712">
        <f t="shared" si="4"/>
        <v>1</v>
      </c>
      <c r="AC10" s="712">
        <f t="shared" si="5"/>
        <v>1</v>
      </c>
    </row>
    <row r="11" spans="1:29" ht="15">
      <c r="A11" s="386"/>
      <c r="B11" s="380" t="s">
        <v>2377</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7"/>
      <c r="M11" s="2942"/>
      <c r="N11" s="2942"/>
      <c r="O11" s="3000"/>
      <c r="P11" s="3298"/>
      <c r="Q11" s="1526" t="str">
        <f t="shared" si="6"/>
        <v>容积率</v>
      </c>
      <c r="R11" s="709" t="s">
        <v>17</v>
      </c>
      <c r="S11" s="710" t="e">
        <f t="shared" si="0"/>
        <v>#N/A</v>
      </c>
      <c r="T11" s="709" t="s">
        <v>17</v>
      </c>
      <c r="U11" s="710" t="e">
        <f t="shared" si="1"/>
        <v>#N/A</v>
      </c>
      <c r="V11" s="709" t="s">
        <v>17</v>
      </c>
      <c r="W11" s="710" t="e">
        <f t="shared" si="2"/>
        <v>#N/A</v>
      </c>
      <c r="X11" s="711"/>
      <c r="Y11" s="3192"/>
      <c r="Z11" s="55" t="str">
        <f t="shared" si="7"/>
        <v>容积率</v>
      </c>
      <c r="AA11" s="712" t="e">
        <f t="shared" si="3"/>
        <v>#N/A</v>
      </c>
      <c r="AB11" s="712" t="e">
        <f t="shared" si="4"/>
        <v>#N/A</v>
      </c>
      <c r="AC11" s="712" t="e">
        <f t="shared" si="5"/>
        <v>#N/A</v>
      </c>
    </row>
    <row r="12" spans="1:29" s="112" customFormat="1" ht="15">
      <c r="A12" s="389"/>
      <c r="B12" s="2078">
        <v>111</v>
      </c>
      <c r="C12" s="390"/>
      <c r="D12" s="391">
        <v>100</v>
      </c>
      <c r="E12" s="505"/>
      <c r="F12" s="131">
        <f>SUMIF(77:77,E12,78:78)-SUMIF(77:77,C12,78:78)+100</f>
        <v>100</v>
      </c>
      <c r="G12" s="629"/>
      <c r="H12" s="131">
        <f>SUMIF(77:77,G12,78:78)-SUMIF(77:77,C12,78:78)+100</f>
        <v>100</v>
      </c>
      <c r="I12" s="505"/>
      <c r="J12" s="131">
        <f>SUMIF(77:77,I12,78:78)-SUMIF(77:77,C12,78:78)+100</f>
        <v>100</v>
      </c>
      <c r="K12" s="627"/>
      <c r="L12" s="2943"/>
      <c r="M12" s="2944"/>
      <c r="N12" s="2944"/>
      <c r="O12" s="2998"/>
      <c r="P12" s="3298"/>
      <c r="Q12" s="1526">
        <f t="shared" si="6"/>
        <v>111</v>
      </c>
      <c r="R12" s="709" t="s">
        <v>17</v>
      </c>
      <c r="S12" s="710">
        <f t="shared" si="0"/>
        <v>100</v>
      </c>
      <c r="T12" s="709" t="s">
        <v>17</v>
      </c>
      <c r="U12" s="710">
        <f t="shared" si="1"/>
        <v>100</v>
      </c>
      <c r="V12" s="709" t="s">
        <v>17</v>
      </c>
      <c r="W12" s="710">
        <f t="shared" si="2"/>
        <v>100</v>
      </c>
      <c r="X12" s="711"/>
      <c r="Y12" s="3192"/>
      <c r="Z12" s="55">
        <f t="shared" si="7"/>
        <v>111</v>
      </c>
      <c r="AA12" s="712">
        <f>D12/F12</f>
        <v>1</v>
      </c>
      <c r="AB12" s="712">
        <f>D12/H12</f>
        <v>1</v>
      </c>
      <c r="AC12" s="712">
        <f>D12/J12</f>
        <v>1</v>
      </c>
    </row>
    <row r="13" spans="1:29" ht="15">
      <c r="A13" s="386"/>
      <c r="B13" s="2078">
        <v>111</v>
      </c>
      <c r="C13" s="392"/>
      <c r="D13" s="393">
        <v>100</v>
      </c>
      <c r="E13" s="505"/>
      <c r="F13" s="131">
        <f>SUMIF(79:79,E13,80:80)-SUMIF(79:79,C13,80:80)+100</f>
        <v>100</v>
      </c>
      <c r="G13" s="629"/>
      <c r="H13" s="393">
        <f>SUMIF(79:79,G13,80:80)-SUMIF(79:79,C13,80:80)+100</f>
        <v>100</v>
      </c>
      <c r="I13" s="505"/>
      <c r="J13" s="393">
        <f>SUMIF(79:79,I13,80:80)-SUMIF(79:79,C13,80:80)+100</f>
        <v>100</v>
      </c>
      <c r="K13" s="627"/>
      <c r="L13" s="2948"/>
      <c r="M13" s="2942"/>
      <c r="N13" s="2942"/>
      <c r="O13" s="3000"/>
      <c r="P13" s="3298"/>
      <c r="Q13" s="1526">
        <f t="shared" si="6"/>
        <v>111</v>
      </c>
      <c r="R13" s="709" t="s">
        <v>17</v>
      </c>
      <c r="S13" s="710">
        <f t="shared" si="0"/>
        <v>100</v>
      </c>
      <c r="T13" s="709" t="s">
        <v>17</v>
      </c>
      <c r="U13" s="710">
        <f t="shared" si="1"/>
        <v>100</v>
      </c>
      <c r="V13" s="709" t="s">
        <v>17</v>
      </c>
      <c r="W13" s="710">
        <f t="shared" si="2"/>
        <v>100</v>
      </c>
      <c r="X13" s="711"/>
      <c r="Y13" s="3192"/>
      <c r="Z13" s="55">
        <f t="shared" si="7"/>
        <v>111</v>
      </c>
      <c r="AA13" s="712">
        <f t="shared" si="3"/>
        <v>1</v>
      </c>
      <c r="AB13" s="712">
        <f t="shared" si="4"/>
        <v>1</v>
      </c>
      <c r="AC13" s="712">
        <f t="shared" si="5"/>
        <v>1</v>
      </c>
    </row>
    <row r="14" spans="1:29" ht="15.75" thickBot="1">
      <c r="A14" s="394"/>
      <c r="B14" s="2080">
        <v>111</v>
      </c>
      <c r="C14" s="395"/>
      <c r="D14" s="396">
        <v>100</v>
      </c>
      <c r="E14" s="505"/>
      <c r="F14" s="396">
        <f>SUMIF(81:81,E14,82:82)-SUMIF(81:81,C14,82:82)+100</f>
        <v>100</v>
      </c>
      <c r="G14" s="629"/>
      <c r="H14" s="396">
        <f>SUMIF(81:81,G14,82:82)-SUMIF(81:81,C14,82:82)+100</f>
        <v>100</v>
      </c>
      <c r="I14" s="505"/>
      <c r="J14" s="396">
        <f>SUMIF(81:81,I14,82:82)-SUMIF(81:81,C14,82:82)+100</f>
        <v>100</v>
      </c>
      <c r="K14" s="627"/>
      <c r="L14" s="2948"/>
      <c r="M14" s="2942"/>
      <c r="N14" s="2942"/>
      <c r="O14" s="3000"/>
      <c r="P14" s="3298"/>
      <c r="Q14" s="1526">
        <f t="shared" si="6"/>
        <v>111</v>
      </c>
      <c r="R14" s="709" t="s">
        <v>17</v>
      </c>
      <c r="S14" s="710">
        <f t="shared" si="0"/>
        <v>100</v>
      </c>
      <c r="T14" s="709" t="s">
        <v>17</v>
      </c>
      <c r="U14" s="710">
        <f t="shared" si="1"/>
        <v>100</v>
      </c>
      <c r="V14" s="709" t="s">
        <v>17</v>
      </c>
      <c r="W14" s="710">
        <f t="shared" si="2"/>
        <v>100</v>
      </c>
      <c r="X14" s="711"/>
      <c r="Y14" s="3192"/>
      <c r="Z14" s="55">
        <f t="shared" si="7"/>
        <v>111</v>
      </c>
      <c r="AA14" s="712">
        <f t="shared" si="3"/>
        <v>1</v>
      </c>
      <c r="AB14" s="712">
        <f t="shared" si="4"/>
        <v>1</v>
      </c>
      <c r="AC14" s="712">
        <f t="shared" si="5"/>
        <v>1</v>
      </c>
    </row>
    <row r="15" spans="1:29" ht="15">
      <c r="A15" s="398" t="s">
        <v>2378</v>
      </c>
      <c r="B15" s="584" t="s">
        <v>2617</v>
      </c>
      <c r="C15" s="2154">
        <f>估价对象房地状况!G15</f>
        <v>0</v>
      </c>
      <c r="D15" s="399">
        <v>100</v>
      </c>
      <c r="E15" s="400"/>
      <c r="F15" s="399">
        <f>SUMIF(83:83,E16,84:84)-SUMIF(83:83,C16,84:84)+100</f>
        <v>100</v>
      </c>
      <c r="G15" s="400"/>
      <c r="H15" s="399">
        <f>SUMIF(83:83,G16,84:84)-SUMIF(83:83,C16,84:84)+100</f>
        <v>100</v>
      </c>
      <c r="I15" s="402"/>
      <c r="J15" s="399">
        <f>SUMIF(83:83,I16,84:84)-SUMIF(83:83,C16,84:84)+100</f>
        <v>100</v>
      </c>
      <c r="K15" s="628"/>
      <c r="L15" s="2948"/>
      <c r="M15" s="2942"/>
      <c r="N15" s="2942"/>
      <c r="O15" s="3000"/>
      <c r="P15" s="3300" t="s">
        <v>2379</v>
      </c>
      <c r="Q15" s="1535" t="str">
        <f t="shared" si="6"/>
        <v>产业集聚程度</v>
      </c>
      <c r="R15" s="713" t="s">
        <v>17</v>
      </c>
      <c r="S15" s="714">
        <f t="shared" si="0"/>
        <v>100</v>
      </c>
      <c r="T15" s="713" t="s">
        <v>17</v>
      </c>
      <c r="U15" s="714">
        <f t="shared" si="1"/>
        <v>100</v>
      </c>
      <c r="V15" s="713" t="s">
        <v>17</v>
      </c>
      <c r="W15" s="714">
        <f t="shared" si="2"/>
        <v>100</v>
      </c>
      <c r="X15" s="1538"/>
      <c r="Y15" s="3300" t="s">
        <v>2379</v>
      </c>
      <c r="Z15" s="1539" t="str">
        <f t="shared" si="7"/>
        <v>产业集聚程度</v>
      </c>
      <c r="AA15" s="1536">
        <f t="shared" si="3"/>
        <v>1</v>
      </c>
      <c r="AB15" s="1536">
        <f t="shared" si="4"/>
        <v>1</v>
      </c>
      <c r="AC15" s="1536">
        <f t="shared" si="5"/>
        <v>1</v>
      </c>
    </row>
    <row r="16" spans="1:29" ht="15">
      <c r="A16" s="386"/>
      <c r="B16" s="585"/>
      <c r="C16" s="405"/>
      <c r="D16" s="406"/>
      <c r="E16" s="2089"/>
      <c r="F16" s="406"/>
      <c r="G16" s="2089"/>
      <c r="H16" s="408"/>
      <c r="I16" s="2089"/>
      <c r="J16" s="406"/>
      <c r="K16" s="627"/>
      <c r="L16" s="2948"/>
      <c r="M16" s="2942"/>
      <c r="N16" s="2942"/>
      <c r="O16" s="3000"/>
      <c r="P16" s="3301"/>
      <c r="Q16" s="1535"/>
      <c r="R16" s="713"/>
      <c r="S16" s="714"/>
      <c r="T16" s="713"/>
      <c r="U16" s="714"/>
      <c r="V16" s="713"/>
      <c r="W16" s="714"/>
      <c r="X16" s="1538"/>
      <c r="Y16" s="3301"/>
      <c r="Z16" s="1539"/>
      <c r="AA16" s="1536">
        <v>1</v>
      </c>
      <c r="AB16" s="1536">
        <v>1</v>
      </c>
      <c r="AC16" s="1536">
        <v>1</v>
      </c>
    </row>
    <row r="17" spans="1:29" ht="15">
      <c r="A17" s="386"/>
      <c r="B17" s="586" t="s">
        <v>2528</v>
      </c>
      <c r="C17" s="2085">
        <f>估价对象房地状况!G16</f>
        <v>0</v>
      </c>
      <c r="D17" s="408">
        <v>100</v>
      </c>
      <c r="E17" s="410"/>
      <c r="F17" s="413">
        <f>SUMIF(85:85,E18,86:86)-SUMIF(85:85,C18,86:86)+100</f>
        <v>100</v>
      </c>
      <c r="G17" s="410"/>
      <c r="H17" s="413">
        <f>SUMIF(85:85,G18,86:86)-SUMIF(85:85,C18,86:86)+100</f>
        <v>100</v>
      </c>
      <c r="I17" s="412"/>
      <c r="J17" s="408">
        <f>SUMIF(85:85,I18,86:86)-SUMIF(85:85,C18,86:86)+100</f>
        <v>100</v>
      </c>
      <c r="K17" s="628"/>
      <c r="L17" s="2948"/>
      <c r="M17" s="2942"/>
      <c r="N17" s="2942"/>
      <c r="O17" s="3000"/>
      <c r="P17" s="3301"/>
      <c r="Q17" s="1535" t="str">
        <f>B17</f>
        <v>交通便捷度</v>
      </c>
      <c r="R17" s="713" t="s">
        <v>17</v>
      </c>
      <c r="S17" s="714">
        <f>F17</f>
        <v>100</v>
      </c>
      <c r="T17" s="713" t="s">
        <v>17</v>
      </c>
      <c r="U17" s="714">
        <f>H17</f>
        <v>100</v>
      </c>
      <c r="V17" s="713" t="s">
        <v>17</v>
      </c>
      <c r="W17" s="714">
        <f>J17</f>
        <v>100</v>
      </c>
      <c r="X17" s="1538"/>
      <c r="Y17" s="3301"/>
      <c r="Z17" s="1539" t="str">
        <f>Q17</f>
        <v>交通便捷度</v>
      </c>
      <c r="AA17" s="1536">
        <f t="shared" si="3"/>
        <v>1</v>
      </c>
      <c r="AB17" s="1536">
        <f t="shared" si="4"/>
        <v>1</v>
      </c>
      <c r="AC17" s="1536">
        <f t="shared" si="5"/>
        <v>1</v>
      </c>
    </row>
    <row r="18" spans="1:29" ht="15">
      <c r="A18" s="386"/>
      <c r="B18" s="587"/>
      <c r="C18" s="405"/>
      <c r="D18" s="406"/>
      <c r="E18" s="2083"/>
      <c r="F18" s="406"/>
      <c r="G18" s="2083"/>
      <c r="H18" s="406"/>
      <c r="I18" s="2082"/>
      <c r="J18" s="406"/>
      <c r="K18" s="627"/>
      <c r="L18" s="2948"/>
      <c r="M18" s="2942"/>
      <c r="N18" s="2942"/>
      <c r="O18" s="3000"/>
      <c r="P18" s="3301"/>
      <c r="Q18" s="1535"/>
      <c r="R18" s="713"/>
      <c r="S18" s="714"/>
      <c r="T18" s="713"/>
      <c r="U18" s="714"/>
      <c r="V18" s="713"/>
      <c r="W18" s="714"/>
      <c r="X18" s="1538"/>
      <c r="Y18" s="3301"/>
      <c r="Z18" s="1539"/>
      <c r="AA18" s="1536">
        <v>1</v>
      </c>
      <c r="AB18" s="1536">
        <v>1</v>
      </c>
      <c r="AC18" s="1536">
        <v>1</v>
      </c>
    </row>
    <row r="19" spans="1:29" ht="15">
      <c r="A19" s="386"/>
      <c r="B19" s="586" t="s">
        <v>2567</v>
      </c>
      <c r="C19" s="208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8"/>
      <c r="M19" s="2942"/>
      <c r="N19" s="2942"/>
      <c r="O19" s="3000"/>
      <c r="P19" s="3301"/>
      <c r="Q19" s="1535" t="str">
        <f t="shared" ref="Q19:Q33" si="8">B19</f>
        <v>区域土地利用方向</v>
      </c>
      <c r="R19" s="713" t="s">
        <v>17</v>
      </c>
      <c r="S19" s="714">
        <f>F19</f>
        <v>100</v>
      </c>
      <c r="T19" s="713" t="s">
        <v>17</v>
      </c>
      <c r="U19" s="714">
        <f>H19</f>
        <v>100</v>
      </c>
      <c r="V19" s="713" t="s">
        <v>17</v>
      </c>
      <c r="W19" s="714">
        <f>J19</f>
        <v>100</v>
      </c>
      <c r="X19" s="1538"/>
      <c r="Y19" s="3301"/>
      <c r="Z19" s="1539" t="str">
        <f>Q19</f>
        <v>区域土地利用方向</v>
      </c>
      <c r="AA19" s="1536">
        <f t="shared" si="3"/>
        <v>1</v>
      </c>
      <c r="AB19" s="1536">
        <f t="shared" si="4"/>
        <v>1</v>
      </c>
      <c r="AC19" s="1536">
        <f t="shared" si="5"/>
        <v>1</v>
      </c>
    </row>
    <row r="20" spans="1:29" ht="15">
      <c r="A20" s="363"/>
      <c r="B20" s="587"/>
      <c r="C20" s="405"/>
      <c r="D20" s="406"/>
      <c r="E20" s="2083"/>
      <c r="F20" s="406"/>
      <c r="G20" s="2083"/>
      <c r="H20" s="406"/>
      <c r="I20" s="2083"/>
      <c r="J20" s="406"/>
      <c r="K20" s="750"/>
      <c r="L20" s="2948"/>
      <c r="M20" s="2942"/>
      <c r="N20" s="2942"/>
      <c r="O20" s="3000"/>
      <c r="P20" s="3301"/>
      <c r="Q20" s="1535"/>
      <c r="R20" s="713"/>
      <c r="S20" s="714"/>
      <c r="T20" s="713"/>
      <c r="U20" s="714"/>
      <c r="V20" s="713"/>
      <c r="W20" s="714"/>
      <c r="X20" s="1538"/>
      <c r="Y20" s="3301"/>
      <c r="Z20" s="1539"/>
      <c r="AA20" s="1536"/>
      <c r="AB20" s="1536"/>
      <c r="AC20" s="1536"/>
    </row>
    <row r="21" spans="1:29" ht="15">
      <c r="A21" s="363"/>
      <c r="B21" s="586" t="s">
        <v>2618</v>
      </c>
      <c r="C21" s="2085">
        <f>估价对象房地状况!G18</f>
        <v>0</v>
      </c>
      <c r="D21" s="408">
        <v>100</v>
      </c>
      <c r="E21" s="410"/>
      <c r="F21" s="408">
        <f>SUMIF(89:89,E22,90:90)-SUMIF(89:89,C22,90:90)+100</f>
        <v>100</v>
      </c>
      <c r="G21" s="410"/>
      <c r="H21" s="408">
        <f>SUMIF(89:89,G22,90:90)-SUMIF(89:89,C22,90:90)+100</f>
        <v>100</v>
      </c>
      <c r="I21" s="412"/>
      <c r="J21" s="408">
        <f>SUMIF(89:89,I22,90:90)-SUMIF(89:89,C22,90:90)+100</f>
        <v>100</v>
      </c>
      <c r="K21" s="628"/>
      <c r="L21" s="2948"/>
      <c r="M21" s="2942"/>
      <c r="N21" s="2942"/>
      <c r="O21" s="3000"/>
      <c r="P21" s="3301"/>
      <c r="Q21" s="1535" t="str">
        <f t="shared" si="8"/>
        <v>环境状况</v>
      </c>
      <c r="R21" s="713" t="s">
        <v>17</v>
      </c>
      <c r="S21" s="714">
        <f>F21</f>
        <v>100</v>
      </c>
      <c r="T21" s="713" t="s">
        <v>17</v>
      </c>
      <c r="U21" s="714">
        <f>H21</f>
        <v>100</v>
      </c>
      <c r="V21" s="713" t="s">
        <v>17</v>
      </c>
      <c r="W21" s="714">
        <f>J21</f>
        <v>100</v>
      </c>
      <c r="X21" s="1538"/>
      <c r="Y21" s="3301"/>
      <c r="Z21" s="1539" t="str">
        <f>Q21</f>
        <v>环境状况</v>
      </c>
      <c r="AA21" s="1536">
        <f t="shared" si="3"/>
        <v>1</v>
      </c>
      <c r="AB21" s="1536">
        <f t="shared" si="4"/>
        <v>1</v>
      </c>
      <c r="AC21" s="1536">
        <f t="shared" si="5"/>
        <v>1</v>
      </c>
    </row>
    <row r="22" spans="1:29" ht="15">
      <c r="A22" s="363"/>
      <c r="B22" s="587"/>
      <c r="C22" s="405"/>
      <c r="D22" s="406"/>
      <c r="E22" s="2089"/>
      <c r="F22" s="406"/>
      <c r="G22" s="2089"/>
      <c r="H22" s="406"/>
      <c r="I22" s="405"/>
      <c r="J22" s="406"/>
      <c r="K22" s="627"/>
      <c r="L22" s="2948"/>
      <c r="M22" s="2942"/>
      <c r="N22" s="2942"/>
      <c r="O22" s="3000"/>
      <c r="P22" s="3301"/>
      <c r="Q22" s="1535"/>
      <c r="R22" s="713"/>
      <c r="S22" s="714"/>
      <c r="T22" s="713"/>
      <c r="U22" s="714"/>
      <c r="V22" s="713"/>
      <c r="W22" s="714"/>
      <c r="X22" s="1538"/>
      <c r="Y22" s="3301"/>
      <c r="Z22" s="1539"/>
      <c r="AA22" s="1536">
        <v>1</v>
      </c>
      <c r="AB22" s="1536">
        <v>1</v>
      </c>
      <c r="AC22" s="1536">
        <v>1</v>
      </c>
    </row>
    <row r="23" spans="1:29" s="112" customFormat="1" ht="15">
      <c r="A23" s="604"/>
      <c r="B23" s="588" t="s">
        <v>2473</v>
      </c>
      <c r="C23" s="2085">
        <f>估价对象房地状况!G19</f>
        <v>0</v>
      </c>
      <c r="D23" s="408">
        <v>100</v>
      </c>
      <c r="E23" s="410"/>
      <c r="F23" s="408">
        <f>SUMIF(91:91,E24,92:92)-SUMIF(91:91,C24,92:92)+100</f>
        <v>100</v>
      </c>
      <c r="G23" s="410"/>
      <c r="H23" s="408">
        <f>SUMIF(91:91,G24,92:92)-SUMIF(91:91,C24,92:92)+100</f>
        <v>100</v>
      </c>
      <c r="I23" s="412"/>
      <c r="J23" s="408">
        <f>SUMIF(91:91,I24,92:92)-SUMIF(91:91,C24,92:92)+100</f>
        <v>100</v>
      </c>
      <c r="K23" s="628"/>
      <c r="L23" s="2943"/>
      <c r="M23" s="2944"/>
      <c r="N23" s="2944"/>
      <c r="O23" s="2998"/>
      <c r="P23" s="3301"/>
      <c r="Q23" s="1526" t="str">
        <f t="shared" si="8"/>
        <v>公共配套设施</v>
      </c>
      <c r="R23" s="709" t="s">
        <v>17</v>
      </c>
      <c r="S23" s="710">
        <f>F23</f>
        <v>100</v>
      </c>
      <c r="T23" s="709" t="s">
        <v>17</v>
      </c>
      <c r="U23" s="710">
        <f>H23</f>
        <v>100</v>
      </c>
      <c r="V23" s="709" t="s">
        <v>17</v>
      </c>
      <c r="W23" s="710">
        <f>J23</f>
        <v>100</v>
      </c>
      <c r="X23" s="711"/>
      <c r="Y23" s="3301"/>
      <c r="Z23" s="55" t="str">
        <f>Q23</f>
        <v>公共配套设施</v>
      </c>
      <c r="AA23" s="1536">
        <f>D23/F23</f>
        <v>1</v>
      </c>
      <c r="AB23" s="1536">
        <f>D23/H23</f>
        <v>1</v>
      </c>
      <c r="AC23" s="1536">
        <f>D23/J23</f>
        <v>1</v>
      </c>
    </row>
    <row r="24" spans="1:29" s="112" customFormat="1" ht="15">
      <c r="A24" s="604"/>
      <c r="B24" s="587"/>
      <c r="C24" s="2161"/>
      <c r="D24" s="406"/>
      <c r="E24" s="2089"/>
      <c r="F24" s="406"/>
      <c r="G24" s="2089"/>
      <c r="H24" s="406"/>
      <c r="I24" s="405"/>
      <c r="J24" s="406"/>
      <c r="K24" s="627"/>
      <c r="L24" s="2943"/>
      <c r="M24" s="2944"/>
      <c r="N24" s="2944"/>
      <c r="O24" s="2998"/>
      <c r="P24" s="3301"/>
      <c r="Q24" s="1526"/>
      <c r="R24" s="709"/>
      <c r="S24" s="710"/>
      <c r="T24" s="709"/>
      <c r="U24" s="710"/>
      <c r="V24" s="709"/>
      <c r="W24" s="710"/>
      <c r="X24" s="711"/>
      <c r="Y24" s="3301"/>
      <c r="Z24" s="55"/>
      <c r="AA24" s="712">
        <v>1</v>
      </c>
      <c r="AB24" s="712">
        <v>1</v>
      </c>
      <c r="AC24" s="712">
        <v>1</v>
      </c>
    </row>
    <row r="25" spans="1:29" s="112" customFormat="1" ht="15">
      <c r="A25" s="604"/>
      <c r="B25" s="588" t="s">
        <v>2474</v>
      </c>
      <c r="C25" s="2085">
        <f>估价对象房地状况!G20</f>
        <v>0</v>
      </c>
      <c r="D25" s="408">
        <v>100</v>
      </c>
      <c r="E25" s="410"/>
      <c r="F25" s="408">
        <f>SUMIF(93:93,E26,94:94)-SUMIF(93:93,C26,94:94)+100</f>
        <v>100</v>
      </c>
      <c r="G25" s="410"/>
      <c r="H25" s="408">
        <f>SUMIF(93:93,G26,94:94)-SUMIF(93:93,C26,94:94)+100</f>
        <v>100</v>
      </c>
      <c r="I25" s="412"/>
      <c r="J25" s="408">
        <f>SUMIF(93:93,I26,94:94)-SUMIF(93:93,C26,94:94)+100</f>
        <v>100</v>
      </c>
      <c r="K25" s="628"/>
      <c r="L25" s="2943"/>
      <c r="M25" s="2944"/>
      <c r="N25" s="2944"/>
      <c r="O25" s="2998"/>
      <c r="P25" s="3301"/>
      <c r="Q25" s="1526" t="str">
        <f t="shared" ref="Q25" si="9">B25</f>
        <v>基础设施水平</v>
      </c>
      <c r="R25" s="709" t="s">
        <v>17</v>
      </c>
      <c r="S25" s="710">
        <f>F25</f>
        <v>100</v>
      </c>
      <c r="T25" s="709" t="s">
        <v>17</v>
      </c>
      <c r="U25" s="710">
        <f>H25</f>
        <v>100</v>
      </c>
      <c r="V25" s="709" t="s">
        <v>17</v>
      </c>
      <c r="W25" s="710">
        <f>J25</f>
        <v>100</v>
      </c>
      <c r="X25" s="711"/>
      <c r="Y25" s="3301"/>
      <c r="Z25" s="55" t="str">
        <f>Q25</f>
        <v>基础设施水平</v>
      </c>
      <c r="AA25" s="1536">
        <f>D25/F25</f>
        <v>1</v>
      </c>
      <c r="AB25" s="1536">
        <f>D25/H25</f>
        <v>1</v>
      </c>
      <c r="AC25" s="1536">
        <f>D25/J25</f>
        <v>1</v>
      </c>
    </row>
    <row r="26" spans="1:29" s="112" customFormat="1" ht="15">
      <c r="A26" s="604"/>
      <c r="B26" s="587"/>
      <c r="C26" s="2161"/>
      <c r="D26" s="406"/>
      <c r="E26" s="2162"/>
      <c r="F26" s="406"/>
      <c r="G26" s="2162"/>
      <c r="H26" s="406"/>
      <c r="I26" s="2162"/>
      <c r="J26" s="406"/>
      <c r="K26" s="627"/>
      <c r="L26" s="2943"/>
      <c r="M26" s="2944"/>
      <c r="N26" s="2944"/>
      <c r="O26" s="2998"/>
      <c r="P26" s="3301"/>
      <c r="Q26" s="1526"/>
      <c r="R26" s="709"/>
      <c r="S26" s="710"/>
      <c r="T26" s="709"/>
      <c r="U26" s="710"/>
      <c r="V26" s="709"/>
      <c r="W26" s="710"/>
      <c r="X26" s="711"/>
      <c r="Y26" s="3301"/>
      <c r="Z26" s="55"/>
      <c r="AA26" s="712">
        <v>1</v>
      </c>
      <c r="AB26" s="712">
        <v>1</v>
      </c>
      <c r="AC26" s="712">
        <v>1</v>
      </c>
    </row>
    <row r="27" spans="1:29" ht="15">
      <c r="A27" s="386"/>
      <c r="B27" s="587" t="s">
        <v>2475</v>
      </c>
      <c r="C27" s="572"/>
      <c r="D27" s="393">
        <v>100</v>
      </c>
      <c r="E27" s="589"/>
      <c r="F27" s="393">
        <f>SUMIF(95:95,E27,96:96)-SUMIF(95:95,C27,96:96)+100</f>
        <v>100</v>
      </c>
      <c r="G27" s="589"/>
      <c r="H27" s="393">
        <f>SUMIF(95:95,G27,96:96)-SUMIF(95:95,C27,96:96)+100</f>
        <v>100</v>
      </c>
      <c r="I27" s="589"/>
      <c r="J27" s="393">
        <f>SUMIF(95:95,I27,96:96)-SUMIF(95:95,C27,96:96)+100</f>
        <v>100</v>
      </c>
      <c r="K27" s="628"/>
      <c r="L27" s="2948"/>
      <c r="M27" s="2942"/>
      <c r="N27" s="2942"/>
      <c r="O27" s="3000"/>
      <c r="P27" s="3301"/>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301"/>
      <c r="Z27" s="1539" t="str">
        <f t="shared" ref="Z27:Z40" si="13">Q27</f>
        <v>临街状况</v>
      </c>
      <c r="AA27" s="1536">
        <f t="shared" si="3"/>
        <v>1</v>
      </c>
      <c r="AB27" s="1536">
        <f t="shared" si="4"/>
        <v>1</v>
      </c>
      <c r="AC27" s="1536">
        <f t="shared" si="5"/>
        <v>1</v>
      </c>
    </row>
    <row r="28" spans="1:29" ht="27">
      <c r="A28" s="386"/>
      <c r="B28" s="588" t="s">
        <v>2510</v>
      </c>
      <c r="C28" s="2174">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8"/>
      <c r="M28" s="2942"/>
      <c r="N28" s="2942"/>
      <c r="O28" s="3000"/>
      <c r="P28" s="3301"/>
      <c r="Q28" s="1535" t="str">
        <f t="shared" si="8"/>
        <v>毗邻道路的类型与等级</v>
      </c>
      <c r="R28" s="713" t="s">
        <v>17</v>
      </c>
      <c r="S28" s="714">
        <f t="shared" si="10"/>
        <v>100</v>
      </c>
      <c r="T28" s="713" t="s">
        <v>17</v>
      </c>
      <c r="U28" s="714">
        <f t="shared" si="11"/>
        <v>100</v>
      </c>
      <c r="V28" s="713" t="s">
        <v>17</v>
      </c>
      <c r="W28" s="714">
        <f t="shared" si="12"/>
        <v>100</v>
      </c>
      <c r="X28" s="1538"/>
      <c r="Y28" s="3301"/>
      <c r="Z28" s="1539" t="str">
        <f t="shared" si="13"/>
        <v>毗邻道路的类型与等级</v>
      </c>
      <c r="AA28" s="1536">
        <f t="shared" si="3"/>
        <v>1</v>
      </c>
      <c r="AB28" s="1536">
        <f t="shared" si="4"/>
        <v>1</v>
      </c>
      <c r="AC28" s="1536">
        <f t="shared" si="5"/>
        <v>1</v>
      </c>
    </row>
    <row r="29" spans="1:29" ht="15">
      <c r="A29" s="386"/>
      <c r="B29" s="587"/>
      <c r="C29" s="405"/>
      <c r="D29" s="406"/>
      <c r="E29" s="2089"/>
      <c r="F29" s="406"/>
      <c r="G29" s="2089"/>
      <c r="H29" s="406"/>
      <c r="I29" s="2089"/>
      <c r="J29" s="406"/>
      <c r="K29" s="569"/>
      <c r="L29" s="2948"/>
      <c r="M29" s="2942"/>
      <c r="N29" s="2942"/>
      <c r="O29" s="3000"/>
      <c r="P29" s="3301"/>
      <c r="Q29" s="1535"/>
      <c r="R29" s="713"/>
      <c r="S29" s="714"/>
      <c r="T29" s="713"/>
      <c r="U29" s="714"/>
      <c r="V29" s="713"/>
      <c r="W29" s="714"/>
      <c r="X29" s="1538"/>
      <c r="Y29" s="3301"/>
      <c r="Z29" s="1539"/>
      <c r="AA29" s="1536">
        <v>1</v>
      </c>
      <c r="AB29" s="1536">
        <v>1</v>
      </c>
      <c r="AC29" s="1536">
        <v>1</v>
      </c>
    </row>
    <row r="30" spans="1:29" ht="15">
      <c r="A30" s="386"/>
      <c r="B30" s="609" t="s">
        <v>2569</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8"/>
      <c r="M30" s="2942"/>
      <c r="N30" s="2942"/>
      <c r="O30" s="3000"/>
      <c r="P30" s="3301"/>
      <c r="Q30" s="1535" t="str">
        <f t="shared" si="8"/>
        <v>土地级别</v>
      </c>
      <c r="R30" s="713" t="s">
        <v>17</v>
      </c>
      <c r="S30" s="714">
        <f t="shared" si="10"/>
        <v>100</v>
      </c>
      <c r="T30" s="713" t="s">
        <v>17</v>
      </c>
      <c r="U30" s="714">
        <f t="shared" si="11"/>
        <v>100</v>
      </c>
      <c r="V30" s="713" t="s">
        <v>17</v>
      </c>
      <c r="W30" s="714">
        <f t="shared" si="12"/>
        <v>100</v>
      </c>
      <c r="X30" s="1538"/>
      <c r="Y30" s="3301"/>
      <c r="Z30" s="1539" t="str">
        <f t="shared" si="13"/>
        <v>土地级别</v>
      </c>
      <c r="AA30" s="1536">
        <f t="shared" si="3"/>
        <v>1</v>
      </c>
      <c r="AB30" s="1536">
        <f t="shared" si="4"/>
        <v>1</v>
      </c>
      <c r="AC30" s="1536">
        <f t="shared" si="5"/>
        <v>1</v>
      </c>
    </row>
    <row r="31" spans="1:29" ht="15">
      <c r="A31" s="363"/>
      <c r="B31" s="2149">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8"/>
      <c r="M31" s="2942"/>
      <c r="N31" s="2942"/>
      <c r="O31" s="3000"/>
      <c r="P31" s="3301"/>
      <c r="Q31" s="1535">
        <f t="shared" si="8"/>
        <v>111</v>
      </c>
      <c r="R31" s="713" t="s">
        <v>17</v>
      </c>
      <c r="S31" s="714">
        <f t="shared" si="10"/>
        <v>100</v>
      </c>
      <c r="T31" s="713" t="s">
        <v>17</v>
      </c>
      <c r="U31" s="714">
        <f t="shared" si="11"/>
        <v>100</v>
      </c>
      <c r="V31" s="713" t="s">
        <v>17</v>
      </c>
      <c r="W31" s="714">
        <f t="shared" si="12"/>
        <v>100</v>
      </c>
      <c r="X31" s="1538"/>
      <c r="Y31" s="3301"/>
      <c r="Z31" s="1539">
        <f t="shared" si="13"/>
        <v>111</v>
      </c>
      <c r="AA31" s="1536">
        <f t="shared" si="3"/>
        <v>1</v>
      </c>
      <c r="AB31" s="1536">
        <f t="shared" si="4"/>
        <v>1</v>
      </c>
      <c r="AC31" s="1536">
        <f t="shared" si="5"/>
        <v>1</v>
      </c>
    </row>
    <row r="32" spans="1:29" ht="15">
      <c r="A32" s="630"/>
      <c r="B32" s="2175">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8"/>
      <c r="M32" s="2942"/>
      <c r="N32" s="2942"/>
      <c r="O32" s="3000"/>
      <c r="P32" s="3302" t="s">
        <v>2384</v>
      </c>
      <c r="Q32" s="1535">
        <f t="shared" si="8"/>
        <v>111</v>
      </c>
      <c r="R32" s="713" t="s">
        <v>17</v>
      </c>
      <c r="S32" s="714">
        <f t="shared" si="10"/>
        <v>100</v>
      </c>
      <c r="T32" s="713" t="s">
        <v>17</v>
      </c>
      <c r="U32" s="714">
        <f t="shared" si="11"/>
        <v>100</v>
      </c>
      <c r="V32" s="713" t="s">
        <v>17</v>
      </c>
      <c r="W32" s="714">
        <f t="shared" si="12"/>
        <v>100</v>
      </c>
      <c r="X32" s="1538"/>
      <c r="Y32" s="3303" t="s">
        <v>2384</v>
      </c>
      <c r="Z32" s="1539">
        <f t="shared" si="13"/>
        <v>111</v>
      </c>
      <c r="AA32" s="1536">
        <f t="shared" si="3"/>
        <v>1</v>
      </c>
      <c r="AB32" s="1536">
        <f t="shared" si="4"/>
        <v>1</v>
      </c>
      <c r="AC32" s="1536">
        <f t="shared" si="5"/>
        <v>1</v>
      </c>
    </row>
    <row r="33" spans="1:31" s="429" customFormat="1" ht="15.75" thickBot="1">
      <c r="A33" s="631"/>
      <c r="B33" s="2176">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7"/>
      <c r="M33" s="2949"/>
      <c r="N33" s="2949"/>
      <c r="O33" s="3001"/>
      <c r="P33" s="3303"/>
      <c r="Q33" s="1535">
        <f t="shared" si="8"/>
        <v>111</v>
      </c>
      <c r="R33" s="716" t="s">
        <v>17</v>
      </c>
      <c r="S33" s="717">
        <f t="shared" si="10"/>
        <v>100</v>
      </c>
      <c r="T33" s="716" t="s">
        <v>17</v>
      </c>
      <c r="U33" s="717">
        <f t="shared" si="11"/>
        <v>100</v>
      </c>
      <c r="V33" s="716" t="s">
        <v>17</v>
      </c>
      <c r="W33" s="717">
        <f t="shared" si="12"/>
        <v>100</v>
      </c>
      <c r="X33" s="718"/>
      <c r="Y33" s="3303"/>
      <c r="Z33" s="719">
        <f t="shared" si="13"/>
        <v>111</v>
      </c>
      <c r="AA33" s="1536">
        <f t="shared" si="3"/>
        <v>1</v>
      </c>
      <c r="AB33" s="1536">
        <f t="shared" si="4"/>
        <v>1</v>
      </c>
      <c r="AC33" s="1536">
        <f t="shared" si="5"/>
        <v>1</v>
      </c>
    </row>
    <row r="34" spans="1:31" ht="15">
      <c r="A34" s="398" t="s">
        <v>2382</v>
      </c>
      <c r="B34" s="414" t="s">
        <v>2570</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8"/>
      <c r="M34" s="2942"/>
      <c r="N34" s="2942"/>
      <c r="O34" s="3000"/>
      <c r="P34" s="3303"/>
      <c r="Q34" s="1535" t="str">
        <f>B34</f>
        <v>宗地面积</v>
      </c>
      <c r="R34" s="713" t="s">
        <v>17</v>
      </c>
      <c r="S34" s="714" t="e">
        <f t="shared" si="10"/>
        <v>#N/A</v>
      </c>
      <c r="T34" s="713" t="s">
        <v>17</v>
      </c>
      <c r="U34" s="714" t="e">
        <f t="shared" si="11"/>
        <v>#N/A</v>
      </c>
      <c r="V34" s="713" t="s">
        <v>17</v>
      </c>
      <c r="W34" s="714" t="e">
        <f t="shared" si="12"/>
        <v>#N/A</v>
      </c>
      <c r="X34" s="1538"/>
      <c r="Y34" s="3303"/>
      <c r="Z34" s="1539" t="str">
        <f t="shared" si="13"/>
        <v>宗地面积</v>
      </c>
      <c r="AA34" s="1536" t="e">
        <f t="shared" si="3"/>
        <v>#N/A</v>
      </c>
      <c r="AB34" s="1536" t="e">
        <f t="shared" si="4"/>
        <v>#N/A</v>
      </c>
      <c r="AC34" s="1536" t="e">
        <f t="shared" si="5"/>
        <v>#N/A</v>
      </c>
    </row>
    <row r="35" spans="1:31" ht="15">
      <c r="A35" s="430"/>
      <c r="B35" s="380" t="s">
        <v>2571</v>
      </c>
      <c r="C35" s="2091"/>
      <c r="D35" s="393">
        <v>100</v>
      </c>
      <c r="E35" s="2091"/>
      <c r="F35" s="393">
        <f>SUMIF(110:110,E35,111:111)-SUMIF(110:110,C35,111:111)+100</f>
        <v>100</v>
      </c>
      <c r="G35" s="2091"/>
      <c r="H35" s="393">
        <f>SUMIF(110:110,G35,111:111)-SUMIF(110:110,C35,111:111)+100</f>
        <v>100</v>
      </c>
      <c r="I35" s="2091"/>
      <c r="J35" s="393">
        <f>SUMIF(110:110,I35,111:111)-SUMIF(110:110,C35,111:111)+100</f>
        <v>100</v>
      </c>
      <c r="K35" s="568"/>
      <c r="L35" s="2948"/>
      <c r="M35" s="2942"/>
      <c r="N35" s="2942"/>
      <c r="O35" s="3000"/>
      <c r="P35" s="3303"/>
      <c r="Q35" s="1535" t="str">
        <f t="shared" ref="Q35:Q40" si="14">B35</f>
        <v>宗地形状</v>
      </c>
      <c r="R35" s="713" t="s">
        <v>17</v>
      </c>
      <c r="S35" s="714">
        <f t="shared" si="10"/>
        <v>100</v>
      </c>
      <c r="T35" s="713" t="s">
        <v>17</v>
      </c>
      <c r="U35" s="714">
        <f t="shared" si="11"/>
        <v>100</v>
      </c>
      <c r="V35" s="713" t="s">
        <v>17</v>
      </c>
      <c r="W35" s="714">
        <f t="shared" si="12"/>
        <v>100</v>
      </c>
      <c r="X35" s="1538"/>
      <c r="Y35" s="3303"/>
      <c r="Z35" s="1539" t="str">
        <f t="shared" si="13"/>
        <v>宗地形状</v>
      </c>
      <c r="AA35" s="1536">
        <f t="shared" si="3"/>
        <v>1</v>
      </c>
      <c r="AB35" s="1536">
        <f t="shared" si="4"/>
        <v>1</v>
      </c>
      <c r="AC35" s="1536">
        <f t="shared" si="5"/>
        <v>1</v>
      </c>
    </row>
    <row r="36" spans="1:31" s="112" customFormat="1" ht="15">
      <c r="A36" s="431"/>
      <c r="B36" s="380" t="s">
        <v>2573</v>
      </c>
      <c r="C36" s="2163"/>
      <c r="D36" s="131">
        <v>100</v>
      </c>
      <c r="E36" s="2163"/>
      <c r="F36" s="393">
        <f>SUMIF(112:112,E36,113:113)-SUMIF(112:112,C36,113:113)+100</f>
        <v>100</v>
      </c>
      <c r="G36" s="2163"/>
      <c r="H36" s="393">
        <f>SUMIF(112:112,G36,113:113)-SUMIF(112:112,C36,113:113)+100</f>
        <v>100</v>
      </c>
      <c r="I36" s="2163"/>
      <c r="J36" s="393">
        <f>SUMIF(112:112,I36,113:113)-SUMIF(112:112,C36,113:113)+100</f>
        <v>100</v>
      </c>
      <c r="K36" s="568"/>
      <c r="L36" s="2943"/>
      <c r="M36" s="2944"/>
      <c r="N36" s="2944"/>
      <c r="O36" s="2998"/>
      <c r="P36" s="3303"/>
      <c r="Q36" s="1535" t="str">
        <f t="shared" si="14"/>
        <v>宗地开发程度</v>
      </c>
      <c r="R36" s="709" t="s">
        <v>17</v>
      </c>
      <c r="S36" s="710">
        <f t="shared" si="10"/>
        <v>100</v>
      </c>
      <c r="T36" s="709" t="s">
        <v>17</v>
      </c>
      <c r="U36" s="710">
        <f t="shared" si="11"/>
        <v>100</v>
      </c>
      <c r="V36" s="709" t="s">
        <v>17</v>
      </c>
      <c r="W36" s="710">
        <f t="shared" si="12"/>
        <v>100</v>
      </c>
      <c r="X36" s="711"/>
      <c r="Y36" s="3303"/>
      <c r="Z36" s="55" t="str">
        <f t="shared" si="13"/>
        <v>宗地开发程度</v>
      </c>
      <c r="AA36" s="712">
        <f t="shared" si="3"/>
        <v>1</v>
      </c>
      <c r="AB36" s="712">
        <f t="shared" si="4"/>
        <v>1</v>
      </c>
      <c r="AC36" s="712">
        <f t="shared" si="5"/>
        <v>1</v>
      </c>
    </row>
    <row r="37" spans="1:31" ht="15">
      <c r="A37" s="430"/>
      <c r="B37" s="380" t="s">
        <v>2574</v>
      </c>
      <c r="C37" s="2091"/>
      <c r="D37" s="393">
        <v>100</v>
      </c>
      <c r="E37" s="2091"/>
      <c r="F37" s="393">
        <f>SUMIF(114:114,E37,115:115)-SUMIF(114:114,C37,115:115)+100</f>
        <v>100</v>
      </c>
      <c r="G37" s="2091"/>
      <c r="H37" s="393">
        <f>SUMIF(114:114,G37,115:115)-SUMIF(114:114,C37,115:115)+100</f>
        <v>100</v>
      </c>
      <c r="I37" s="2091"/>
      <c r="J37" s="393">
        <f>SUMIF(114:114,I37,115:115)-SUMIF(114:114,C37,115:115)+100</f>
        <v>100</v>
      </c>
      <c r="K37" s="568"/>
      <c r="L37" s="2948"/>
      <c r="M37" s="2942"/>
      <c r="N37" s="2942"/>
      <c r="O37" s="3000"/>
      <c r="P37" s="3303" t="s">
        <v>2384</v>
      </c>
      <c r="Q37" s="1535" t="str">
        <f t="shared" si="14"/>
        <v>工程地质条件</v>
      </c>
      <c r="R37" s="713" t="s">
        <v>17</v>
      </c>
      <c r="S37" s="714">
        <f t="shared" si="10"/>
        <v>100</v>
      </c>
      <c r="T37" s="713" t="s">
        <v>17</v>
      </c>
      <c r="U37" s="714">
        <f t="shared" si="11"/>
        <v>100</v>
      </c>
      <c r="V37" s="713" t="s">
        <v>17</v>
      </c>
      <c r="W37" s="714">
        <f t="shared" si="12"/>
        <v>100</v>
      </c>
      <c r="X37" s="1538"/>
      <c r="Y37" s="3303" t="s">
        <v>2384</v>
      </c>
      <c r="Z37" s="1539" t="str">
        <f t="shared" si="13"/>
        <v>工程地质条件</v>
      </c>
      <c r="AA37" s="1536">
        <f t="shared" si="3"/>
        <v>1</v>
      </c>
      <c r="AB37" s="1536">
        <f t="shared" si="4"/>
        <v>1</v>
      </c>
      <c r="AC37" s="1536">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8"/>
      <c r="M38" s="2942"/>
      <c r="N38" s="2942"/>
      <c r="O38" s="3000"/>
      <c r="P38" s="3303"/>
      <c r="Q38" s="1535">
        <f t="shared" si="14"/>
        <v>111</v>
      </c>
      <c r="R38" s="713" t="s">
        <v>17</v>
      </c>
      <c r="S38" s="714">
        <f t="shared" si="10"/>
        <v>100</v>
      </c>
      <c r="T38" s="713" t="s">
        <v>17</v>
      </c>
      <c r="U38" s="714">
        <f t="shared" si="11"/>
        <v>100</v>
      </c>
      <c r="V38" s="713" t="s">
        <v>17</v>
      </c>
      <c r="W38" s="714">
        <f t="shared" si="12"/>
        <v>100</v>
      </c>
      <c r="X38" s="1538"/>
      <c r="Y38" s="3303"/>
      <c r="Z38" s="1539">
        <f t="shared" si="13"/>
        <v>111</v>
      </c>
      <c r="AA38" s="1536">
        <f t="shared" si="3"/>
        <v>1</v>
      </c>
      <c r="AB38" s="1536">
        <f t="shared" si="4"/>
        <v>1</v>
      </c>
      <c r="AC38" s="1536">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8"/>
      <c r="M39" s="2942"/>
      <c r="N39" s="2942"/>
      <c r="O39" s="3000"/>
      <c r="P39" s="3303"/>
      <c r="Q39" s="1535">
        <f t="shared" si="14"/>
        <v>111</v>
      </c>
      <c r="R39" s="713" t="s">
        <v>17</v>
      </c>
      <c r="S39" s="714">
        <f t="shared" si="10"/>
        <v>100</v>
      </c>
      <c r="T39" s="713" t="s">
        <v>17</v>
      </c>
      <c r="U39" s="714">
        <f t="shared" si="11"/>
        <v>100</v>
      </c>
      <c r="V39" s="713" t="s">
        <v>17</v>
      </c>
      <c r="W39" s="714">
        <f t="shared" si="12"/>
        <v>100</v>
      </c>
      <c r="X39" s="1538"/>
      <c r="Y39" s="3303"/>
      <c r="Z39" s="1539">
        <f t="shared" si="13"/>
        <v>111</v>
      </c>
      <c r="AA39" s="1536">
        <f t="shared" si="3"/>
        <v>1</v>
      </c>
      <c r="AB39" s="1536">
        <f t="shared" si="4"/>
        <v>1</v>
      </c>
      <c r="AC39" s="1536">
        <f t="shared" si="5"/>
        <v>1</v>
      </c>
    </row>
    <row r="40" spans="1:31" s="429" customFormat="1" ht="15.75" thickBot="1">
      <c r="A40" s="426"/>
      <c r="B40" s="1295">
        <v>111</v>
      </c>
      <c r="C40" s="2164"/>
      <c r="D40" s="132">
        <v>100</v>
      </c>
      <c r="E40" s="629"/>
      <c r="F40" s="396">
        <f>SUMIF(120:120,E40,121:121)-SUMIF(120:120,C40,121:121)+100</f>
        <v>100</v>
      </c>
      <c r="G40" s="629"/>
      <c r="H40" s="396">
        <f>SUMIF(120:120,G40,121:121)-SUMIF(120:120,C40,121:121)+100</f>
        <v>100</v>
      </c>
      <c r="I40" s="505"/>
      <c r="J40" s="396">
        <f>SUMIF(120:120,I40,121:121)-SUMIF(120:120,C40,121:121)+100</f>
        <v>100</v>
      </c>
      <c r="K40" s="636"/>
      <c r="L40" s="2947"/>
      <c r="M40" s="2949"/>
      <c r="N40" s="2949"/>
      <c r="O40" s="3001"/>
      <c r="P40" s="3303"/>
      <c r="Q40" s="1535">
        <f t="shared" si="14"/>
        <v>111</v>
      </c>
      <c r="R40" s="716" t="s">
        <v>17</v>
      </c>
      <c r="S40" s="717">
        <f t="shared" si="10"/>
        <v>100</v>
      </c>
      <c r="T40" s="716" t="s">
        <v>17</v>
      </c>
      <c r="U40" s="717">
        <f t="shared" si="11"/>
        <v>100</v>
      </c>
      <c r="V40" s="716" t="s">
        <v>17</v>
      </c>
      <c r="W40" s="717">
        <f t="shared" si="12"/>
        <v>100</v>
      </c>
      <c r="X40" s="718"/>
      <c r="Y40" s="3303"/>
      <c r="Z40" s="719">
        <f t="shared" si="13"/>
        <v>111</v>
      </c>
      <c r="AA40" s="1536">
        <f t="shared" si="3"/>
        <v>1</v>
      </c>
      <c r="AB40" s="1536">
        <f t="shared" si="4"/>
        <v>1</v>
      </c>
      <c r="AC40" s="1536">
        <f t="shared" si="5"/>
        <v>1</v>
      </c>
    </row>
    <row r="41" spans="1:31" ht="15">
      <c r="A41" s="437" t="s">
        <v>2539</v>
      </c>
      <c r="B41" s="2165" t="s">
        <v>2619</v>
      </c>
      <c r="C41" s="637" t="s">
        <v>1</v>
      </c>
      <c r="D41" s="439"/>
      <c r="E41" s="440"/>
      <c r="F41" s="441"/>
      <c r="G41" s="442"/>
      <c r="H41" s="443"/>
      <c r="I41" s="440"/>
      <c r="J41" s="443"/>
      <c r="K41" s="722"/>
      <c r="L41" s="2950"/>
      <c r="M41" s="2942"/>
      <c r="N41" s="2942"/>
      <c r="O41" s="2951"/>
      <c r="P41" s="3298" t="str">
        <f>A41</f>
        <v>成交单价</v>
      </c>
      <c r="Q41" s="3298"/>
      <c r="R41" s="3304">
        <f>E41</f>
        <v>0</v>
      </c>
      <c r="S41" s="3304"/>
      <c r="T41" s="3304">
        <f>G41</f>
        <v>0</v>
      </c>
      <c r="U41" s="3304"/>
      <c r="V41" s="3304">
        <f>I41</f>
        <v>0</v>
      </c>
      <c r="W41" s="3304"/>
      <c r="X41" s="698"/>
      <c r="Y41" s="720"/>
      <c r="Z41" s="698"/>
      <c r="AA41" s="698"/>
      <c r="AB41" s="698"/>
      <c r="AC41" s="698"/>
    </row>
    <row r="42" spans="1:31" ht="15.75" thickBot="1">
      <c r="A42" s="444" t="s">
        <v>2488</v>
      </c>
      <c r="B42" s="638"/>
      <c r="C42" s="447" t="e">
        <f>R43</f>
        <v>#DIV/0!</v>
      </c>
      <c r="D42" s="2535" t="s">
        <v>2879</v>
      </c>
      <c r="E42" s="447" t="e">
        <f>R42</f>
        <v>#DIV/0!</v>
      </c>
      <c r="F42" s="2536"/>
      <c r="G42" s="446" t="e">
        <f>T42</f>
        <v>#DIV/0!</v>
      </c>
      <c r="H42" s="2536"/>
      <c r="I42" s="447" t="e">
        <f>V42</f>
        <v>#DIV/0!</v>
      </c>
      <c r="J42" s="2536"/>
      <c r="K42" s="2538">
        <f>F42+H42+J42</f>
        <v>0</v>
      </c>
      <c r="L42" s="2950"/>
      <c r="M42" s="2942"/>
      <c r="N42" s="2942"/>
      <c r="O42" s="2951"/>
      <c r="P42" s="3298" t="str">
        <f>A42</f>
        <v>比较价值（元/平方米）</v>
      </c>
      <c r="Q42" s="3298"/>
      <c r="R42" s="3291" t="e">
        <f>ROUND(PRODUCT(R41,AA7:AA40),0)</f>
        <v>#DIV/0!</v>
      </c>
      <c r="S42" s="3291"/>
      <c r="T42" s="3291" t="e">
        <f>ROUND(PRODUCT(T41,AB7:AB40),0)</f>
        <v>#DIV/0!</v>
      </c>
      <c r="U42" s="3291"/>
      <c r="V42" s="3291" t="e">
        <f>ROUND(PRODUCT(V41,AC7:AC40),0)</f>
        <v>#DIV/0!</v>
      </c>
      <c r="W42" s="3291"/>
      <c r="X42" s="698"/>
      <c r="Y42" s="698"/>
      <c r="Z42" s="698"/>
      <c r="AA42" s="698"/>
      <c r="AB42" s="698"/>
      <c r="AC42" s="698"/>
    </row>
    <row r="43" spans="1:31" ht="15.75" thickBot="1">
      <c r="A43" s="448" t="s">
        <v>2489</v>
      </c>
      <c r="B43" s="449"/>
      <c r="C43" s="450" t="e">
        <f>R43</f>
        <v>#DIV/0!</v>
      </c>
      <c r="D43" s="450"/>
      <c r="E43" s="450"/>
      <c r="F43" s="450"/>
      <c r="G43" s="450"/>
      <c r="H43" s="450"/>
      <c r="I43" s="450"/>
      <c r="J43" s="450"/>
      <c r="K43" s="723"/>
      <c r="L43" s="2950"/>
      <c r="M43" s="2942"/>
      <c r="N43" s="2942"/>
      <c r="O43" s="2951"/>
      <c r="P43" s="3292" t="str">
        <f>A43</f>
        <v>估价对象XX用房的比较价值（楼面单价，元/平方米）</v>
      </c>
      <c r="Q43" s="3293"/>
      <c r="R43" s="3294" t="e">
        <f>ROUND(IF(D42="简单平均",AVERAGE(R42:W42),R42*F42+T42*H42+V42*J42),0)</f>
        <v>#DIV/0!</v>
      </c>
      <c r="S43" s="3294"/>
      <c r="T43" s="3294"/>
      <c r="U43" s="3294"/>
      <c r="V43" s="3294"/>
      <c r="W43" s="3294"/>
      <c r="X43" s="698"/>
      <c r="Y43" s="698"/>
      <c r="Z43" s="698"/>
      <c r="AA43" s="698"/>
      <c r="AB43" s="698"/>
      <c r="AC43" s="698"/>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8" customFormat="1" ht="13.5" customHeight="1">
      <c r="A48" s="2954"/>
      <c r="B48" s="2954"/>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8" customFormat="1" ht="15" thickBot="1">
      <c r="A49" s="2954"/>
      <c r="B49" s="2957"/>
      <c r="C49" s="701"/>
      <c r="D49" s="699"/>
      <c r="E49" s="699"/>
      <c r="F49" s="699"/>
      <c r="G49" s="699"/>
      <c r="H49" s="699"/>
      <c r="I49" s="699"/>
      <c r="J49" s="699"/>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39" t="s">
        <v>2577</v>
      </c>
      <c r="B50" s="640" t="s">
        <v>2578</v>
      </c>
      <c r="C50" s="2166" t="s">
        <v>2579</v>
      </c>
      <c r="D50" s="2167" t="s">
        <v>2580</v>
      </c>
      <c r="E50" s="641" t="s">
        <v>2581</v>
      </c>
      <c r="F50" s="642" t="s">
        <v>2582</v>
      </c>
      <c r="G50" s="3295" t="s">
        <v>2583</v>
      </c>
      <c r="H50" s="3296"/>
      <c r="I50" s="1539" t="s">
        <v>2620</v>
      </c>
      <c r="J50" s="1539">
        <f>项目基本情况!F35</f>
        <v>0</v>
      </c>
      <c r="K50" s="2169" t="s">
        <v>2585</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7" customFormat="1">
      <c r="A51" s="643" t="s">
        <v>2586</v>
      </c>
      <c r="B51" s="644" t="e">
        <f>C43</f>
        <v>#DIV/0!</v>
      </c>
      <c r="C51" s="645">
        <v>1</v>
      </c>
      <c r="D51" s="1074">
        <v>1</v>
      </c>
      <c r="E51" s="645">
        <f>'数据-汇总表'!E8+'数据-汇总表'!E9</f>
        <v>99817.340000000026</v>
      </c>
      <c r="F51" s="646" t="e">
        <f t="shared" ref="F51:F60" si="15">ROUND(B51*E51/10000,0)</f>
        <v>#DIV/0!</v>
      </c>
      <c r="G51" s="3297"/>
      <c r="H51" s="3298"/>
      <c r="I51" s="878">
        <v>1</v>
      </c>
      <c r="J51" s="878">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7" customFormat="1">
      <c r="A52" s="648" t="s">
        <v>2587</v>
      </c>
      <c r="B52" s="223" t="e">
        <f>ROUND($C$43*C52*D52,0)</f>
        <v>#DIV/0!</v>
      </c>
      <c r="C52" s="175">
        <f t="shared" ref="C52:C60" si="16">IF($C$50="北京市系数",I52,J52)</f>
        <v>0</v>
      </c>
      <c r="D52" s="1075">
        <v>0.25</v>
      </c>
      <c r="E52" s="649"/>
      <c r="F52" s="646" t="e">
        <f t="shared" si="15"/>
        <v>#DIV/0!</v>
      </c>
      <c r="G52" s="3299" t="s">
        <v>2588</v>
      </c>
      <c r="H52" s="1017">
        <f>项目基本情况!B37</f>
        <v>0</v>
      </c>
      <c r="I52" s="878">
        <f>SUMIF(修正!A45:A56,H52,修正!B45:B56)</f>
        <v>0</v>
      </c>
      <c r="J52" s="879"/>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7" customFormat="1">
      <c r="A53" s="648" t="s">
        <v>2589</v>
      </c>
      <c r="B53" s="223" t="e">
        <f t="shared" ref="B53:B60" si="17">ROUND($C$43*C53*D53,0)</f>
        <v>#DIV/0!</v>
      </c>
      <c r="C53" s="175">
        <f t="shared" si="16"/>
        <v>0</v>
      </c>
      <c r="D53" s="1075">
        <v>0.25</v>
      </c>
      <c r="E53" s="649"/>
      <c r="F53" s="646" t="e">
        <f t="shared" si="15"/>
        <v>#DIV/0!</v>
      </c>
      <c r="G53" s="3299"/>
      <c r="H53" s="1017">
        <f>项目基本情况!B37</f>
        <v>0</v>
      </c>
      <c r="I53" s="878">
        <f>SUMIF(修正!A45:A56,H53,修正!C45:C56)</f>
        <v>0</v>
      </c>
      <c r="J53" s="879"/>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7" customFormat="1">
      <c r="A54" s="648" t="s">
        <v>2590</v>
      </c>
      <c r="B54" s="223" t="e">
        <f t="shared" si="17"/>
        <v>#DIV/0!</v>
      </c>
      <c r="C54" s="175">
        <f t="shared" si="16"/>
        <v>0</v>
      </c>
      <c r="D54" s="1075">
        <v>0.25</v>
      </c>
      <c r="E54" s="649"/>
      <c r="F54" s="646" t="e">
        <f t="shared" si="15"/>
        <v>#DIV/0!</v>
      </c>
      <c r="G54" s="3299"/>
      <c r="H54" s="1017">
        <f>项目基本情况!B37</f>
        <v>0</v>
      </c>
      <c r="I54" s="878">
        <f>SUMIF(修正!A45:A56,H54,修正!D45:D56)</f>
        <v>0</v>
      </c>
      <c r="J54" s="879"/>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7" customFormat="1">
      <c r="A55" s="648" t="s">
        <v>2591</v>
      </c>
      <c r="B55" s="223" t="e">
        <f t="shared" si="17"/>
        <v>#DIV/0!</v>
      </c>
      <c r="C55" s="175">
        <f t="shared" si="16"/>
        <v>0</v>
      </c>
      <c r="D55" s="1075">
        <v>0.25</v>
      </c>
      <c r="E55" s="649"/>
      <c r="F55" s="646" t="e">
        <f t="shared" si="15"/>
        <v>#DIV/0!</v>
      </c>
      <c r="G55" s="3299"/>
      <c r="H55" s="1017">
        <f>项目基本情况!B37</f>
        <v>0</v>
      </c>
      <c r="I55" s="878">
        <f>SUMIF(修正!A45:A56,H55,修正!E45:E56)</f>
        <v>0</v>
      </c>
      <c r="J55" s="879"/>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7" customFormat="1">
      <c r="A56" s="648" t="s">
        <v>2592</v>
      </c>
      <c r="B56" s="223" t="e">
        <f t="shared" si="17"/>
        <v>#DIV/0!</v>
      </c>
      <c r="C56" s="175">
        <f t="shared" si="16"/>
        <v>0</v>
      </c>
      <c r="D56" s="1075">
        <v>0.25</v>
      </c>
      <c r="E56" s="222">
        <f>'数据-汇总表'!E11</f>
        <v>0</v>
      </c>
      <c r="F56" s="646" t="e">
        <f t="shared" si="15"/>
        <v>#DIV/0!</v>
      </c>
      <c r="G56" s="2170" t="s">
        <v>2593</v>
      </c>
      <c r="H56" s="1017">
        <f>项目基本情况!C37</f>
        <v>0</v>
      </c>
      <c r="I56" s="878">
        <f>SUMIF(修正!A45:A56,H56,修正!F45:F56)</f>
        <v>0</v>
      </c>
      <c r="J56" s="879"/>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7" customFormat="1">
      <c r="A57" s="648" t="s">
        <v>2594</v>
      </c>
      <c r="B57" s="223" t="e">
        <f t="shared" si="17"/>
        <v>#DIV/0!</v>
      </c>
      <c r="C57" s="175">
        <f t="shared" si="16"/>
        <v>0</v>
      </c>
      <c r="D57" s="1075">
        <v>0.25</v>
      </c>
      <c r="E57" s="222">
        <f>'数据-汇总表'!E12</f>
        <v>0</v>
      </c>
      <c r="F57" s="646" t="e">
        <f t="shared" si="15"/>
        <v>#DIV/0!</v>
      </c>
      <c r="G57" s="1022" t="s">
        <v>2595</v>
      </c>
      <c r="H57" s="1017">
        <f>IF(G57="商业",项目基本情况!B37,IF(G57="办公",项目基本情况!C37,IF(G57="住宅",项目基本情况!D37,项目基本情况!E37)))</f>
        <v>0</v>
      </c>
      <c r="I57" s="878">
        <f>SUMIF(修正!A45:A56,H57,修正!G45:G56)</f>
        <v>0</v>
      </c>
      <c r="J57" s="879"/>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7" customFormat="1">
      <c r="A58" s="648" t="s">
        <v>2596</v>
      </c>
      <c r="B58" s="223" t="e">
        <f t="shared" si="17"/>
        <v>#DIV/0!</v>
      </c>
      <c r="C58" s="175">
        <f t="shared" si="16"/>
        <v>0</v>
      </c>
      <c r="D58" s="1075">
        <v>0.25</v>
      </c>
      <c r="E58" s="222">
        <f>'数据-汇总表'!E13</f>
        <v>0</v>
      </c>
      <c r="F58" s="646" t="e">
        <f t="shared" si="15"/>
        <v>#DIV/0!</v>
      </c>
      <c r="G58" s="1022" t="s">
        <v>2597</v>
      </c>
      <c r="H58" s="1017">
        <f>IF(G58="商业",项目基本情况!B37,IF(G58="办公",项目基本情况!C37,IF(G58="住宅",项目基本情况!D37,项目基本情况!E37)))</f>
        <v>0</v>
      </c>
      <c r="I58" s="878">
        <f>SUMIF(修正!A45:A56,H58,修正!H45:H56)</f>
        <v>0</v>
      </c>
      <c r="J58" s="879"/>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7" customFormat="1">
      <c r="A59" s="648" t="s">
        <v>2598</v>
      </c>
      <c r="B59" s="223" t="e">
        <f t="shared" si="17"/>
        <v>#DIV/0!</v>
      </c>
      <c r="C59" s="175">
        <f t="shared" si="16"/>
        <v>0</v>
      </c>
      <c r="D59" s="1075">
        <v>0.25</v>
      </c>
      <c r="E59" s="222">
        <f>'数据-汇总表'!E14</f>
        <v>0</v>
      </c>
      <c r="F59" s="646" t="e">
        <f t="shared" si="15"/>
        <v>#DIV/0!</v>
      </c>
      <c r="G59" s="2170" t="s">
        <v>2588</v>
      </c>
      <c r="H59" s="1017">
        <f>项目基本情况!B37</f>
        <v>0</v>
      </c>
      <c r="I59" s="878">
        <f>SUMIF(修正!A45:A56,H59,修正!H45:H56)</f>
        <v>0</v>
      </c>
      <c r="J59" s="879"/>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7" customFormat="1" ht="15" thickBot="1">
      <c r="A60" s="648" t="s">
        <v>2599</v>
      </c>
      <c r="B60" s="223" t="e">
        <f t="shared" si="17"/>
        <v>#DIV/0!</v>
      </c>
      <c r="C60" s="175">
        <f t="shared" si="16"/>
        <v>0</v>
      </c>
      <c r="D60" s="1075">
        <v>0.25</v>
      </c>
      <c r="E60" s="222">
        <f>'数据-汇总表'!E15</f>
        <v>0</v>
      </c>
      <c r="F60" s="646" t="e">
        <f t="shared" si="15"/>
        <v>#DIV/0!</v>
      </c>
      <c r="G60" s="2171" t="s">
        <v>2593</v>
      </c>
      <c r="H60" s="1027">
        <f>项目基本情况!C37</f>
        <v>0</v>
      </c>
      <c r="I60" s="878">
        <f>SUMIF(修正!A45:A56,H60,修正!H45:H56)</f>
        <v>0</v>
      </c>
      <c r="J60" s="879"/>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7" customFormat="1" ht="15" thickBot="1">
      <c r="A61" s="650" t="s">
        <v>2600</v>
      </c>
      <c r="B61" s="651" t="s">
        <v>28</v>
      </c>
      <c r="C61" s="651" t="s">
        <v>29</v>
      </c>
      <c r="D61" s="651" t="s">
        <v>997</v>
      </c>
      <c r="E61" s="651">
        <f>IF(B41="楼面地价",SUM(E51:E60),'数据-汇总表'!D3)</f>
        <v>42598.89</v>
      </c>
      <c r="F61" s="652" t="e">
        <f>IF(B41="楼面地价",SUM(F51:F60),ROUND(C43*E61/10000,0))</f>
        <v>#DIV/0!</v>
      </c>
      <c r="G61" s="1069"/>
      <c r="H61" s="1069"/>
      <c r="I61" s="1069"/>
      <c r="J61" s="1069"/>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7"/>
      <c r="B62" s="1059"/>
      <c r="C62" s="1061"/>
      <c r="D62" s="1057"/>
      <c r="E62" s="1057"/>
      <c r="F62" s="1057"/>
      <c r="G62" s="1057"/>
      <c r="H62" s="1057"/>
      <c r="I62" s="1057"/>
      <c r="J62" s="1057"/>
      <c r="K62" s="1018"/>
      <c r="L62" s="1019"/>
      <c r="M62" s="1057"/>
      <c r="N62" s="1057"/>
      <c r="O62" s="1057"/>
      <c r="P62" s="2951"/>
      <c r="Q62" s="2951"/>
      <c r="R62" s="2951"/>
      <c r="S62" s="2951"/>
      <c r="T62" s="2951"/>
      <c r="U62" s="2951"/>
      <c r="V62" s="2951"/>
      <c r="W62" s="2951"/>
      <c r="X62" s="2951"/>
      <c r="Y62" s="2951"/>
      <c r="Z62" s="2951"/>
      <c r="AA62" s="2951"/>
      <c r="AB62" s="2951"/>
      <c r="AC62" s="2951"/>
      <c r="AD62" s="2951"/>
      <c r="AE62" s="2951"/>
    </row>
    <row r="63" spans="1:31">
      <c r="A63" s="1057"/>
      <c r="B63" s="1059"/>
      <c r="C63" s="700" t="str">
        <f>YEAR(C7)&amp;"-"&amp;MONTH(C7)&amp;"-1"</f>
        <v>2021-10-1</v>
      </c>
      <c r="D63" s="700">
        <f>EDATE(C63,-3)</f>
        <v>44378</v>
      </c>
      <c r="E63" s="700">
        <f>EDATE(D63,-3)</f>
        <v>44287</v>
      </c>
      <c r="F63" s="700">
        <f t="shared" ref="F63:O63" si="18">EDATE(E63,-3)</f>
        <v>44197</v>
      </c>
      <c r="G63" s="700">
        <f t="shared" si="18"/>
        <v>44105</v>
      </c>
      <c r="H63" s="700">
        <f t="shared" si="18"/>
        <v>44013</v>
      </c>
      <c r="I63" s="700">
        <f t="shared" si="18"/>
        <v>43922</v>
      </c>
      <c r="J63" s="700">
        <f t="shared" si="18"/>
        <v>43831</v>
      </c>
      <c r="K63" s="700">
        <f t="shared" si="18"/>
        <v>43739</v>
      </c>
      <c r="L63" s="700">
        <f t="shared" si="18"/>
        <v>43647</v>
      </c>
      <c r="M63" s="700">
        <f t="shared" si="18"/>
        <v>43556</v>
      </c>
      <c r="N63" s="700">
        <f t="shared" si="18"/>
        <v>43466</v>
      </c>
      <c r="O63" s="700">
        <f t="shared" si="18"/>
        <v>43374</v>
      </c>
      <c r="P63" s="2951"/>
      <c r="Q63" s="2951"/>
      <c r="R63" s="2951"/>
      <c r="S63" s="2951"/>
      <c r="T63" s="2951"/>
      <c r="U63" s="2951"/>
      <c r="V63" s="2951"/>
      <c r="W63" s="2951"/>
      <c r="X63" s="2951"/>
      <c r="Y63" s="2951"/>
      <c r="Z63" s="2951"/>
      <c r="AA63" s="2951"/>
      <c r="AB63" s="2951"/>
      <c r="AC63" s="2951"/>
      <c r="AD63" s="2951"/>
      <c r="AE63" s="2951"/>
    </row>
    <row r="64" spans="1:31" ht="21.75" thickBot="1">
      <c r="A64" s="702" t="s">
        <v>2493</v>
      </c>
      <c r="B64" s="698"/>
      <c r="C64" s="703"/>
      <c r="D64" s="703"/>
      <c r="E64" s="703"/>
      <c r="F64" s="704"/>
      <c r="G64" s="704"/>
      <c r="H64" s="703"/>
      <c r="I64" s="703"/>
      <c r="J64" s="703"/>
      <c r="K64" s="705"/>
      <c r="L64" s="706"/>
      <c r="M64" s="703"/>
      <c r="N64" s="703"/>
      <c r="O64" s="1070"/>
      <c r="P64" s="2995"/>
      <c r="Q64" s="2965"/>
      <c r="R64" s="2951"/>
      <c r="S64" s="2951"/>
      <c r="T64" s="2951"/>
      <c r="U64" s="2951"/>
      <c r="V64" s="2951"/>
      <c r="W64" s="2951"/>
      <c r="X64" s="2951"/>
      <c r="Y64" s="2951"/>
      <c r="Z64" s="2951"/>
      <c r="AA64" s="2951"/>
      <c r="AB64" s="2951"/>
      <c r="AC64" s="2951"/>
      <c r="AD64" s="2951"/>
      <c r="AE64" s="2951"/>
    </row>
    <row r="65" spans="1:31" s="464" customFormat="1" ht="15">
      <c r="A65" s="2172" t="s">
        <v>2601</v>
      </c>
      <c r="B65" s="1268"/>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2"/>
      <c r="Q65" s="2967"/>
      <c r="R65" s="2967"/>
      <c r="S65" s="2967"/>
      <c r="T65" s="2967"/>
      <c r="U65" s="2967"/>
      <c r="V65" s="2967"/>
      <c r="W65" s="2967"/>
      <c r="X65" s="2967"/>
      <c r="Y65" s="2967"/>
      <c r="Z65" s="2967"/>
      <c r="AA65" s="2967"/>
      <c r="AB65" s="2967"/>
      <c r="AC65" s="2967"/>
      <c r="AD65" s="2967"/>
      <c r="AE65" s="2967"/>
    </row>
    <row r="66" spans="1:31" s="112" customFormat="1" ht="30.75" customHeight="1">
      <c r="A66" s="2177" t="s">
        <v>2621</v>
      </c>
      <c r="B66" s="293" t="str">
        <f>"北京市平均增长率"&amp;TEXT(基准地价修正!P24,"0.00%")</f>
        <v>北京市平均增长率0.00%</v>
      </c>
      <c r="C66" s="559">
        <v>100</v>
      </c>
      <c r="D66" s="551"/>
      <c r="E66" s="551"/>
      <c r="F66" s="551"/>
      <c r="G66" s="551"/>
      <c r="H66" s="551"/>
      <c r="I66" s="551"/>
      <c r="J66" s="551"/>
      <c r="K66" s="551"/>
      <c r="L66" s="551"/>
      <c r="M66" s="1339"/>
      <c r="N66" s="1339"/>
      <c r="O66" s="1341"/>
      <c r="P66" s="2965"/>
      <c r="Q66" s="2885"/>
      <c r="R66" s="2885"/>
      <c r="S66" s="2885"/>
      <c r="T66" s="2885"/>
      <c r="U66" s="2885"/>
      <c r="V66" s="2885"/>
      <c r="W66" s="2885"/>
      <c r="X66" s="2885"/>
      <c r="Y66" s="2885"/>
      <c r="Z66" s="2885"/>
      <c r="AA66" s="2885"/>
      <c r="AB66" s="2885"/>
      <c r="AC66" s="2885"/>
      <c r="AD66" s="2885"/>
      <c r="AE66" s="2885"/>
    </row>
    <row r="67" spans="1:31" s="112" customFormat="1" ht="15.75" thickBot="1">
      <c r="A67" s="471" t="s">
        <v>2404</v>
      </c>
      <c r="B67" s="472"/>
      <c r="C67" s="473"/>
      <c r="D67" s="474"/>
      <c r="E67" s="474"/>
      <c r="F67" s="474"/>
      <c r="G67" s="474"/>
      <c r="H67" s="474"/>
      <c r="I67" s="474"/>
      <c r="J67" s="474"/>
      <c r="K67" s="474"/>
      <c r="L67" s="474"/>
      <c r="M67" s="475"/>
      <c r="N67" s="475"/>
      <c r="O67" s="476"/>
      <c r="P67" s="2965"/>
      <c r="Q67" s="2965"/>
      <c r="R67" s="2885"/>
      <c r="S67" s="2885"/>
      <c r="T67" s="2885"/>
      <c r="U67" s="2885"/>
      <c r="V67" s="2885"/>
      <c r="W67" s="2885"/>
      <c r="X67" s="2885"/>
      <c r="Y67" s="2885"/>
      <c r="Z67" s="2885"/>
      <c r="AA67" s="2885"/>
      <c r="AB67" s="2885"/>
      <c r="AC67" s="2885"/>
      <c r="AD67" s="2885"/>
      <c r="AE67" s="2885"/>
    </row>
    <row r="68" spans="1:31" s="112" customFormat="1" ht="15">
      <c r="A68" s="477" t="s">
        <v>2369</v>
      </c>
      <c r="B68" s="466"/>
      <c r="C68" s="478" t="s">
        <v>2471</v>
      </c>
      <c r="D68" s="479"/>
      <c r="E68" s="479"/>
      <c r="F68" s="479"/>
      <c r="G68" s="479"/>
      <c r="H68" s="479"/>
      <c r="I68" s="479"/>
      <c r="J68" s="479"/>
      <c r="K68" s="479"/>
      <c r="L68" s="480"/>
      <c r="M68" s="481"/>
      <c r="N68" s="2978"/>
      <c r="O68" s="2978"/>
      <c r="P68" s="3003"/>
      <c r="Q68" s="2965"/>
      <c r="R68" s="2885"/>
      <c r="S68" s="2885"/>
      <c r="T68" s="2885"/>
      <c r="U68" s="2885"/>
      <c r="V68" s="2885"/>
      <c r="W68" s="2885"/>
      <c r="X68" s="2885"/>
      <c r="Y68" s="2885"/>
      <c r="Z68" s="2885"/>
      <c r="AA68" s="2885"/>
      <c r="AB68" s="2885"/>
      <c r="AC68" s="2885"/>
      <c r="AD68" s="2885"/>
      <c r="AE68" s="2885"/>
    </row>
    <row r="69" spans="1:31" s="112" customFormat="1" ht="15.75" thickBot="1">
      <c r="A69" s="477"/>
      <c r="B69" s="466"/>
      <c r="C69" s="594">
        <v>100</v>
      </c>
      <c r="D69" s="468"/>
      <c r="E69" s="468"/>
      <c r="F69" s="468"/>
      <c r="G69" s="468"/>
      <c r="H69" s="468"/>
      <c r="I69" s="468"/>
      <c r="J69" s="468"/>
      <c r="K69" s="468"/>
      <c r="L69" s="468"/>
      <c r="M69" s="470"/>
      <c r="N69" s="2978"/>
      <c r="O69" s="2978"/>
      <c r="P69" s="2965"/>
      <c r="Q69" s="2965"/>
      <c r="R69" s="2885"/>
      <c r="S69" s="2885"/>
      <c r="T69" s="2885"/>
      <c r="U69" s="2885"/>
      <c r="V69" s="2885"/>
      <c r="W69" s="2885"/>
      <c r="X69" s="2885"/>
      <c r="Y69" s="2885"/>
      <c r="Z69" s="2885"/>
      <c r="AA69" s="2885"/>
      <c r="AB69" s="2885"/>
      <c r="AC69" s="2885"/>
      <c r="AD69" s="2885"/>
      <c r="AE69" s="2885"/>
    </row>
    <row r="70" spans="1:31">
      <c r="A70" s="483" t="s">
        <v>2407</v>
      </c>
      <c r="B70" s="484" t="s">
        <v>2373</v>
      </c>
      <c r="C70" s="486"/>
      <c r="D70" s="486"/>
      <c r="E70" s="486"/>
      <c r="F70" s="486"/>
      <c r="G70" s="486"/>
      <c r="H70" s="486"/>
      <c r="I70" s="486"/>
      <c r="J70" s="486"/>
      <c r="K70" s="487"/>
      <c r="L70" s="488"/>
      <c r="M70" s="489"/>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0"/>
      <c r="B71" s="491"/>
      <c r="C71" s="492"/>
      <c r="D71" s="492"/>
      <c r="E71" s="492"/>
      <c r="F71" s="492"/>
      <c r="G71" s="492"/>
      <c r="H71" s="492"/>
      <c r="I71" s="492"/>
      <c r="J71" s="492"/>
      <c r="K71" s="492"/>
      <c r="L71" s="492"/>
      <c r="M71" s="493"/>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0"/>
      <c r="B72" s="494" t="s">
        <v>2376</v>
      </c>
      <c r="C72" s="495"/>
      <c r="D72" s="495"/>
      <c r="E72" s="495"/>
      <c r="F72" s="495"/>
      <c r="G72" s="495"/>
      <c r="H72" s="495"/>
      <c r="I72" s="495"/>
      <c r="J72" s="495"/>
      <c r="K72" s="496"/>
      <c r="L72" s="497"/>
      <c r="M72" s="498"/>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0"/>
      <c r="B73" s="499"/>
      <c r="C73" s="500"/>
      <c r="D73" s="500"/>
      <c r="E73" s="500"/>
      <c r="F73" s="500"/>
      <c r="G73" s="500"/>
      <c r="H73" s="500"/>
      <c r="I73" s="500"/>
      <c r="J73" s="500"/>
      <c r="K73" s="500"/>
      <c r="L73" s="500"/>
      <c r="M73" s="501"/>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0"/>
      <c r="B74" s="502" t="s">
        <v>2377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0"/>
      <c r="B75" s="504"/>
      <c r="C75" s="505"/>
      <c r="D75" s="505"/>
      <c r="E75" s="505"/>
      <c r="F75" s="505"/>
      <c r="G75" s="505"/>
      <c r="H75" s="505"/>
      <c r="I75" s="505"/>
      <c r="J75" s="505"/>
      <c r="K75" s="506"/>
      <c r="L75" s="507"/>
      <c r="M75" s="508"/>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29" customFormat="1" ht="15.75" thickTop="1">
      <c r="A77" s="509"/>
      <c r="B77" s="494">
        <f>B12</f>
        <v>111</v>
      </c>
      <c r="C77" s="510"/>
      <c r="D77" s="510"/>
      <c r="E77" s="510"/>
      <c r="F77" s="510"/>
      <c r="G77" s="510"/>
      <c r="H77" s="511"/>
      <c r="I77" s="511"/>
      <c r="J77" s="511"/>
      <c r="K77" s="511"/>
      <c r="L77" s="512"/>
      <c r="M77" s="513"/>
      <c r="N77" s="2981"/>
      <c r="O77" s="2981"/>
      <c r="P77" s="3005"/>
      <c r="Q77" s="2972"/>
      <c r="R77" s="2973"/>
      <c r="S77" s="2973"/>
      <c r="T77" s="2973"/>
      <c r="U77" s="2973"/>
      <c r="V77" s="2973"/>
      <c r="W77" s="2973"/>
      <c r="X77" s="2973"/>
      <c r="Y77" s="2973"/>
      <c r="Z77" s="2973"/>
      <c r="AA77" s="2973"/>
      <c r="AB77" s="2973"/>
      <c r="AC77" s="2973"/>
      <c r="AD77" s="2973"/>
      <c r="AE77" s="2973"/>
    </row>
    <row r="78" spans="1:31" s="429" customFormat="1" ht="15.75" thickBot="1">
      <c r="A78" s="509"/>
      <c r="B78" s="499"/>
      <c r="C78" s="516"/>
      <c r="D78" s="492"/>
      <c r="E78" s="492"/>
      <c r="F78" s="492"/>
      <c r="G78" s="492"/>
      <c r="H78" s="492"/>
      <c r="I78" s="492"/>
      <c r="J78" s="492"/>
      <c r="K78" s="492"/>
      <c r="L78" s="492"/>
      <c r="M78" s="493"/>
      <c r="N78" s="2980"/>
      <c r="O78" s="2980"/>
      <c r="P78" s="3005"/>
      <c r="Q78" s="2972"/>
      <c r="R78" s="2973"/>
      <c r="S78" s="2973"/>
      <c r="T78" s="2973"/>
      <c r="U78" s="2973"/>
      <c r="V78" s="2973"/>
      <c r="W78" s="2973"/>
      <c r="X78" s="2973"/>
      <c r="Y78" s="2973"/>
      <c r="Z78" s="2973"/>
      <c r="AA78" s="2973"/>
      <c r="AB78" s="2973"/>
      <c r="AC78" s="2973"/>
      <c r="AD78" s="2973"/>
      <c r="AE78" s="2973"/>
    </row>
    <row r="79" spans="1:31" s="429" customFormat="1" ht="15.75" thickTop="1">
      <c r="A79" s="509"/>
      <c r="B79" s="494">
        <f>B13</f>
        <v>111</v>
      </c>
      <c r="C79" s="510"/>
      <c r="D79" s="510"/>
      <c r="E79" s="510"/>
      <c r="F79" s="510"/>
      <c r="G79" s="510"/>
      <c r="H79" s="511"/>
      <c r="I79" s="511"/>
      <c r="J79" s="511"/>
      <c r="K79" s="511"/>
      <c r="L79" s="512"/>
      <c r="M79" s="513"/>
      <c r="N79" s="2981"/>
      <c r="O79" s="2981"/>
      <c r="P79" s="2949"/>
      <c r="Q79" s="2975"/>
      <c r="R79" s="2973"/>
      <c r="S79" s="2973"/>
      <c r="T79" s="2973"/>
      <c r="U79" s="2973"/>
      <c r="V79" s="2973"/>
      <c r="W79" s="2973"/>
      <c r="X79" s="2973"/>
      <c r="Y79" s="2973"/>
      <c r="Z79" s="2973"/>
      <c r="AA79" s="2973"/>
      <c r="AB79" s="2973"/>
      <c r="AC79" s="2973"/>
      <c r="AD79" s="2973"/>
      <c r="AE79" s="2973"/>
    </row>
    <row r="80" spans="1:31" s="429" customFormat="1" ht="15.75" thickBot="1">
      <c r="A80" s="509"/>
      <c r="B80" s="499"/>
      <c r="C80" s="516"/>
      <c r="D80" s="516"/>
      <c r="E80" s="516"/>
      <c r="F80" s="516"/>
      <c r="G80" s="516"/>
      <c r="H80" s="518"/>
      <c r="I80" s="518"/>
      <c r="J80" s="518"/>
      <c r="K80" s="518"/>
      <c r="L80" s="518"/>
      <c r="M80" s="519"/>
      <c r="N80" s="2981"/>
      <c r="O80" s="2981"/>
      <c r="P80" s="3005"/>
      <c r="Q80" s="2972"/>
      <c r="R80" s="2973"/>
      <c r="S80" s="2973"/>
      <c r="T80" s="2973"/>
      <c r="U80" s="2973"/>
      <c r="V80" s="2973"/>
      <c r="W80" s="2973"/>
      <c r="X80" s="2973"/>
      <c r="Y80" s="2973"/>
      <c r="Z80" s="2973"/>
      <c r="AA80" s="2973"/>
      <c r="AB80" s="2973"/>
      <c r="AC80" s="2973"/>
      <c r="AD80" s="2973"/>
      <c r="AE80" s="2973"/>
    </row>
    <row r="81" spans="1:31" s="429" customFormat="1" ht="15.75" thickTop="1">
      <c r="A81" s="509"/>
      <c r="B81" s="502">
        <f>B14</f>
        <v>111</v>
      </c>
      <c r="C81" s="479"/>
      <c r="D81" s="479"/>
      <c r="E81" s="479"/>
      <c r="F81" s="479"/>
      <c r="G81" s="479"/>
      <c r="H81" s="520"/>
      <c r="I81" s="520"/>
      <c r="J81" s="520"/>
      <c r="K81" s="520"/>
      <c r="L81" s="521"/>
      <c r="M81" s="522"/>
      <c r="N81" s="2981"/>
      <c r="O81" s="2981"/>
      <c r="P81" s="3010"/>
      <c r="Q81" s="2972"/>
      <c r="R81" s="2973"/>
      <c r="S81" s="2973"/>
      <c r="T81" s="2973"/>
      <c r="U81" s="2973"/>
      <c r="V81" s="2973"/>
      <c r="W81" s="2973"/>
      <c r="X81" s="2973"/>
      <c r="Y81" s="2973"/>
      <c r="Z81" s="2973"/>
      <c r="AA81" s="2973"/>
      <c r="AB81" s="2973"/>
      <c r="AC81" s="2973"/>
      <c r="AD81" s="2973"/>
      <c r="AE81" s="2973"/>
    </row>
    <row r="82" spans="1:31" s="429" customFormat="1" ht="15.75" thickBot="1">
      <c r="A82" s="524"/>
      <c r="B82" s="525"/>
      <c r="C82" s="526"/>
      <c r="D82" s="526"/>
      <c r="E82" s="526"/>
      <c r="F82" s="526"/>
      <c r="G82" s="526"/>
      <c r="H82" s="527"/>
      <c r="I82" s="527"/>
      <c r="J82" s="527"/>
      <c r="K82" s="527"/>
      <c r="L82" s="527"/>
      <c r="M82" s="528"/>
      <c r="N82" s="2981"/>
      <c r="O82" s="2981"/>
      <c r="P82" s="3005"/>
      <c r="Q82" s="2972"/>
      <c r="R82" s="2973"/>
      <c r="S82" s="2973"/>
      <c r="T82" s="2973"/>
      <c r="U82" s="2973"/>
      <c r="V82" s="2973"/>
      <c r="W82" s="2973"/>
      <c r="X82" s="2973"/>
      <c r="Y82" s="2973"/>
      <c r="Z82" s="2973"/>
      <c r="AA82" s="2973"/>
      <c r="AB82" s="2973"/>
      <c r="AC82" s="2973"/>
      <c r="AD82" s="2973"/>
      <c r="AE82" s="2973"/>
    </row>
    <row r="83" spans="1:31">
      <c r="A83" s="483" t="s">
        <v>2378</v>
      </c>
      <c r="B83" s="484" t="s">
        <v>2524</v>
      </c>
      <c r="C83" s="529" t="s">
        <v>2416</v>
      </c>
      <c r="D83" s="529" t="s">
        <v>2417</v>
      </c>
      <c r="E83" s="529" t="s">
        <v>2418</v>
      </c>
      <c r="F83" s="529" t="s">
        <v>2419</v>
      </c>
      <c r="G83" s="529" t="s">
        <v>2420</v>
      </c>
      <c r="H83" s="485"/>
      <c r="I83" s="485"/>
      <c r="J83" s="485"/>
      <c r="K83" s="530"/>
      <c r="L83" s="531"/>
      <c r="M83" s="532"/>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0"/>
      <c r="B85" s="494" t="s">
        <v>2421</v>
      </c>
      <c r="C85" s="534" t="s">
        <v>2416</v>
      </c>
      <c r="D85" s="534" t="s">
        <v>2417</v>
      </c>
      <c r="E85" s="534" t="s">
        <v>2418</v>
      </c>
      <c r="F85" s="534" t="s">
        <v>2419</v>
      </c>
      <c r="G85" s="534" t="s">
        <v>2420</v>
      </c>
      <c r="H85" s="495"/>
      <c r="I85" s="495"/>
      <c r="J85" s="495"/>
      <c r="K85" s="496"/>
      <c r="L85" s="497"/>
      <c r="M85" s="498"/>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0"/>
      <c r="O86" s="2980"/>
      <c r="P86" s="3004"/>
      <c r="Q86" s="2965"/>
      <c r="R86" s="2951"/>
      <c r="S86" s="2951"/>
      <c r="T86" s="2951"/>
      <c r="U86" s="2951"/>
      <c r="V86" s="2951"/>
      <c r="W86" s="2951"/>
      <c r="X86" s="2951"/>
      <c r="Y86" s="2951"/>
      <c r="Z86" s="2951"/>
      <c r="AA86" s="2951"/>
      <c r="AB86" s="2951"/>
      <c r="AC86" s="2951"/>
      <c r="AD86" s="2951"/>
      <c r="AE86" s="2951"/>
    </row>
    <row r="87" spans="1:31" s="112" customFormat="1" ht="15.75" thickTop="1">
      <c r="A87" s="535"/>
      <c r="B87" s="494" t="s">
        <v>2604</v>
      </c>
      <c r="C87" s="529" t="s">
        <v>2416</v>
      </c>
      <c r="D87" s="529" t="s">
        <v>2417</v>
      </c>
      <c r="E87" s="529" t="s">
        <v>2418</v>
      </c>
      <c r="F87" s="529" t="s">
        <v>2419</v>
      </c>
      <c r="G87" s="529" t="s">
        <v>2420</v>
      </c>
      <c r="H87" s="534"/>
      <c r="I87" s="534"/>
      <c r="J87" s="534"/>
      <c r="K87" s="534"/>
      <c r="L87" s="653"/>
      <c r="M87" s="577"/>
      <c r="N87" s="2978"/>
      <c r="O87" s="2978"/>
      <c r="P87" s="3004"/>
      <c r="Q87" s="2965"/>
      <c r="R87" s="2885"/>
      <c r="S87" s="2885"/>
      <c r="T87" s="2885"/>
      <c r="U87" s="2885"/>
      <c r="V87" s="2885"/>
      <c r="W87" s="2885"/>
      <c r="X87" s="2885"/>
      <c r="Y87" s="2885"/>
      <c r="Z87" s="2885"/>
      <c r="AA87" s="2885"/>
      <c r="AB87" s="2885"/>
      <c r="AC87" s="2885"/>
      <c r="AD87" s="2885"/>
      <c r="AE87" s="2885"/>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80"/>
      <c r="O88" s="2980"/>
      <c r="P88" s="3004"/>
      <c r="Q88" s="2965"/>
      <c r="R88" s="2885"/>
      <c r="S88" s="2885"/>
      <c r="T88" s="2885"/>
      <c r="U88" s="2885"/>
      <c r="V88" s="2885"/>
      <c r="W88" s="2885"/>
      <c r="X88" s="2885"/>
      <c r="Y88" s="2885"/>
      <c r="Z88" s="2885"/>
      <c r="AA88" s="2885"/>
      <c r="AB88" s="2885"/>
      <c r="AC88" s="2885"/>
      <c r="AD88" s="2885"/>
      <c r="AE88" s="2885"/>
    </row>
    <row r="89" spans="1:31" s="112" customFormat="1" ht="27.75" thickTop="1">
      <c r="A89" s="535"/>
      <c r="B89" s="494" t="s">
        <v>2605</v>
      </c>
      <c r="C89" s="529" t="s">
        <v>2416</v>
      </c>
      <c r="D89" s="529" t="s">
        <v>2417</v>
      </c>
      <c r="E89" s="529" t="s">
        <v>2418</v>
      </c>
      <c r="F89" s="529" t="s">
        <v>2419</v>
      </c>
      <c r="G89" s="529" t="s">
        <v>2420</v>
      </c>
      <c r="H89" s="534"/>
      <c r="I89" s="534"/>
      <c r="J89" s="534"/>
      <c r="K89" s="534"/>
      <c r="L89" s="534"/>
      <c r="M89" s="577"/>
      <c r="N89" s="2978"/>
      <c r="O89" s="2978"/>
      <c r="P89" s="3004"/>
      <c r="Q89" s="2965"/>
      <c r="R89" s="2885"/>
      <c r="S89" s="2885"/>
      <c r="T89" s="2885"/>
      <c r="U89" s="2885"/>
      <c r="V89" s="2885"/>
      <c r="W89" s="2885"/>
      <c r="X89" s="2885"/>
      <c r="Y89" s="2885"/>
      <c r="Z89" s="2885"/>
      <c r="AA89" s="2885"/>
      <c r="AB89" s="2885"/>
      <c r="AC89" s="2885"/>
      <c r="AD89" s="2885"/>
      <c r="AE89" s="2885"/>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80"/>
      <c r="O90" s="2980"/>
      <c r="P90" s="3004"/>
      <c r="Q90" s="2965"/>
      <c r="R90" s="2885"/>
      <c r="S90" s="2885"/>
      <c r="T90" s="2885"/>
      <c r="U90" s="2885"/>
      <c r="V90" s="2885"/>
      <c r="W90" s="2885"/>
      <c r="X90" s="2885"/>
      <c r="Y90" s="2885"/>
      <c r="Z90" s="2885"/>
      <c r="AA90" s="2885"/>
      <c r="AB90" s="2885"/>
      <c r="AC90" s="2885"/>
      <c r="AD90" s="2885"/>
      <c r="AE90" s="2885"/>
    </row>
    <row r="91" spans="1:31" s="429" customFormat="1" ht="15.75" thickTop="1">
      <c r="A91" s="509"/>
      <c r="B91" s="494" t="s">
        <v>2473</v>
      </c>
      <c r="C91" s="529" t="s">
        <v>2416</v>
      </c>
      <c r="D91" s="529" t="s">
        <v>2417</v>
      </c>
      <c r="E91" s="529" t="s">
        <v>2418</v>
      </c>
      <c r="F91" s="529" t="s">
        <v>2419</v>
      </c>
      <c r="G91" s="529" t="s">
        <v>2420</v>
      </c>
      <c r="H91" s="556"/>
      <c r="I91" s="556"/>
      <c r="J91" s="556"/>
      <c r="K91" s="556"/>
      <c r="L91" s="557"/>
      <c r="M91" s="558"/>
      <c r="N91" s="2981"/>
      <c r="O91" s="2981"/>
      <c r="P91" s="3005"/>
      <c r="Q91" s="2972"/>
      <c r="R91" s="2973"/>
      <c r="S91" s="2973"/>
      <c r="T91" s="2973"/>
      <c r="U91" s="2973"/>
      <c r="V91" s="2973"/>
      <c r="W91" s="2973"/>
      <c r="X91" s="2973"/>
      <c r="Y91" s="2973"/>
      <c r="Z91" s="2973"/>
      <c r="AA91" s="2973"/>
      <c r="AB91" s="2973"/>
      <c r="AC91" s="2973"/>
      <c r="AD91" s="2973"/>
      <c r="AE91" s="297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1"/>
      <c r="O92" s="2981"/>
      <c r="P92" s="3005"/>
      <c r="Q92" s="2972"/>
      <c r="R92" s="2973"/>
      <c r="S92" s="2973"/>
      <c r="T92" s="2973"/>
      <c r="U92" s="2973"/>
      <c r="V92" s="2973"/>
      <c r="W92" s="2973"/>
      <c r="X92" s="2973"/>
      <c r="Y92" s="2973"/>
      <c r="Z92" s="2973"/>
      <c r="AA92" s="2973"/>
      <c r="AB92" s="2973"/>
      <c r="AC92" s="2973"/>
      <c r="AD92" s="2973"/>
      <c r="AE92" s="2973"/>
    </row>
    <row r="93" spans="1:31" s="429" customFormat="1" ht="15.75" thickTop="1">
      <c r="A93" s="509"/>
      <c r="B93" s="502" t="s">
        <v>2622</v>
      </c>
      <c r="C93" s="615" t="s">
        <v>2494</v>
      </c>
      <c r="D93" s="615" t="s">
        <v>2495</v>
      </c>
      <c r="E93" s="615" t="s">
        <v>2496</v>
      </c>
      <c r="F93" s="615" t="s">
        <v>2497</v>
      </c>
      <c r="G93" s="615" t="s">
        <v>2498</v>
      </c>
      <c r="H93" s="556"/>
      <c r="I93" s="556"/>
      <c r="J93" s="556"/>
      <c r="K93" s="556"/>
      <c r="L93" s="556"/>
      <c r="M93" s="558"/>
      <c r="N93" s="2981"/>
      <c r="O93" s="2981"/>
      <c r="P93" s="3005"/>
      <c r="Q93" s="2972"/>
      <c r="R93" s="2973"/>
      <c r="S93" s="2973"/>
      <c r="T93" s="2973"/>
      <c r="U93" s="2973"/>
      <c r="V93" s="2973"/>
      <c r="W93" s="2973"/>
      <c r="X93" s="2973"/>
      <c r="Y93" s="2973"/>
      <c r="Z93" s="2973"/>
      <c r="AA93" s="2973"/>
      <c r="AB93" s="2973"/>
      <c r="AC93" s="2973"/>
      <c r="AD93" s="2973"/>
      <c r="AE93" s="297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0"/>
      <c r="B95" s="494" t="str">
        <f>B27</f>
        <v>临街状况</v>
      </c>
      <c r="C95" s="495" t="s">
        <v>2606</v>
      </c>
      <c r="D95" s="495" t="s">
        <v>2607</v>
      </c>
      <c r="E95" s="495" t="s">
        <v>2608</v>
      </c>
      <c r="F95" s="495" t="s">
        <v>2609</v>
      </c>
      <c r="G95" s="495"/>
      <c r="H95" s="495"/>
      <c r="I95" s="495"/>
      <c r="J95" s="495"/>
      <c r="K95" s="496"/>
      <c r="L95" s="497"/>
      <c r="M95" s="498"/>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0"/>
      <c r="B97" s="494" t="s">
        <v>2510</v>
      </c>
      <c r="C97" s="510"/>
      <c r="D97" s="510"/>
      <c r="E97" s="510"/>
      <c r="F97" s="510"/>
      <c r="G97" s="510"/>
      <c r="H97" s="539"/>
      <c r="I97" s="539"/>
      <c r="J97" s="539"/>
      <c r="K97" s="540"/>
      <c r="L97" s="541"/>
      <c r="M97" s="542"/>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0"/>
      <c r="B99" s="494" t="s">
        <v>2569</v>
      </c>
      <c r="C99" s="539"/>
      <c r="D99" s="539"/>
      <c r="E99" s="539"/>
      <c r="F99" s="539"/>
      <c r="G99" s="539"/>
      <c r="H99" s="539"/>
      <c r="I99" s="539"/>
      <c r="J99" s="539"/>
      <c r="K99" s="540"/>
      <c r="L99" s="541"/>
      <c r="M99" s="542"/>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0"/>
      <c r="B101" s="502">
        <f>B31</f>
        <v>111</v>
      </c>
      <c r="C101" s="510"/>
      <c r="D101" s="510"/>
      <c r="E101" s="510"/>
      <c r="F101" s="510"/>
      <c r="G101" s="543"/>
      <c r="H101" s="543"/>
      <c r="I101" s="543"/>
      <c r="J101" s="543"/>
      <c r="K101" s="544"/>
      <c r="L101" s="545"/>
      <c r="M101" s="546"/>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0"/>
      <c r="B102" s="525"/>
      <c r="C102" s="516"/>
      <c r="D102" s="492"/>
      <c r="E102" s="492"/>
      <c r="F102" s="492"/>
      <c r="G102" s="547"/>
      <c r="H102" s="547"/>
      <c r="I102" s="547"/>
      <c r="J102" s="547"/>
      <c r="K102" s="547"/>
      <c r="L102" s="547"/>
      <c r="M102" s="548"/>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0"/>
      <c r="B103" s="494">
        <f>B32</f>
        <v>111</v>
      </c>
      <c r="C103" s="510"/>
      <c r="D103" s="510"/>
      <c r="E103" s="510"/>
      <c r="F103" s="510"/>
      <c r="G103" s="539"/>
      <c r="H103" s="539"/>
      <c r="I103" s="539"/>
      <c r="J103" s="539"/>
      <c r="K103" s="540"/>
      <c r="L103" s="541"/>
      <c r="M103" s="542"/>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0"/>
      <c r="B104" s="499"/>
      <c r="C104" s="516"/>
      <c r="D104" s="516"/>
      <c r="E104" s="516"/>
      <c r="F104" s="516"/>
      <c r="G104" s="492"/>
      <c r="H104" s="492"/>
      <c r="I104" s="492"/>
      <c r="J104" s="492"/>
      <c r="K104" s="492"/>
      <c r="L104" s="492"/>
      <c r="M104" s="493"/>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29" customFormat="1" ht="15" thickTop="1">
      <c r="A105" s="549"/>
      <c r="B105" s="550">
        <f>B33</f>
        <v>111</v>
      </c>
      <c r="C105" s="479"/>
      <c r="D105" s="479"/>
      <c r="E105" s="479"/>
      <c r="F105" s="479"/>
      <c r="G105" s="551"/>
      <c r="H105" s="551"/>
      <c r="I105" s="551"/>
      <c r="J105" s="552"/>
      <c r="K105" s="552"/>
      <c r="L105" s="553"/>
      <c r="M105" s="554"/>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29" customFormat="1" ht="15.75" thickBot="1">
      <c r="A106" s="509"/>
      <c r="B106" s="502"/>
      <c r="C106" s="526"/>
      <c r="D106" s="526"/>
      <c r="E106" s="526"/>
      <c r="F106" s="526"/>
      <c r="G106" s="632"/>
      <c r="H106" s="632"/>
      <c r="I106" s="632"/>
      <c r="J106" s="632"/>
      <c r="K106" s="632"/>
      <c r="L106" s="632"/>
      <c r="M106" s="654"/>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3" t="s">
        <v>2382</v>
      </c>
      <c r="B107" s="484" t="s">
        <v>2610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0"/>
      <c r="B108" s="502"/>
      <c r="C108" s="551"/>
      <c r="D108" s="551"/>
      <c r="E108" s="551"/>
      <c r="F108" s="551"/>
      <c r="G108" s="551"/>
      <c r="H108" s="551"/>
      <c r="I108" s="551"/>
      <c r="J108" s="552"/>
      <c r="K108" s="552"/>
      <c r="L108" s="553"/>
      <c r="M108" s="554"/>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0"/>
      <c r="B109" s="499"/>
      <c r="C109" s="526"/>
      <c r="D109" s="547"/>
      <c r="E109" s="547"/>
      <c r="F109" s="547"/>
      <c r="G109" s="547"/>
      <c r="H109" s="547"/>
      <c r="I109" s="547"/>
      <c r="J109" s="547"/>
      <c r="K109" s="547"/>
      <c r="L109" s="547"/>
      <c r="M109" s="548"/>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5"/>
      <c r="B110" s="494" t="s">
        <v>2611</v>
      </c>
      <c r="C110" s="539"/>
      <c r="D110" s="539"/>
      <c r="E110" s="539"/>
      <c r="F110" s="539"/>
      <c r="G110" s="539"/>
      <c r="H110" s="539"/>
      <c r="I110" s="539"/>
      <c r="J110" s="539"/>
      <c r="K110" s="540"/>
      <c r="L110" s="541"/>
      <c r="M110" s="542"/>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29" customFormat="1" ht="15" thickTop="1">
      <c r="A112" s="549"/>
      <c r="B112" s="494" t="s">
        <v>2613</v>
      </c>
      <c r="C112" s="510"/>
      <c r="D112" s="510"/>
      <c r="E112" s="510"/>
      <c r="F112" s="510"/>
      <c r="G112" s="510"/>
      <c r="H112" s="539"/>
      <c r="I112" s="539"/>
      <c r="J112" s="539"/>
      <c r="K112" s="540"/>
      <c r="L112" s="541"/>
      <c r="M112" s="542"/>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5"/>
      <c r="B114" s="494" t="s">
        <v>2614</v>
      </c>
      <c r="C114" s="510"/>
      <c r="D114" s="510"/>
      <c r="E114" s="539"/>
      <c r="F114" s="539"/>
      <c r="G114" s="539"/>
      <c r="H114" s="539"/>
      <c r="I114" s="539"/>
      <c r="J114" s="539"/>
      <c r="K114" s="540"/>
      <c r="L114" s="541"/>
      <c r="M114" s="542"/>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5"/>
      <c r="B116" s="494">
        <f>B38</f>
        <v>111</v>
      </c>
      <c r="C116" s="510"/>
      <c r="D116" s="510"/>
      <c r="E116" s="510"/>
      <c r="F116" s="510"/>
      <c r="G116" s="510"/>
      <c r="H116" s="539"/>
      <c r="I116" s="539"/>
      <c r="J116" s="539"/>
      <c r="K116" s="540"/>
      <c r="L116" s="541"/>
      <c r="M116" s="542"/>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0"/>
      <c r="B117" s="499"/>
      <c r="C117" s="516"/>
      <c r="D117" s="492"/>
      <c r="E117" s="492"/>
      <c r="F117" s="492"/>
      <c r="G117" s="492"/>
      <c r="H117" s="492"/>
      <c r="I117" s="492"/>
      <c r="J117" s="492"/>
      <c r="K117" s="492"/>
      <c r="L117" s="492"/>
      <c r="M117" s="493"/>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5"/>
      <c r="B118" s="494">
        <f>B39</f>
        <v>111</v>
      </c>
      <c r="C118" s="510"/>
      <c r="D118" s="510"/>
      <c r="E118" s="510"/>
      <c r="F118" s="510"/>
      <c r="G118" s="539"/>
      <c r="H118" s="539"/>
      <c r="I118" s="539"/>
      <c r="J118" s="539"/>
      <c r="K118" s="540"/>
      <c r="L118" s="541"/>
      <c r="M118" s="542"/>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0"/>
      <c r="B119" s="499"/>
      <c r="C119" s="516"/>
      <c r="D119" s="516"/>
      <c r="E119" s="516"/>
      <c r="F119" s="516"/>
      <c r="G119" s="492"/>
      <c r="H119" s="492"/>
      <c r="I119" s="492"/>
      <c r="J119" s="492"/>
      <c r="K119" s="492"/>
      <c r="L119" s="492"/>
      <c r="M119" s="493"/>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29" customFormat="1" ht="15" thickTop="1">
      <c r="A120" s="549"/>
      <c r="B120" s="494">
        <f>B40</f>
        <v>111</v>
      </c>
      <c r="C120" s="479"/>
      <c r="D120" s="479"/>
      <c r="E120" s="479"/>
      <c r="F120" s="479"/>
      <c r="G120" s="511"/>
      <c r="H120" s="511"/>
      <c r="I120" s="511"/>
      <c r="J120" s="511"/>
      <c r="K120" s="511"/>
      <c r="L120" s="512"/>
      <c r="M120" s="513"/>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29" customFormat="1" ht="15.75" thickBot="1">
      <c r="A121" s="524"/>
      <c r="B121" s="655"/>
      <c r="C121" s="526"/>
      <c r="D121" s="526"/>
      <c r="E121" s="526"/>
      <c r="F121" s="526"/>
      <c r="G121" s="547"/>
      <c r="H121" s="547"/>
      <c r="I121" s="547"/>
      <c r="J121" s="547"/>
      <c r="K121" s="547"/>
      <c r="L121" s="547"/>
      <c r="M121" s="548"/>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81" customWidth="1"/>
    <col min="33" max="36" width="9.375" style="2247" customWidth="1"/>
    <col min="37" max="38" width="9.375" style="2181" customWidth="1"/>
    <col min="39" max="16384" width="12" style="2181"/>
  </cols>
  <sheetData>
    <row r="1" spans="1:36" ht="28.5">
      <c r="A1" s="201" t="s">
        <v>2623</v>
      </c>
      <c r="B1" s="202"/>
      <c r="C1" s="206" t="s">
        <v>2624</v>
      </c>
      <c r="D1" s="347">
        <f>SUM(D29:D30,D33:D39)</f>
        <v>0</v>
      </c>
      <c r="E1" s="2178"/>
      <c r="F1" s="2178"/>
      <c r="G1" s="2178"/>
      <c r="H1" s="2178"/>
      <c r="I1" s="2178"/>
      <c r="J1" s="2178"/>
      <c r="K1" s="1279"/>
      <c r="L1" s="2179" t="s">
        <v>2625</v>
      </c>
      <c r="M1" s="993">
        <f>SUMPRODUCT((区片价!B5:B9=I2)*(区片价!C3:F3=E2)*(区片价!C5:F9))</f>
        <v>0</v>
      </c>
      <c r="N1" s="996">
        <f>SUMPRODUCT((因素修正幅度!B5:B9=I2)*(因素修正幅度!C3:F3=E2)*(因素修正幅度!C5:F9))</f>
        <v>0</v>
      </c>
      <c r="O1" s="2180"/>
      <c r="P1" s="2180"/>
      <c r="Q1" s="1279"/>
      <c r="R1" s="1373" t="s">
        <v>2626</v>
      </c>
      <c r="S1" s="1373" t="s">
        <v>2627</v>
      </c>
      <c r="T1" s="1373" t="s">
        <v>2628</v>
      </c>
      <c r="U1" s="1373" t="s">
        <v>2629</v>
      </c>
      <c r="V1" s="1373" t="s">
        <v>2630</v>
      </c>
      <c r="W1" s="1377"/>
      <c r="X1" s="1377"/>
      <c r="Y1" s="1377"/>
      <c r="Z1" s="1377"/>
      <c r="AA1" s="1377"/>
      <c r="AB1" s="1377"/>
      <c r="AC1" s="1378"/>
      <c r="AD1" s="1379"/>
      <c r="AE1" s="1379"/>
      <c r="AF1" s="1379"/>
      <c r="AG1" s="1379"/>
      <c r="AH1" s="1379"/>
      <c r="AI1" s="1379"/>
      <c r="AJ1" s="1380"/>
    </row>
    <row r="2" spans="1:36" ht="15.75">
      <c r="A2" s="206" t="s">
        <v>2631</v>
      </c>
      <c r="B2" s="209" t="e">
        <f>C26</f>
        <v>#DIV/0!</v>
      </c>
      <c r="C2" s="2182" t="s">
        <v>2632</v>
      </c>
      <c r="D2" s="2183" t="s">
        <v>2633</v>
      </c>
      <c r="E2" s="2184"/>
      <c r="F2" s="2183" t="s">
        <v>2634</v>
      </c>
      <c r="G2" s="2185">
        <f>IF(E2="商业",项目基本情况!B37,IF(E2="办公",项目基本情况!C37,IF(E2="住宅",项目基本情况!D37,项目基本情况!E37)))</f>
        <v>0</v>
      </c>
      <c r="H2" s="2183" t="s">
        <v>2635</v>
      </c>
      <c r="I2" s="2185">
        <f>IF(E2="商业",项目基本情况!B38,IF(E2="办公",项目基本情况!C38,IF(E2="住宅",项目基本情况!D38,项目基本情况!E38)))</f>
        <v>0</v>
      </c>
      <c r="J2" s="2186"/>
      <c r="K2" s="1279"/>
      <c r="L2" s="2187" t="s">
        <v>2636</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8" t="s">
        <v>2637</v>
      </c>
      <c r="B3" s="209" t="e">
        <f>ROUND(B2*10000/D1,0)</f>
        <v>#DIV/0!</v>
      </c>
      <c r="C3" s="2182" t="s">
        <v>2638</v>
      </c>
      <c r="D3" s="2183" t="s">
        <v>2639</v>
      </c>
      <c r="E3" s="2188"/>
      <c r="F3" s="2189" t="s">
        <v>2640</v>
      </c>
      <c r="G3" s="854">
        <f>IF(F3="宗地容积率",'数据-汇总表'!I4,IF(F3="估价对象容积率",'数据-汇总表'!I6,'数据-汇总表'!I7))</f>
        <v>2.5</v>
      </c>
      <c r="H3" s="174" t="s">
        <v>2641</v>
      </c>
      <c r="I3" s="880"/>
      <c r="J3" s="2186" t="s">
        <v>2642</v>
      </c>
      <c r="K3" s="1279"/>
      <c r="L3" s="2187" t="s">
        <v>2643</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95"/>
      <c r="B4" s="3396"/>
      <c r="C4" s="3396"/>
      <c r="D4" s="3397"/>
      <c r="E4" s="3397"/>
      <c r="F4" s="3397"/>
      <c r="G4" s="3397"/>
      <c r="H4" s="3397"/>
      <c r="I4" s="3397"/>
      <c r="J4" s="3398"/>
      <c r="K4" s="1279"/>
      <c r="L4" s="2187" t="s">
        <v>2644</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9" customFormat="1" ht="15.75" thickBot="1">
      <c r="A5" s="2190" t="s">
        <v>807</v>
      </c>
      <c r="B5" s="2191" t="s">
        <v>2645</v>
      </c>
      <c r="C5" s="855" t="e">
        <f>ROUND(IF(E2="商业",C6*C7+C16,(IF(E2="住宅",C6*C12+C16,C6+C16))),0)</f>
        <v>#DIV/0!</v>
      </c>
      <c r="D5" s="1522" t="e">
        <f>ROUND(C6+C16,0)</f>
        <v>#DIV/0!</v>
      </c>
      <c r="E5" s="1522"/>
      <c r="F5" s="2192"/>
      <c r="G5" s="2193"/>
      <c r="H5" s="2193"/>
      <c r="I5" s="2193"/>
      <c r="J5" s="2194"/>
      <c r="K5" s="2195"/>
      <c r="L5" s="2187" t="s">
        <v>2646</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6"/>
      <c r="AD5" s="2197"/>
      <c r="AE5" s="2197"/>
      <c r="AF5" s="2197"/>
      <c r="AG5" s="2197"/>
      <c r="AH5" s="2197"/>
      <c r="AI5" s="2197"/>
      <c r="AJ5" s="2198"/>
    </row>
    <row r="6" spans="1:36" ht="15.75" thickBot="1">
      <c r="A6" s="2200" t="s">
        <v>2647</v>
      </c>
      <c r="B6" s="2201" t="s">
        <v>2648</v>
      </c>
      <c r="C6" s="856">
        <f>SUMIF(L1:L12,G2,M1:M12)</f>
        <v>0</v>
      </c>
      <c r="D6" s="2202" t="s">
        <v>2649</v>
      </c>
      <c r="E6" s="2203"/>
      <c r="F6" s="2203"/>
      <c r="G6" s="2204"/>
      <c r="H6" s="2204"/>
      <c r="I6" s="2204"/>
      <c r="J6" s="2205"/>
      <c r="K6" s="1567"/>
      <c r="L6" s="2187" t="s">
        <v>2650</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6"/>
      <c r="AD6" s="2197"/>
      <c r="AE6" s="2197"/>
      <c r="AF6" s="2197"/>
      <c r="AG6" s="2197"/>
      <c r="AH6" s="2197"/>
      <c r="AI6" s="2197"/>
      <c r="AJ6" s="2198"/>
    </row>
    <row r="7" spans="1:36" ht="24">
      <c r="A7" s="3399" t="str">
        <f>IF(E2="商业",IF(C8="不临58条商业街","",2),"")</f>
        <v/>
      </c>
      <c r="B7" s="2206" t="s">
        <v>2651</v>
      </c>
      <c r="C7" s="857" t="e">
        <f>IF(C8="不临58条商业街",1,ROUND(1+(1.6*E8+1.2*E9+0.8*E10+0.4*E11)*C9,4))</f>
        <v>#DIV/0!</v>
      </c>
      <c r="D7" s="2207" t="s">
        <v>2652</v>
      </c>
      <c r="E7" s="881"/>
      <c r="F7" s="2208"/>
      <c r="G7" s="2209"/>
      <c r="H7" s="2209"/>
      <c r="I7" s="2209"/>
      <c r="J7" s="2210"/>
      <c r="K7" s="1567"/>
      <c r="L7" s="2187" t="s">
        <v>2653</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2654</v>
      </c>
      <c r="X7" s="1375">
        <f>G2</f>
        <v>0</v>
      </c>
      <c r="Y7" s="1375" t="s">
        <v>2655</v>
      </c>
      <c r="Z7" s="1376">
        <f>G3</f>
        <v>2.5</v>
      </c>
      <c r="AA7" s="1377"/>
      <c r="AB7" s="1377"/>
      <c r="AC7" s="1378"/>
      <c r="AD7" s="1379"/>
      <c r="AE7" s="1379"/>
      <c r="AF7" s="1379"/>
      <c r="AG7" s="1379"/>
      <c r="AH7" s="1379"/>
      <c r="AI7" s="1379"/>
      <c r="AJ7" s="1380"/>
    </row>
    <row r="8" spans="1:36" ht="15">
      <c r="A8" s="3400"/>
      <c r="B8" s="174" t="s">
        <v>2656</v>
      </c>
      <c r="C8" s="2211"/>
      <c r="D8" s="858" t="s">
        <v>139</v>
      </c>
      <c r="E8" s="859" t="e">
        <f>ROUND(C11/E7,4)</f>
        <v>#DIV/0!</v>
      </c>
      <c r="F8" s="2212" t="s">
        <v>2657</v>
      </c>
      <c r="G8" s="2213"/>
      <c r="H8" s="2213"/>
      <c r="I8" s="2213"/>
      <c r="J8" s="2214"/>
      <c r="K8" s="1279"/>
      <c r="L8" s="2187" t="s">
        <v>2658</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92" t="s">
        <v>2659</v>
      </c>
      <c r="X8" s="3393"/>
      <c r="Y8" s="1381" t="s">
        <v>2660</v>
      </c>
      <c r="Z8" s="1381" t="s">
        <v>2661</v>
      </c>
      <c r="AA8" s="1381" t="s">
        <v>2662</v>
      </c>
      <c r="AB8" s="1381" t="s">
        <v>2663</v>
      </c>
      <c r="AC8" s="1381" t="s">
        <v>2664</v>
      </c>
      <c r="AD8" s="1381" t="s">
        <v>2665</v>
      </c>
      <c r="AE8" s="1381" t="s">
        <v>2666</v>
      </c>
      <c r="AF8" s="1381" t="s">
        <v>2667</v>
      </c>
      <c r="AG8" s="1381" t="s">
        <v>2668</v>
      </c>
      <c r="AH8" s="1381" t="s">
        <v>2669</v>
      </c>
      <c r="AI8" s="1381" t="s">
        <v>2670</v>
      </c>
      <c r="AJ8" s="1381" t="s">
        <v>2671</v>
      </c>
    </row>
    <row r="9" spans="1:36" ht="15">
      <c r="A9" s="3400"/>
      <c r="B9" s="174" t="s">
        <v>2672</v>
      </c>
      <c r="C9" s="860">
        <f>SUMIF(修正!C59:C119,C8,修正!E59:E119)</f>
        <v>0</v>
      </c>
      <c r="D9" s="175" t="s">
        <v>140</v>
      </c>
      <c r="E9" s="175" t="e">
        <f>ROUND(C11/E7,4)</f>
        <v>#DIV/0!</v>
      </c>
      <c r="F9" s="2212" t="s">
        <v>2673</v>
      </c>
      <c r="G9" s="2213"/>
      <c r="H9" s="2213"/>
      <c r="I9" s="2213"/>
      <c r="J9" s="2214"/>
      <c r="K9" s="1279"/>
      <c r="L9" s="2187" t="s">
        <v>2674</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94" t="s">
        <v>2675</v>
      </c>
      <c r="X9" s="1382" t="s">
        <v>2676</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00"/>
      <c r="B10" s="174" t="s">
        <v>2677</v>
      </c>
      <c r="C10" s="175">
        <f>SUMIF(修正!C59:C119,C8,修正!F59:F119)</f>
        <v>0</v>
      </c>
      <c r="D10" s="175" t="s">
        <v>141</v>
      </c>
      <c r="E10" s="175" t="e">
        <f>ROUND(C11/E7,4)</f>
        <v>#DIV/0!</v>
      </c>
      <c r="F10" s="2212" t="s">
        <v>2678</v>
      </c>
      <c r="G10" s="2213"/>
      <c r="H10" s="2213"/>
      <c r="I10" s="2213"/>
      <c r="J10" s="2214"/>
      <c r="K10" s="1279"/>
      <c r="L10" s="2187" t="s">
        <v>2679</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94"/>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00"/>
      <c r="B11" s="2215" t="s">
        <v>2680</v>
      </c>
      <c r="C11" s="861">
        <f>C10/4</f>
        <v>0</v>
      </c>
      <c r="D11" s="861" t="s">
        <v>142</v>
      </c>
      <c r="E11" s="861" t="e">
        <f>ROUND(C11/E7,4)</f>
        <v>#DIV/0!</v>
      </c>
      <c r="F11" s="2216" t="s">
        <v>2681</v>
      </c>
      <c r="G11" s="2217"/>
      <c r="H11" s="2217"/>
      <c r="I11" s="2217"/>
      <c r="J11" s="2218"/>
      <c r="K11" s="1279"/>
      <c r="L11" s="2187" t="s">
        <v>2682</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94" t="s">
        <v>2683</v>
      </c>
      <c r="X11" s="1385" t="s">
        <v>2684</v>
      </c>
      <c r="Y11" s="1386">
        <f>$G$3</f>
        <v>2.5</v>
      </c>
      <c r="Z11" s="1386">
        <f t="shared" ref="Z11:AJ11" si="3">$G$3</f>
        <v>2.5</v>
      </c>
      <c r="AA11" s="1386">
        <f t="shared" si="3"/>
        <v>2.5</v>
      </c>
      <c r="AB11" s="1386">
        <f t="shared" si="3"/>
        <v>2.5</v>
      </c>
      <c r="AC11" s="1386">
        <f t="shared" si="3"/>
        <v>2.5</v>
      </c>
      <c r="AD11" s="1386">
        <f t="shared" si="3"/>
        <v>2.5</v>
      </c>
      <c r="AE11" s="1386">
        <f t="shared" si="3"/>
        <v>2.5</v>
      </c>
      <c r="AF11" s="1386">
        <f t="shared" si="3"/>
        <v>2.5</v>
      </c>
      <c r="AG11" s="1386">
        <f t="shared" si="3"/>
        <v>2.5</v>
      </c>
      <c r="AH11" s="1386">
        <f t="shared" si="3"/>
        <v>2.5</v>
      </c>
      <c r="AI11" s="1386">
        <f t="shared" si="3"/>
        <v>2.5</v>
      </c>
      <c r="AJ11" s="1386">
        <f t="shared" si="3"/>
        <v>2.5</v>
      </c>
    </row>
    <row r="12" spans="1:36" ht="25.5" thickBot="1">
      <c r="A12" s="3399" t="s">
        <v>2685</v>
      </c>
      <c r="B12" s="2219" t="s">
        <v>2686</v>
      </c>
      <c r="C12" s="857">
        <f>ROUND(C15*D15*E15*F15*G15*H15*I15*J15,4)</f>
        <v>1</v>
      </c>
      <c r="D12" s="2220" t="s">
        <v>2687</v>
      </c>
      <c r="E12" s="2221"/>
      <c r="F12" s="2221"/>
      <c r="G12" s="2222"/>
      <c r="H12" s="2222"/>
      <c r="I12" s="2222"/>
      <c r="J12" s="2223"/>
      <c r="K12" s="1279"/>
      <c r="L12" s="2224" t="s">
        <v>2688</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94"/>
      <c r="X12" s="1387" t="s">
        <v>2689</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01"/>
      <c r="B13" s="2225" t="s">
        <v>2690</v>
      </c>
      <c r="C13" s="2226" t="s">
        <v>2691</v>
      </c>
      <c r="D13" s="1533" t="s">
        <v>2692</v>
      </c>
      <c r="E13" s="1533" t="s">
        <v>2693</v>
      </c>
      <c r="F13" s="30" t="s">
        <v>2694</v>
      </c>
      <c r="G13" s="2227" t="s">
        <v>2695</v>
      </c>
      <c r="H13" s="2227" t="s">
        <v>2695</v>
      </c>
      <c r="I13" s="2227" t="s">
        <v>2695</v>
      </c>
      <c r="J13" s="2228" t="s">
        <v>2695</v>
      </c>
      <c r="K13" s="1279"/>
      <c r="L13" s="1279"/>
      <c r="M13" s="1279"/>
      <c r="N13" s="1279"/>
      <c r="O13" s="1279"/>
      <c r="P13" s="1279"/>
      <c r="Q13" s="1279"/>
      <c r="R13" s="1373">
        <v>12</v>
      </c>
      <c r="S13" s="1374"/>
      <c r="T13" s="1373" t="e">
        <f t="shared" si="0"/>
        <v>#DIV/0!</v>
      </c>
      <c r="U13" s="1374"/>
      <c r="V13" s="1373" t="e">
        <f t="shared" si="1"/>
        <v>#DIV/0!</v>
      </c>
      <c r="W13" s="3394"/>
      <c r="X13" s="1387"/>
      <c r="Y13" s="1384">
        <f>(-0.163*(Y12^2)-0.59*Y12+7617)*(10^(-4))/Y11</f>
        <v>0.30468000000000001</v>
      </c>
      <c r="Z13" s="1384">
        <f t="shared" ref="Z13:AJ13" si="5">(-0.163*(Z12^2)-0.59*Z12+7617)*(10^(-4))/Z11</f>
        <v>0.30468000000000001</v>
      </c>
      <c r="AA13" s="1384">
        <f t="shared" si="5"/>
        <v>0.30468000000000001</v>
      </c>
      <c r="AB13" s="1384">
        <f t="shared" si="5"/>
        <v>0.30468000000000001</v>
      </c>
      <c r="AC13" s="1384">
        <f t="shared" si="5"/>
        <v>0.30468000000000001</v>
      </c>
      <c r="AD13" s="1384">
        <f t="shared" si="5"/>
        <v>0.30468000000000001</v>
      </c>
      <c r="AE13" s="1384">
        <f t="shared" si="5"/>
        <v>0.30468000000000001</v>
      </c>
      <c r="AF13" s="1384">
        <f t="shared" si="5"/>
        <v>0.30468000000000001</v>
      </c>
      <c r="AG13" s="1384">
        <f t="shared" si="5"/>
        <v>0.30468000000000001</v>
      </c>
      <c r="AH13" s="1384">
        <f t="shared" si="5"/>
        <v>0.30468000000000001</v>
      </c>
      <c r="AI13" s="1384">
        <f t="shared" si="5"/>
        <v>0.30468000000000001</v>
      </c>
      <c r="AJ13" s="1384">
        <f t="shared" si="5"/>
        <v>0.30468000000000001</v>
      </c>
    </row>
    <row r="14" spans="1:36" ht="15">
      <c r="A14" s="3401"/>
      <c r="B14" s="2229"/>
      <c r="C14" s="2230"/>
      <c r="D14" s="2231"/>
      <c r="E14" s="2231"/>
      <c r="F14" s="2232"/>
      <c r="G14" s="2233" t="s">
        <v>2696</v>
      </c>
      <c r="H14" s="2234"/>
      <c r="I14" s="2235"/>
      <c r="J14" s="2236"/>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7"/>
      <c r="AE14" s="3017"/>
      <c r="AF14" s="3017"/>
      <c r="AG14" s="3017"/>
      <c r="AH14" s="3017"/>
      <c r="AI14" s="3017"/>
      <c r="AJ14" s="3018"/>
    </row>
    <row r="15" spans="1:36" ht="15.75" thickBot="1">
      <c r="A15" s="3402"/>
      <c r="B15" s="2237" t="s">
        <v>2697</v>
      </c>
      <c r="C15" s="192">
        <f>IF(C14="有",1.1,1)</f>
        <v>1</v>
      </c>
      <c r="D15" s="192">
        <f>IF(D14="有",1.1,1)</f>
        <v>1</v>
      </c>
      <c r="E15" s="192">
        <f>IF(E14="有",1.1,1)</f>
        <v>1</v>
      </c>
      <c r="F15" s="192">
        <f>IF(F14="500米范围内",1.2,IF(F14="500-1000米",1.1,1))</f>
        <v>1</v>
      </c>
      <c r="G15" s="882">
        <v>1</v>
      </c>
      <c r="H15" s="882">
        <v>1</v>
      </c>
      <c r="I15" s="882">
        <v>1</v>
      </c>
      <c r="J15" s="883">
        <v>1</v>
      </c>
      <c r="K15" s="1279"/>
      <c r="L15" s="2180"/>
      <c r="M15" s="2180"/>
      <c r="N15" s="2180"/>
      <c r="O15" s="2180"/>
      <c r="P15" s="2180"/>
      <c r="Q15" s="1279"/>
      <c r="R15" s="1373">
        <v>14</v>
      </c>
      <c r="S15" s="1374"/>
      <c r="T15" s="1373" t="e">
        <f t="shared" si="0"/>
        <v>#DIV/0!</v>
      </c>
      <c r="U15" s="1374"/>
      <c r="V15" s="1373" t="e">
        <f t="shared" si="1"/>
        <v>#DIV/0!</v>
      </c>
      <c r="W15" s="1377"/>
      <c r="X15" s="1377"/>
      <c r="Y15" s="1377"/>
      <c r="Z15" s="1377"/>
      <c r="AA15" s="1377"/>
      <c r="AB15" s="1377"/>
      <c r="AC15" s="1378"/>
      <c r="AD15" s="3017"/>
      <c r="AE15" s="3017"/>
      <c r="AF15" s="3017"/>
      <c r="AG15" s="3017"/>
      <c r="AH15" s="3017"/>
      <c r="AI15" s="3017"/>
      <c r="AJ15" s="3018"/>
    </row>
    <row r="16" spans="1:36" ht="24.6" customHeight="1">
      <c r="A16" s="3399" t="s">
        <v>2702</v>
      </c>
      <c r="B16" s="2206" t="s">
        <v>2703</v>
      </c>
      <c r="C16" s="2368" t="e">
        <f>ROUND(IF(F17="与级别开发程度一致",0,(G17-E17)/C17),0)</f>
        <v>#DIV/0!</v>
      </c>
      <c r="D16" s="3415" t="s">
        <v>2707</v>
      </c>
      <c r="E16" s="3416"/>
      <c r="F16" s="3415" t="s">
        <v>2704</v>
      </c>
      <c r="G16" s="3416"/>
      <c r="H16" s="2238"/>
      <c r="I16" s="2238"/>
      <c r="J16" s="2372"/>
      <c r="K16" s="2238"/>
      <c r="L16" s="2238"/>
      <c r="M16" s="2238"/>
      <c r="N16" s="2238"/>
      <c r="O16" s="2239"/>
      <c r="P16" s="2180"/>
      <c r="Q16" s="1279"/>
      <c r="R16" s="1373">
        <v>15</v>
      </c>
      <c r="S16" s="1374"/>
      <c r="T16" s="1373" t="e">
        <f t="shared" si="0"/>
        <v>#DIV/0!</v>
      </c>
      <c r="U16" s="1374"/>
      <c r="V16" s="1373" t="e">
        <f t="shared" si="1"/>
        <v>#DIV/0!</v>
      </c>
      <c r="W16" s="1377"/>
      <c r="X16" s="1377"/>
      <c r="Y16" s="1377"/>
      <c r="Z16" s="1377"/>
      <c r="AA16" s="1377"/>
      <c r="AB16" s="1377"/>
      <c r="AC16" s="1378"/>
      <c r="AD16" s="3017"/>
      <c r="AE16" s="3017"/>
      <c r="AF16" s="3017"/>
      <c r="AG16" s="3017"/>
      <c r="AH16" s="3017"/>
      <c r="AI16" s="3017"/>
      <c r="AJ16" s="3018"/>
    </row>
    <row r="17" spans="1:37" ht="13.5" thickBot="1">
      <c r="A17" s="3403"/>
      <c r="B17" s="2379" t="s">
        <v>2706</v>
      </c>
      <c r="C17" s="2380">
        <f>SUMPRODUCT((修正!A2:A5=E2)*(修正!B1:M1=G2)*(修正!B2:M5))</f>
        <v>0</v>
      </c>
      <c r="D17" s="192" t="str">
        <f>IF(OR(G2="八级",G2="九级",G2="十级",G2="十一级",G2="十二级"),"五通一平","七通一平")</f>
        <v>七通一平</v>
      </c>
      <c r="E17" s="2369">
        <f>SUMPRODUCT((修正!B1:M1=G2)*(修正!B15:M15))</f>
        <v>0</v>
      </c>
      <c r="F17" s="2370"/>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9"/>
      <c r="R17" s="1279"/>
      <c r="S17" s="1279"/>
      <c r="T17" s="1279"/>
      <c r="U17" s="1279"/>
      <c r="V17" s="1279"/>
      <c r="W17" s="1279"/>
      <c r="X17" s="1279"/>
      <c r="Y17" s="1279"/>
      <c r="Z17" s="1280"/>
      <c r="AA17" s="1280"/>
      <c r="AB17" s="1280"/>
      <c r="AC17" s="1280"/>
      <c r="AD17" s="1280"/>
      <c r="AE17" s="1279"/>
      <c r="AF17" s="1279"/>
      <c r="AG17" s="2180"/>
      <c r="AH17" s="2180"/>
      <c r="AI17" s="2180"/>
      <c r="AJ17" s="2180"/>
    </row>
    <row r="18" spans="1:37" s="2199" customFormat="1" ht="15.75" thickBot="1">
      <c r="A18" s="2373" t="s">
        <v>808</v>
      </c>
      <c r="B18" s="2374" t="s">
        <v>2709</v>
      </c>
      <c r="C18" s="2375">
        <f>SUMIF(修正!C18:C39,E3,修正!E18:E39)</f>
        <v>0</v>
      </c>
      <c r="D18" s="2376"/>
      <c r="E18" s="2377"/>
      <c r="F18" s="2377"/>
      <c r="G18" s="2377"/>
      <c r="H18" s="2377"/>
      <c r="I18" s="2377"/>
      <c r="J18" s="2378"/>
      <c r="K18" s="1286"/>
      <c r="L18" s="3016"/>
      <c r="M18" s="3016"/>
      <c r="N18" s="3016"/>
      <c r="O18" s="1284"/>
      <c r="P18" s="1284"/>
      <c r="Q18" s="1285"/>
      <c r="R18" s="1285"/>
      <c r="S18" s="1285"/>
      <c r="T18" s="1280"/>
      <c r="U18" s="1280"/>
      <c r="V18" s="1280"/>
      <c r="W18" s="1279"/>
      <c r="X18" s="1279"/>
      <c r="Y18" s="1279"/>
      <c r="Z18" s="1286"/>
      <c r="AA18" s="1286"/>
      <c r="AB18" s="1286"/>
      <c r="AC18" s="1286"/>
      <c r="AD18" s="1286"/>
      <c r="AE18" s="1280"/>
      <c r="AF18" s="1280"/>
      <c r="AG18" s="2337"/>
      <c r="AH18" s="2337"/>
      <c r="AI18" s="2337"/>
      <c r="AJ18" s="3016"/>
    </row>
    <row r="19" spans="1:37" s="2199" customFormat="1" ht="27.75" thickBot="1">
      <c r="A19" s="2243" t="s">
        <v>809</v>
      </c>
      <c r="B19" s="2244" t="s">
        <v>2710</v>
      </c>
      <c r="C19" s="862" t="e">
        <f>ROUND(IF(H19="按公示增长率计算",SUMPRODUCT((地价!A3:A35=YEAR(G19)&amp;"-"&amp;ROUNDUP(MONTH(G19)/3,0))*(地价!X2:AB2=E2)*(地价!X3:AB35)),IF(H19="地价指数",M20/M19,(1+I19)^O19)),4)</f>
        <v>#VALUE!</v>
      </c>
      <c r="D19" s="2248" t="s">
        <v>2711</v>
      </c>
      <c r="E19" s="863">
        <v>41640</v>
      </c>
      <c r="F19" s="2248" t="s">
        <v>2712</v>
      </c>
      <c r="G19" s="864">
        <f>'数据-取费表'!B2</f>
        <v>44478</v>
      </c>
      <c r="H19" s="2249"/>
      <c r="I19" s="865" t="str">
        <f>IF(H19="季度增幅（自定义）",SUMIF(N21:N24,E2,O21:O24),"")</f>
        <v/>
      </c>
      <c r="J19" s="2246"/>
      <c r="K19" s="1286"/>
      <c r="L19" s="2250" t="s">
        <v>2713</v>
      </c>
      <c r="M19" s="1495">
        <f>ROUND(SUMIF(地价!B2:F2,E2,地价!B35:F35),0)</f>
        <v>0</v>
      </c>
      <c r="N19" s="2251" t="s">
        <v>2714</v>
      </c>
      <c r="O19" s="866">
        <f>ROUNDDOWN(DATEDIF(E19,G19,"M")/3,0)</f>
        <v>31</v>
      </c>
      <c r="P19" s="1283"/>
      <c r="Q19" s="1285"/>
      <c r="R19" s="1285"/>
      <c r="S19" s="1285"/>
      <c r="T19" s="1280"/>
      <c r="U19" s="1280"/>
      <c r="V19" s="1280"/>
      <c r="W19" s="1279"/>
      <c r="X19" s="1279"/>
      <c r="Y19" s="1279"/>
      <c r="Z19" s="1286"/>
      <c r="AA19" s="1286"/>
      <c r="AB19" s="1286"/>
      <c r="AC19" s="1286"/>
      <c r="AD19" s="1286"/>
      <c r="AE19" s="1286"/>
      <c r="AF19" s="1285"/>
      <c r="AG19" s="3019"/>
      <c r="AH19" s="2337"/>
      <c r="AI19" s="3020"/>
      <c r="AJ19" s="3020"/>
      <c r="AK19" s="2252"/>
    </row>
    <row r="20" spans="1:37" s="2199" customFormat="1" ht="27.75" thickBot="1">
      <c r="A20" s="2253" t="s">
        <v>810</v>
      </c>
      <c r="B20" s="2254" t="s">
        <v>2715</v>
      </c>
      <c r="C20" s="867" t="e">
        <f>ROUND(POWER(1+G20,J20-I20)*(POWER(1+G20,I20)-1)/(POWER(1+G20,J20)-1),4)</f>
        <v>#DIV/0!</v>
      </c>
      <c r="D20" s="2255" t="s">
        <v>2716</v>
      </c>
      <c r="E20" s="1504">
        <f>存贷款利率!E18/100</f>
        <v>4.3499999999999997E-2</v>
      </c>
      <c r="F20" s="2255" t="s">
        <v>2708</v>
      </c>
      <c r="G20" s="872">
        <f>SUMIF(M26:P26,E2,M28:P28)</f>
        <v>0</v>
      </c>
      <c r="H20" s="2255" t="s">
        <v>2717</v>
      </c>
      <c r="I20" s="873" t="e">
        <f>SUMIF('数据-取费表'!C6:C15,E2,'数据-取费表'!F6:F15)/COUNTIF('数据-取费表'!C6:C15,E2)</f>
        <v>#DIV/0!</v>
      </c>
      <c r="J20" s="874">
        <f>IF(E2="住宅",70,IF(E2="商业",40,50))</f>
        <v>50</v>
      </c>
      <c r="K20" s="1286"/>
      <c r="L20" s="2256" t="s">
        <v>2718</v>
      </c>
      <c r="M20" s="1496">
        <f>ROUND(SUMPRODUCT((地价!A4:A35=YEAR(G19)&amp;"-"&amp;ROUNDUP(MONTH(G19)/3,0))*(地价!B2:F2=E2)*(地价!B4:F35)),0)</f>
        <v>0</v>
      </c>
      <c r="N20" s="2257" t="s">
        <v>2719</v>
      </c>
      <c r="O20" s="2258" t="s">
        <v>2720</v>
      </c>
      <c r="P20" s="2259" t="s">
        <v>2721</v>
      </c>
      <c r="Q20" s="3016"/>
      <c r="R20" s="1285"/>
      <c r="S20" s="1285"/>
      <c r="T20" s="1280"/>
      <c r="U20" s="1280"/>
      <c r="V20" s="1280"/>
      <c r="W20" s="1279"/>
      <c r="X20" s="1279"/>
      <c r="Y20" s="1279"/>
      <c r="Z20" s="1286"/>
      <c r="AA20" s="1286"/>
      <c r="AB20" s="1286"/>
      <c r="AC20" s="1286"/>
      <c r="AD20" s="1286"/>
      <c r="AE20" s="1286"/>
      <c r="AF20" s="1286"/>
      <c r="AG20" s="3016"/>
      <c r="AH20" s="3016"/>
      <c r="AI20" s="3016"/>
      <c r="AJ20" s="3016"/>
    </row>
    <row r="21" spans="1:37" s="2199" customFormat="1" ht="15">
      <c r="A21" s="2260" t="s">
        <v>811</v>
      </c>
      <c r="B21" s="2261" t="s">
        <v>2722</v>
      </c>
      <c r="C21" s="875">
        <f>IF(B21="容积率修正",IF(G3&lt;=10,D22,J22),C23)</f>
        <v>0</v>
      </c>
      <c r="D21" s="2262"/>
      <c r="E21" s="2262"/>
      <c r="F21" s="2262"/>
      <c r="G21" s="2262"/>
      <c r="H21" s="2262"/>
      <c r="I21" s="2262"/>
      <c r="J21" s="2263"/>
      <c r="K21" s="1286"/>
      <c r="L21" s="3016"/>
      <c r="M21" s="3016"/>
      <c r="N21" s="2264" t="s">
        <v>2723</v>
      </c>
      <c r="O21" s="1334"/>
      <c r="P21" s="1335">
        <f>SUMPRODUCT((地价!A3:A35=YEAR(G19)&amp;"-"&amp;ROUNDUP(MONTH(G19)/3,0))*(地价!AD2:AH2=N21)*(地价!AD3:AH35))</f>
        <v>0</v>
      </c>
      <c r="Q21" s="3016"/>
      <c r="R21" s="1285"/>
      <c r="S21" s="1285"/>
      <c r="T21" s="1280"/>
      <c r="U21" s="1280"/>
      <c r="V21" s="1280"/>
      <c r="W21" s="1279"/>
      <c r="X21" s="1279"/>
      <c r="Y21" s="1279"/>
      <c r="Z21" s="1286"/>
      <c r="AA21" s="1286"/>
      <c r="AB21" s="1286"/>
      <c r="AC21" s="1286"/>
      <c r="AD21" s="1286"/>
      <c r="AE21" s="1286"/>
      <c r="AF21" s="1286"/>
      <c r="AG21" s="3016"/>
      <c r="AH21" s="3016"/>
      <c r="AI21" s="3016"/>
      <c r="AJ21" s="3016"/>
    </row>
    <row r="22" spans="1:37" s="2199" customFormat="1" ht="14.25">
      <c r="A22" s="2138" t="s">
        <v>2724</v>
      </c>
      <c r="B22" s="2265" t="s">
        <v>2725</v>
      </c>
      <c r="C22" s="1535" t="s">
        <v>2726</v>
      </c>
      <c r="D22" s="1535" t="b">
        <f>IF(E22=G22,F22,IF(G3&lt;=10,ROUND(F22+(H22-F22)*(G3-E22)/(G22-E22),4),"——"))</f>
        <v>0</v>
      </c>
      <c r="E22" s="854">
        <f>ROUNDDOWN(G3,1)</f>
        <v>2.5</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2.5</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6" t="str">
        <f>IF(G3&gt;10,D113,"——")</f>
        <v>——</v>
      </c>
      <c r="K22" s="1286"/>
      <c r="L22" s="3016"/>
      <c r="M22" s="3016"/>
      <c r="N22" s="2264" t="s">
        <v>2727</v>
      </c>
      <c r="O22" s="1334"/>
      <c r="P22" s="1335">
        <f>SUMPRODUCT((地价!A3:A35=YEAR(G19)&amp;"-"&amp;ROUNDUP(MONTH(G19)/3,0))*(地价!AD2:AH2=N22)*(地价!AD3:AH35))</f>
        <v>0</v>
      </c>
      <c r="Q22" s="3016"/>
      <c r="R22" s="1285"/>
      <c r="S22" s="1285"/>
      <c r="T22" s="1280"/>
      <c r="U22" s="1280"/>
      <c r="V22" s="1280"/>
      <c r="W22" s="1279"/>
      <c r="X22" s="1279"/>
      <c r="Y22" s="1279"/>
      <c r="Z22" s="1286"/>
      <c r="AA22" s="1286"/>
      <c r="AB22" s="1286"/>
      <c r="AC22" s="1286"/>
      <c r="AD22" s="1286"/>
      <c r="AE22" s="1286"/>
      <c r="AF22" s="1286"/>
      <c r="AG22" s="3016"/>
      <c r="AH22" s="3016"/>
      <c r="AI22" s="3016"/>
      <c r="AJ22" s="3016"/>
    </row>
    <row r="23" spans="1:37" ht="27.75" thickBot="1">
      <c r="A23" s="2138" t="s">
        <v>2728</v>
      </c>
      <c r="B23" s="2266" t="s">
        <v>2729</v>
      </c>
      <c r="C23" s="949">
        <f>ROUND(IF(G3&gt;1,IF(I3&lt;7,SUMPRODUCT((B93:B98=I3)*(C92:N92=G2)*(C93:N98)),SUMIF(C92:N92,G2,C100:N100)),IF(I3&lt;7,SUMPRODUCT((B102:B107=I3)*(C92:N92=G2)*(C102:N107)),SUMIF(C92:N92,G2,C109:N109))),4)</f>
        <v>0</v>
      </c>
      <c r="D23" s="2234"/>
      <c r="E23" s="2234"/>
      <c r="F23" s="2267"/>
      <c r="G23" s="2268"/>
      <c r="H23" s="2269"/>
      <c r="I23" s="2270"/>
      <c r="J23" s="2271"/>
      <c r="K23" s="1279"/>
      <c r="L23" s="2180"/>
      <c r="M23" s="2180"/>
      <c r="N23" s="2264" t="s">
        <v>2730</v>
      </c>
      <c r="O23" s="1334"/>
      <c r="P23" s="1335">
        <f>SUMPRODUCT((地价!A3:A35=YEAR(G19)&amp;"-"&amp;ROUNDUP(MONTH(G19)/3,0))*(地价!AD2:AH2=N23)*(地价!AD3:AH35))</f>
        <v>0</v>
      </c>
      <c r="Q23" s="2180"/>
      <c r="R23" s="1285"/>
      <c r="S23" s="1285"/>
      <c r="T23" s="1280"/>
      <c r="U23" s="1280"/>
      <c r="V23" s="1280"/>
      <c r="W23" s="1279"/>
      <c r="X23" s="1279"/>
      <c r="Y23" s="1279"/>
      <c r="Z23" s="1286"/>
      <c r="AA23" s="1286"/>
      <c r="AB23" s="1286"/>
      <c r="AC23" s="1286"/>
      <c r="AD23" s="1286"/>
      <c r="AE23" s="1280"/>
      <c r="AF23" s="1280"/>
      <c r="AG23" s="2337"/>
      <c r="AH23" s="2337"/>
      <c r="AI23" s="2337"/>
      <c r="AJ23" s="2337"/>
      <c r="AK23" s="2247"/>
    </row>
    <row r="24" spans="1:37" s="2199" customFormat="1" ht="15.75" thickBot="1">
      <c r="A24" s="2253" t="s">
        <v>812</v>
      </c>
      <c r="B24" s="2244" t="s">
        <v>2731</v>
      </c>
      <c r="C24" s="862">
        <f>SUMIF(A45:A88,E2,B45:B88)</f>
        <v>0</v>
      </c>
      <c r="D24" s="2245"/>
      <c r="E24" s="2272"/>
      <c r="F24" s="2272"/>
      <c r="G24" s="2272"/>
      <c r="H24" s="2272"/>
      <c r="I24" s="2272"/>
      <c r="J24" s="2273"/>
      <c r="K24" s="1286"/>
      <c r="L24" s="3016"/>
      <c r="M24" s="3016"/>
      <c r="N24" s="2274" t="s">
        <v>2732</v>
      </c>
      <c r="O24" s="1336"/>
      <c r="P24" s="1337">
        <f>SUMPRODUCT((地价!A3:A35=YEAR(G19)&amp;"-"&amp;ROUNDUP(MONTH(G19)/3,0))*(地价!AD2:AH2=N24)*(地价!AD3:AH35))</f>
        <v>0</v>
      </c>
      <c r="Q24" s="3016"/>
      <c r="R24" s="1285"/>
      <c r="S24" s="1285"/>
      <c r="T24" s="1280"/>
      <c r="U24" s="1280"/>
      <c r="V24" s="1280"/>
      <c r="W24" s="1279"/>
      <c r="X24" s="1279"/>
      <c r="Y24" s="1279"/>
      <c r="Z24" s="1286"/>
      <c r="AA24" s="1286"/>
      <c r="AB24" s="1286"/>
      <c r="AC24" s="1286"/>
      <c r="AD24" s="1286"/>
      <c r="AE24" s="1286"/>
      <c r="AF24" s="1286"/>
      <c r="AG24" s="3016"/>
      <c r="AH24" s="3016"/>
      <c r="AI24" s="3016"/>
      <c r="AJ24" s="3016"/>
    </row>
    <row r="25" spans="1:37" ht="15.75" thickBot="1">
      <c r="A25" s="2253" t="s">
        <v>813</v>
      </c>
      <c r="B25" s="2275" t="s">
        <v>2733</v>
      </c>
      <c r="C25" s="868"/>
      <c r="D25" s="2209"/>
      <c r="E25" s="2209"/>
      <c r="F25" s="2276"/>
      <c r="G25" s="2209"/>
      <c r="H25" s="2209"/>
      <c r="I25" s="2209"/>
      <c r="J25" s="2210"/>
      <c r="K25" s="1279"/>
      <c r="L25" s="2180"/>
      <c r="M25" s="2180"/>
      <c r="N25" s="3011" t="s">
        <v>2734</v>
      </c>
      <c r="O25" s="3012"/>
      <c r="P25" s="3013">
        <f>SUMPRODUCT((地价!A3:A35=YEAR(G19)&amp;"-"&amp;ROUNDUP(MONTH(G19)/3,0))*(地价!AD2:AH2=N25)*(地价!AD3:AH35))</f>
        <v>0</v>
      </c>
      <c r="Q25" s="2180"/>
      <c r="R25" s="1285"/>
      <c r="S25" s="1285"/>
      <c r="T25" s="1280"/>
      <c r="U25" s="1280"/>
      <c r="V25" s="1280"/>
      <c r="W25" s="1279"/>
      <c r="X25" s="1279"/>
      <c r="Y25" s="1279"/>
      <c r="Z25" s="1286"/>
      <c r="AA25" s="1286"/>
      <c r="AB25" s="1286"/>
      <c r="AC25" s="1286"/>
      <c r="AD25" s="1286"/>
      <c r="AE25" s="1280"/>
      <c r="AF25" s="1280"/>
      <c r="AG25" s="2337"/>
      <c r="AH25" s="2337"/>
      <c r="AI25" s="2337"/>
      <c r="AJ25" s="2337"/>
    </row>
    <row r="26" spans="1:37" ht="15">
      <c r="A26" s="2277"/>
      <c r="B26" s="2265" t="s">
        <v>2735</v>
      </c>
      <c r="C26" s="2539" t="e">
        <f>IF(B21="容积率修正",E29+SUM(E33:E39),SUM(V2:V16)+SUM(E33:E39))</f>
        <v>#DIV/0!</v>
      </c>
      <c r="D26" s="2278"/>
      <c r="E26" s="2234"/>
      <c r="F26" s="2279"/>
      <c r="G26" s="2234"/>
      <c r="H26" s="2234"/>
      <c r="I26" s="2234"/>
      <c r="J26" s="2280"/>
      <c r="K26" s="1279"/>
      <c r="L26" s="3014" t="s">
        <v>2633</v>
      </c>
      <c r="M26" s="2207" t="s">
        <v>2698</v>
      </c>
      <c r="N26" s="2207" t="s">
        <v>2699</v>
      </c>
      <c r="O26" s="2207" t="s">
        <v>2700</v>
      </c>
      <c r="P26" s="3015" t="s">
        <v>2701</v>
      </c>
      <c r="Q26" s="2180"/>
      <c r="R26" s="1285"/>
      <c r="S26" s="1285"/>
      <c r="T26" s="1280"/>
      <c r="U26" s="1280"/>
      <c r="V26" s="1280"/>
      <c r="W26" s="1279"/>
      <c r="X26" s="1279"/>
      <c r="Y26" s="1279"/>
      <c r="Z26" s="1286"/>
      <c r="AA26" s="1286"/>
      <c r="AB26" s="1286"/>
      <c r="AC26" s="1286"/>
      <c r="AD26" s="1286"/>
      <c r="AE26" s="1280"/>
      <c r="AF26" s="1280"/>
      <c r="AG26" s="2337"/>
      <c r="AH26" s="2337"/>
      <c r="AI26" s="2337"/>
      <c r="AJ26" s="2337"/>
    </row>
    <row r="27" spans="1:37" ht="15.75" thickBot="1">
      <c r="A27" s="2277"/>
      <c r="B27" s="2281" t="s">
        <v>2736</v>
      </c>
      <c r="C27" s="869" t="e">
        <f>E30+SUM(I33:I39)</f>
        <v>#DIV/0!</v>
      </c>
      <c r="D27" s="2282"/>
      <c r="E27" s="2283"/>
      <c r="F27" s="2284"/>
      <c r="G27" s="2283"/>
      <c r="H27" s="2283"/>
      <c r="I27" s="2283"/>
      <c r="J27" s="2285"/>
      <c r="K27" s="1279"/>
      <c r="L27" s="2240" t="s">
        <v>2705</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7"/>
      <c r="AH27" s="2337"/>
      <c r="AI27" s="2337"/>
      <c r="AJ27" s="2337"/>
    </row>
    <row r="28" spans="1:37" ht="15.75" thickBot="1">
      <c r="A28" s="2286"/>
      <c r="B28" s="2287" t="s">
        <v>2737</v>
      </c>
      <c r="C28" s="2288" t="s">
        <v>2738</v>
      </c>
      <c r="D28" s="2288" t="s">
        <v>2739</v>
      </c>
      <c r="E28" s="2289" t="s">
        <v>2740</v>
      </c>
      <c r="F28" s="2290"/>
      <c r="G28" s="2222"/>
      <c r="H28" s="2222"/>
      <c r="I28" s="2222"/>
      <c r="J28" s="2223"/>
      <c r="K28" s="1279"/>
      <c r="L28" s="2241" t="s">
        <v>2708</v>
      </c>
      <c r="M28" s="182">
        <f>ROUND($E$20*(1+M27),3)</f>
        <v>5.3999999999999999E-2</v>
      </c>
      <c r="N28" s="182">
        <f>ROUND($E$20*(1+N27),3)</f>
        <v>5.1999999999999998E-2</v>
      </c>
      <c r="O28" s="182">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7"/>
      <c r="AH28" s="2337"/>
      <c r="AI28" s="2337"/>
      <c r="AJ28" s="2337"/>
    </row>
    <row r="29" spans="1:37" ht="22.5" customHeight="1">
      <c r="A29" s="2291"/>
      <c r="B29" s="2292" t="s">
        <v>2741</v>
      </c>
      <c r="C29" s="179" t="e">
        <f>ROUND(C5*C18*C19*C20*C21*C24,0)</f>
        <v>#DIV/0!</v>
      </c>
      <c r="D29" s="2293"/>
      <c r="E29" s="878" t="e">
        <f>ROUND(C29*D29/10000,0)</f>
        <v>#DIV/0!</v>
      </c>
      <c r="F29" s="2294" t="s">
        <v>2742</v>
      </c>
      <c r="G29" s="2295"/>
      <c r="H29" s="2295"/>
      <c r="I29" s="2295"/>
      <c r="J29" s="2296"/>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0"/>
      <c r="AH29" s="2180"/>
      <c r="AI29" s="2180"/>
      <c r="AJ29" s="2180"/>
    </row>
    <row r="30" spans="1:37" ht="25.5" thickBot="1">
      <c r="A30" s="2297"/>
      <c r="B30" s="2298" t="s">
        <v>2743</v>
      </c>
      <c r="C30" s="192" t="e">
        <f>ROUND(IF(E2="工业",C29*M39,C29*M38),0)</f>
        <v>#DIV/0!</v>
      </c>
      <c r="D30" s="2299"/>
      <c r="E30" s="878" t="e">
        <f>ROUND(C30*D30/10000,0)</f>
        <v>#DIV/0!</v>
      </c>
      <c r="F30" s="2300" t="s">
        <v>2744</v>
      </c>
      <c r="G30" s="2301"/>
      <c r="H30" s="2301"/>
      <c r="I30" s="2301"/>
      <c r="J30" s="2302"/>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0"/>
      <c r="AH30" s="2180"/>
      <c r="AI30" s="2180"/>
      <c r="AJ30" s="2180"/>
    </row>
    <row r="31" spans="1:37" ht="14.25">
      <c r="A31" s="2303"/>
      <c r="B31" s="2304" t="s">
        <v>2745</v>
      </c>
      <c r="C31" s="2305" t="s">
        <v>2746</v>
      </c>
      <c r="D31" s="2222"/>
      <c r="E31" s="2305"/>
      <c r="F31" s="2305"/>
      <c r="G31" s="2220" t="s">
        <v>2747</v>
      </c>
      <c r="H31" s="2222"/>
      <c r="I31" s="2306"/>
      <c r="J31" s="2223"/>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0"/>
      <c r="AH31" s="2180"/>
      <c r="AI31" s="2180"/>
      <c r="AJ31" s="2180"/>
    </row>
    <row r="32" spans="1:37" ht="24">
      <c r="A32" s="2291"/>
      <c r="B32" s="2307"/>
      <c r="C32" s="457" t="s">
        <v>2738</v>
      </c>
      <c r="D32" s="454" t="s">
        <v>2739</v>
      </c>
      <c r="E32" s="454" t="s">
        <v>2740</v>
      </c>
      <c r="F32" s="347" t="s">
        <v>2748</v>
      </c>
      <c r="G32" s="2308" t="s">
        <v>2738</v>
      </c>
      <c r="H32" s="2308" t="s">
        <v>2739</v>
      </c>
      <c r="I32" s="2308" t="s">
        <v>2740</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0"/>
      <c r="AH32" s="2180"/>
      <c r="AI32" s="2180"/>
      <c r="AJ32" s="2180"/>
    </row>
    <row r="33" spans="1:37" ht="36" customHeight="1">
      <c r="A33" s="3412"/>
      <c r="B33" s="2309" t="s">
        <v>2749</v>
      </c>
      <c r="C33" s="179" t="e">
        <f>ROUND(D5*C19*C20*C24*F33,0)</f>
        <v>#DIV/0!</v>
      </c>
      <c r="D33" s="2293"/>
      <c r="E33" s="175" t="e">
        <f>ROUND(C33*D33/10000,0)</f>
        <v>#DIV/0!</v>
      </c>
      <c r="F33" s="175">
        <f>SUMIF(修正!A45:A56,G2,修正!B45:B56)</f>
        <v>0</v>
      </c>
      <c r="G33" s="175" t="e">
        <f t="shared" ref="G33" si="6">ROUND(IF(E2="工业",C33*$M$39,C33*$M$38),0)</f>
        <v>#DIV/0!</v>
      </c>
      <c r="H33" s="175">
        <f>D33</f>
        <v>0</v>
      </c>
      <c r="I33" s="175" t="e">
        <f>ROUND(G33*H33/10000,0)</f>
        <v>#DIV/0!</v>
      </c>
      <c r="J33" s="3417" t="s">
        <v>3046</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7"/>
      <c r="AH33" s="2337"/>
      <c r="AI33" s="2337"/>
      <c r="AJ33" s="2337"/>
    </row>
    <row r="34" spans="1:37" ht="14.25">
      <c r="A34" s="3413"/>
      <c r="B34" s="2226" t="s">
        <v>2750</v>
      </c>
      <c r="C34" s="179" t="e">
        <f>ROUND(D5*C19*C20*C24*F34,0)</f>
        <v>#DIV/0!</v>
      </c>
      <c r="D34" s="2293"/>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413"/>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7"/>
      <c r="AH34" s="2337"/>
      <c r="AI34" s="2337"/>
      <c r="AJ34" s="2337"/>
    </row>
    <row r="35" spans="1:37">
      <c r="A35" s="3413"/>
      <c r="B35" s="2226" t="s">
        <v>2751</v>
      </c>
      <c r="C35" s="179" t="e">
        <f>ROUND(D5*C19*C20*C24*F35,0)</f>
        <v>#DIV/0!</v>
      </c>
      <c r="D35" s="2293"/>
      <c r="E35" s="175" t="e">
        <f t="shared" si="7"/>
        <v>#DIV/0!</v>
      </c>
      <c r="F35" s="175">
        <f>SUMIF(修正!A45:A56,G2,修正!D45:D56)</f>
        <v>0</v>
      </c>
      <c r="G35" s="175" t="e">
        <f>ROUND(IF(E2="工业",C35*$M$39,C35*$M$38),0)</f>
        <v>#DIV/0!</v>
      </c>
      <c r="H35" s="175">
        <f t="shared" si="8"/>
        <v>0</v>
      </c>
      <c r="I35" s="175" t="e">
        <f t="shared" si="9"/>
        <v>#DIV/0!</v>
      </c>
      <c r="J35" s="3413"/>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7"/>
      <c r="AH35" s="2337"/>
      <c r="AI35" s="2337"/>
      <c r="AJ35" s="2337"/>
    </row>
    <row r="36" spans="1:37" ht="13.5" thickBot="1">
      <c r="A36" s="3414"/>
      <c r="B36" s="2226" t="s">
        <v>2752</v>
      </c>
      <c r="C36" s="179" t="e">
        <f>ROUND(D5*C19*C20*C24*F36,0)</f>
        <v>#DIV/0!</v>
      </c>
      <c r="D36" s="2293"/>
      <c r="E36" s="175" t="e">
        <f t="shared" si="7"/>
        <v>#DIV/0!</v>
      </c>
      <c r="F36" s="175">
        <f>SUMIF(修正!A45:A56,G2,修正!E45:E56)</f>
        <v>0</v>
      </c>
      <c r="G36" s="175" t="e">
        <f>ROUND(IF(E2="工业",C36*$M$39,C36*$M$38),0)</f>
        <v>#DIV/0!</v>
      </c>
      <c r="H36" s="175">
        <f t="shared" si="8"/>
        <v>0</v>
      </c>
      <c r="I36" s="175" t="e">
        <f t="shared" si="9"/>
        <v>#DIV/0!</v>
      </c>
      <c r="J36" s="3414"/>
      <c r="K36" s="1279"/>
      <c r="L36" s="2180"/>
      <c r="M36" s="2180"/>
      <c r="N36" s="1279"/>
      <c r="O36" s="1279"/>
      <c r="P36" s="1279"/>
      <c r="Q36" s="1279"/>
      <c r="R36" s="1279"/>
      <c r="S36" s="1279"/>
      <c r="T36" s="1279"/>
      <c r="U36" s="1279"/>
      <c r="V36" s="1279"/>
      <c r="W36" s="1279"/>
      <c r="X36" s="1279"/>
      <c r="Y36" s="1279"/>
      <c r="Z36" s="1280"/>
      <c r="AA36" s="1280"/>
      <c r="AB36" s="1280"/>
      <c r="AC36" s="1280"/>
      <c r="AD36" s="1280"/>
      <c r="AE36" s="1280"/>
      <c r="AF36" s="1280"/>
      <c r="AG36" s="2337"/>
      <c r="AH36" s="2337"/>
      <c r="AI36" s="2337"/>
      <c r="AJ36" s="2337"/>
    </row>
    <row r="37" spans="1:37">
      <c r="A37" s="2311"/>
      <c r="B37" s="2226" t="s">
        <v>2753</v>
      </c>
      <c r="C37" s="175" t="e">
        <f>ROUND(D5*C19*C20*C24*F37,0)</f>
        <v>#DIV/0!</v>
      </c>
      <c r="D37" s="2293"/>
      <c r="E37" s="175" t="e">
        <f t="shared" si="7"/>
        <v>#DIV/0!</v>
      </c>
      <c r="F37" s="179">
        <f>SUMIF(修正!A45:A56,G2,修正!F45:F56)</f>
        <v>0</v>
      </c>
      <c r="G37" s="175" t="e">
        <f>ROUND(IF(E2="工业",C37*$M$39,C37*$M$38),0)</f>
        <v>#DIV/0!</v>
      </c>
      <c r="H37" s="175">
        <f t="shared" si="8"/>
        <v>0</v>
      </c>
      <c r="I37" s="175" t="e">
        <f t="shared" si="9"/>
        <v>#DIV/0!</v>
      </c>
      <c r="J37" s="2310"/>
      <c r="K37" s="1279"/>
      <c r="L37" s="2312" t="s">
        <v>2754</v>
      </c>
      <c r="M37" s="2313"/>
      <c r="N37" s="1279"/>
      <c r="O37" s="1279"/>
      <c r="P37" s="1279"/>
      <c r="Q37" s="1279"/>
      <c r="R37" s="1279"/>
      <c r="S37" s="1279"/>
      <c r="T37" s="1279"/>
      <c r="U37" s="1279"/>
      <c r="V37" s="1279"/>
      <c r="W37" s="1279"/>
      <c r="X37" s="1279"/>
      <c r="Y37" s="1279"/>
      <c r="Z37" s="1280"/>
      <c r="AA37" s="1280"/>
      <c r="AB37" s="1280"/>
      <c r="AC37" s="1280"/>
      <c r="AD37" s="1280"/>
      <c r="AE37" s="1280"/>
      <c r="AF37" s="1280"/>
      <c r="AG37" s="2337"/>
      <c r="AH37" s="2337"/>
      <c r="AI37" s="2337"/>
      <c r="AJ37" s="2337"/>
    </row>
    <row r="38" spans="1:37">
      <c r="A38" s="2311"/>
      <c r="B38" s="2226" t="s">
        <v>2755</v>
      </c>
      <c r="C38" s="175" t="e">
        <f>ROUND(D5*C19*C41*C24*F38,0)</f>
        <v>#DIV/0!</v>
      </c>
      <c r="D38" s="2293"/>
      <c r="E38" s="175" t="e">
        <f t="shared" si="7"/>
        <v>#DIV/0!</v>
      </c>
      <c r="F38" s="179">
        <f>SUMIF(修正!A45:A56,G2,修正!G45:G56)</f>
        <v>0</v>
      </c>
      <c r="G38" s="175" t="e">
        <f>ROUND(IF(E2="工业",C38*$M$39,C38*$M$38),0)</f>
        <v>#DIV/0!</v>
      </c>
      <c r="H38" s="175">
        <f t="shared" si="8"/>
        <v>0</v>
      </c>
      <c r="I38" s="175" t="e">
        <f t="shared" si="9"/>
        <v>#DIV/0!</v>
      </c>
      <c r="J38" s="2310"/>
      <c r="K38" s="1279"/>
      <c r="L38" s="1604" t="s">
        <v>2756</v>
      </c>
      <c r="M38" s="2314">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7"/>
      <c r="B39" s="2315" t="s">
        <v>2757</v>
      </c>
      <c r="C39" s="192" t="e">
        <f>ROUND(D5*C19*C41*C24*F39,0)</f>
        <v>#DIV/0!</v>
      </c>
      <c r="D39" s="2299"/>
      <c r="E39" s="192" t="e">
        <f t="shared" si="7"/>
        <v>#DIV/0!</v>
      </c>
      <c r="F39" s="870">
        <f>SUMIF(修正!A45:A56,G2,修正!H45:H56)</f>
        <v>0</v>
      </c>
      <c r="G39" s="192" t="e">
        <f>ROUND(IF(E2="工业",C39*$M$39,C39*$M$38),0)</f>
        <v>#DIV/0!</v>
      </c>
      <c r="H39" s="192">
        <f t="shared" si="8"/>
        <v>0</v>
      </c>
      <c r="I39" s="192" t="e">
        <f t="shared" si="9"/>
        <v>#DIV/0!</v>
      </c>
      <c r="J39" s="2316"/>
      <c r="K39" s="1279"/>
      <c r="L39" s="2317" t="s">
        <v>2701</v>
      </c>
      <c r="M39" s="2318">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7" t="s">
        <v>2862</v>
      </c>
      <c r="C41" s="347" t="e">
        <f>ROUND(POWER(1+E41,H41-G41)*(POWER(1+E41,G41)-1)/(POWER(1+E41,H41)-1),4)</f>
        <v>#DIV/0!</v>
      </c>
      <c r="D41" s="175" t="s">
        <v>2708</v>
      </c>
      <c r="E41" s="2366">
        <f>G20</f>
        <v>0</v>
      </c>
      <c r="F41" s="175" t="s">
        <v>2717</v>
      </c>
      <c r="G41" s="188"/>
      <c r="H41" s="175">
        <v>50</v>
      </c>
      <c r="Z41" s="1280"/>
      <c r="AA41" s="1280"/>
      <c r="AB41" s="1280"/>
      <c r="AC41" s="1280"/>
      <c r="AD41" s="1280"/>
      <c r="AE41" s="1280"/>
      <c r="AF41" s="1280"/>
      <c r="AG41" s="1280"/>
      <c r="AH41" s="1280"/>
      <c r="AI41" s="1280"/>
      <c r="AJ41" s="1280"/>
    </row>
    <row r="42" spans="1:37" s="1279" customFormat="1">
      <c r="A42" s="1280"/>
      <c r="B42" s="2319"/>
      <c r="Z42" s="1280"/>
      <c r="AA42" s="1280"/>
      <c r="AB42" s="1280"/>
      <c r="AC42" s="1280"/>
      <c r="AD42" s="1280"/>
      <c r="AE42" s="1280"/>
      <c r="AF42" s="1280"/>
      <c r="AG42" s="1280"/>
      <c r="AH42" s="1280"/>
      <c r="AI42" s="1280"/>
      <c r="AJ42" s="1280"/>
    </row>
    <row r="43" spans="1:37" s="1279" customFormat="1">
      <c r="A43" s="1280"/>
      <c r="B43" s="2319"/>
      <c r="Z43" s="1280"/>
      <c r="AA43" s="1280"/>
      <c r="AB43" s="1280"/>
      <c r="AC43" s="1280"/>
      <c r="AD43" s="1280"/>
      <c r="AE43" s="1280"/>
      <c r="AF43" s="1280"/>
      <c r="AG43" s="1280"/>
      <c r="AH43" s="1280"/>
      <c r="AI43" s="1280"/>
      <c r="AJ43" s="1280"/>
    </row>
    <row r="44" spans="1:37" s="1279" customFormat="1">
      <c r="A44" s="1280"/>
      <c r="B44" s="2319"/>
      <c r="Z44" s="1280"/>
      <c r="AA44" s="1280"/>
      <c r="AB44" s="1280"/>
      <c r="AC44" s="1280"/>
      <c r="AD44" s="1280"/>
      <c r="AE44" s="1280"/>
      <c r="AF44" s="1280"/>
      <c r="AG44" s="1280"/>
      <c r="AH44" s="1280"/>
      <c r="AI44" s="1280"/>
      <c r="AJ44" s="1280"/>
    </row>
    <row r="45" spans="1:37" s="1279" customFormat="1" ht="15.75" thickBot="1">
      <c r="A45" s="2320" t="s">
        <v>2758</v>
      </c>
      <c r="B45" s="2321"/>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2" t="s">
        <v>2759</v>
      </c>
      <c r="B46" s="2323">
        <f>1+E48</f>
        <v>1</v>
      </c>
      <c r="C46" s="2324"/>
      <c r="D46" s="752"/>
      <c r="E46" s="753"/>
      <c r="F46" s="2325"/>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6" t="s">
        <v>2760</v>
      </c>
      <c r="B47" s="1534" t="s">
        <v>2761</v>
      </c>
      <c r="C47" s="1534" t="s">
        <v>2762</v>
      </c>
      <c r="D47" s="1534" t="s">
        <v>2763</v>
      </c>
      <c r="E47" s="757" t="s">
        <v>2764</v>
      </c>
      <c r="F47" s="2327" t="s">
        <v>2765</v>
      </c>
      <c r="G47" s="1534" t="s">
        <v>754</v>
      </c>
      <c r="H47" s="2328" t="s">
        <v>2766</v>
      </c>
      <c r="I47" s="1534" t="s">
        <v>2767</v>
      </c>
      <c r="J47" s="559" t="s">
        <v>2416</v>
      </c>
      <c r="K47" s="559" t="s">
        <v>2417</v>
      </c>
      <c r="L47" s="559" t="s">
        <v>2418</v>
      </c>
      <c r="M47" s="559" t="s">
        <v>2419</v>
      </c>
      <c r="N47" s="559" t="s">
        <v>2420</v>
      </c>
      <c r="AA47" s="1280"/>
      <c r="AB47" s="1280"/>
      <c r="AC47" s="1280"/>
      <c r="AD47" s="1280"/>
      <c r="AE47" s="1280"/>
      <c r="AF47" s="1280"/>
      <c r="AG47" s="1280"/>
      <c r="AH47" s="1280"/>
      <c r="AI47" s="1280"/>
      <c r="AJ47" s="1280"/>
      <c r="AK47" s="1280"/>
    </row>
    <row r="48" spans="1:37" s="1279" customFormat="1" ht="24.75">
      <c r="A48" s="2326" t="s">
        <v>2768</v>
      </c>
      <c r="B48" s="2329">
        <f>估价对象房地状况!C4</f>
        <v>0</v>
      </c>
      <c r="C48" s="2231"/>
      <c r="D48" s="1195">
        <f t="shared" ref="D48:D56" si="10">SUMIF($J$47:$N$47,C48,J48:N48)</f>
        <v>0</v>
      </c>
      <c r="E48" s="759">
        <f>ROUND(SUM(D48:D56),4)</f>
        <v>0</v>
      </c>
      <c r="F48" s="199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c r="A49" s="2326" t="s">
        <v>2769</v>
      </c>
      <c r="B49" s="2330">
        <f>估价对象房地状况!C18</f>
        <v>0</v>
      </c>
      <c r="C49" s="2231"/>
      <c r="D49" s="1195">
        <f t="shared" si="10"/>
        <v>0</v>
      </c>
      <c r="E49" s="760"/>
      <c r="F49" s="1999"/>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6" t="s">
        <v>2770</v>
      </c>
      <c r="B50" s="2330">
        <f>估价对象房地状况!C19</f>
        <v>0</v>
      </c>
      <c r="C50" s="2231"/>
      <c r="D50" s="1195">
        <f t="shared" si="10"/>
        <v>0</v>
      </c>
      <c r="E50" s="760"/>
      <c r="F50" s="1999"/>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6" t="s">
        <v>2771</v>
      </c>
      <c r="B51" s="2331" t="s">
        <v>2772</v>
      </c>
      <c r="C51" s="2231"/>
      <c r="D51" s="1195">
        <f t="shared" si="10"/>
        <v>0</v>
      </c>
      <c r="E51" s="760"/>
      <c r="F51" s="1999"/>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6" t="s">
        <v>2773</v>
      </c>
      <c r="B52" s="2330">
        <f>估价对象房地状况!C24</f>
        <v>0</v>
      </c>
      <c r="C52" s="2231"/>
      <c r="D52" s="1195">
        <f t="shared" si="10"/>
        <v>0</v>
      </c>
      <c r="E52" s="760"/>
      <c r="F52" s="1999"/>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6" t="s">
        <v>2774</v>
      </c>
      <c r="B53" s="2332" t="s">
        <v>2775</v>
      </c>
      <c r="C53" s="2231"/>
      <c r="D53" s="1195">
        <f t="shared" si="10"/>
        <v>0</v>
      </c>
      <c r="E53" s="760"/>
      <c r="F53" s="1999"/>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c r="A54" s="2333" t="s">
        <v>2776</v>
      </c>
      <c r="B54" s="1493">
        <f>估价对象房地状况!C21</f>
        <v>0</v>
      </c>
      <c r="C54" s="2231"/>
      <c r="D54" s="1195">
        <f t="shared" si="10"/>
        <v>0</v>
      </c>
      <c r="E54" s="760"/>
      <c r="F54" s="1999"/>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3" t="s">
        <v>2777</v>
      </c>
      <c r="B55" s="2330">
        <f>估价对象房地状况!C22</f>
        <v>0</v>
      </c>
      <c r="C55" s="2231"/>
      <c r="D55" s="1195">
        <f t="shared" si="10"/>
        <v>0</v>
      </c>
      <c r="E55" s="760"/>
      <c r="F55" s="1999"/>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thickBot="1">
      <c r="A56" s="2334" t="s">
        <v>2778</v>
      </c>
      <c r="B56" s="2335">
        <f>估价对象房地状况!C20</f>
        <v>0</v>
      </c>
      <c r="C56" s="2231"/>
      <c r="D56" s="1195">
        <f t="shared" si="10"/>
        <v>0</v>
      </c>
      <c r="E56" s="763"/>
      <c r="F56" s="1999"/>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2" t="s">
        <v>2779</v>
      </c>
      <c r="B57" s="2323">
        <f>1+E59</f>
        <v>1</v>
      </c>
      <c r="C57" s="752"/>
      <c r="D57" s="752"/>
      <c r="E57" s="753"/>
      <c r="F57" s="2325"/>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6" t="s">
        <v>2760</v>
      </c>
      <c r="B58" s="1534"/>
      <c r="C58" s="1534" t="s">
        <v>2762</v>
      </c>
      <c r="D58" s="1534" t="s">
        <v>2763</v>
      </c>
      <c r="E58" s="757" t="s">
        <v>2764</v>
      </c>
      <c r="F58" s="2327" t="s">
        <v>2780</v>
      </c>
      <c r="G58" s="1534" t="s">
        <v>754</v>
      </c>
      <c r="H58" s="2328" t="s">
        <v>2766</v>
      </c>
      <c r="I58" s="1534" t="s">
        <v>2767</v>
      </c>
      <c r="J58" s="559" t="s">
        <v>2416</v>
      </c>
      <c r="K58" s="559" t="s">
        <v>2417</v>
      </c>
      <c r="L58" s="559" t="s">
        <v>2418</v>
      </c>
      <c r="M58" s="559" t="s">
        <v>2419</v>
      </c>
      <c r="N58" s="559" t="s">
        <v>2420</v>
      </c>
      <c r="AA58" s="1280"/>
      <c r="AB58" s="1280"/>
      <c r="AC58" s="1280"/>
      <c r="AD58" s="1280"/>
      <c r="AE58" s="1280"/>
      <c r="AF58" s="1280"/>
      <c r="AG58" s="1280"/>
      <c r="AH58" s="1280"/>
      <c r="AI58" s="1280"/>
      <c r="AJ58" s="1280"/>
      <c r="AK58" s="1280"/>
    </row>
    <row r="59" spans="1:37" s="1279" customFormat="1" ht="24">
      <c r="A59" s="2326" t="s">
        <v>2781</v>
      </c>
      <c r="B59" s="2329">
        <f>估价对象房地状况!C17</f>
        <v>0</v>
      </c>
      <c r="C59" s="2231"/>
      <c r="D59" s="1195">
        <f t="shared" ref="D59:D67" si="15">SUMIF($J$58:$N$58,C59,J59:N59)</f>
        <v>0</v>
      </c>
      <c r="E59" s="759">
        <f>ROUND(SUM(D59:D67),4)</f>
        <v>0</v>
      </c>
      <c r="F59" s="199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14.25">
      <c r="A60" s="2326" t="s">
        <v>2769</v>
      </c>
      <c r="B60" s="2330">
        <f>估价对象房地状况!C18</f>
        <v>0</v>
      </c>
      <c r="C60" s="2231"/>
      <c r="D60" s="1195">
        <f t="shared" si="15"/>
        <v>0</v>
      </c>
      <c r="E60" s="760"/>
      <c r="F60" s="1999"/>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6" t="s">
        <v>2770</v>
      </c>
      <c r="B61" s="2330">
        <f>估价对象房地状况!C19</f>
        <v>0</v>
      </c>
      <c r="C61" s="2231"/>
      <c r="D61" s="1195">
        <f t="shared" si="15"/>
        <v>0</v>
      </c>
      <c r="E61" s="760"/>
      <c r="F61" s="1999"/>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6" t="s">
        <v>2771</v>
      </c>
      <c r="B62" s="2331" t="s">
        <v>2772</v>
      </c>
      <c r="C62" s="2231"/>
      <c r="D62" s="1195">
        <f t="shared" si="15"/>
        <v>0</v>
      </c>
      <c r="E62" s="760"/>
      <c r="F62" s="1999"/>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6" t="s">
        <v>2773</v>
      </c>
      <c r="B63" s="2330">
        <f>估价对象房地状况!C24</f>
        <v>0</v>
      </c>
      <c r="C63" s="2231"/>
      <c r="D63" s="1195">
        <f t="shared" si="15"/>
        <v>0</v>
      </c>
      <c r="E63" s="760"/>
      <c r="F63" s="1999"/>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6" t="s">
        <v>2774</v>
      </c>
      <c r="B64" s="2332" t="s">
        <v>2775</v>
      </c>
      <c r="C64" s="2231"/>
      <c r="D64" s="1195">
        <f t="shared" si="15"/>
        <v>0</v>
      </c>
      <c r="E64" s="760"/>
      <c r="F64" s="1999"/>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4">
      <c r="A65" s="2326" t="s">
        <v>2776</v>
      </c>
      <c r="B65" s="1493">
        <f>估价对象房地状况!C21</f>
        <v>0</v>
      </c>
      <c r="C65" s="2231"/>
      <c r="D65" s="1195">
        <f t="shared" si="15"/>
        <v>0</v>
      </c>
      <c r="E65" s="760"/>
      <c r="F65" s="1999"/>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26" t="s">
        <v>2777</v>
      </c>
      <c r="B66" s="1493">
        <f>估价对象房地状况!C22</f>
        <v>0</v>
      </c>
      <c r="C66" s="2231"/>
      <c r="D66" s="1195">
        <f t="shared" si="15"/>
        <v>0</v>
      </c>
      <c r="E66" s="760"/>
      <c r="F66" s="1999"/>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24.75" thickBot="1">
      <c r="A67" s="2334" t="s">
        <v>2778</v>
      </c>
      <c r="B67" s="2336">
        <f>估价对象房地状况!C20</f>
        <v>0</v>
      </c>
      <c r="C67" s="2231"/>
      <c r="D67" s="1195">
        <f t="shared" si="15"/>
        <v>0</v>
      </c>
      <c r="E67" s="763"/>
      <c r="F67" s="1999"/>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2" t="s">
        <v>2782</v>
      </c>
      <c r="B68" s="2323">
        <f>1+E70</f>
        <v>1</v>
      </c>
      <c r="C68" s="752"/>
      <c r="D68" s="752"/>
      <c r="E68" s="753"/>
      <c r="F68" s="2325"/>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6" t="s">
        <v>2760</v>
      </c>
      <c r="B69" s="1534"/>
      <c r="C69" s="1534" t="s">
        <v>2762</v>
      </c>
      <c r="D69" s="1534" t="s">
        <v>2763</v>
      </c>
      <c r="E69" s="757" t="s">
        <v>2764</v>
      </c>
      <c r="F69" s="2327" t="s">
        <v>2780</v>
      </c>
      <c r="G69" s="1534" t="s">
        <v>754</v>
      </c>
      <c r="H69" s="2328" t="s">
        <v>2766</v>
      </c>
      <c r="I69" s="1534" t="s">
        <v>2767</v>
      </c>
      <c r="J69" s="559" t="s">
        <v>2416</v>
      </c>
      <c r="K69" s="559" t="s">
        <v>2417</v>
      </c>
      <c r="L69" s="559" t="s">
        <v>2418</v>
      </c>
      <c r="M69" s="559" t="s">
        <v>2419</v>
      </c>
      <c r="N69" s="559" t="s">
        <v>2420</v>
      </c>
      <c r="AA69" s="1280"/>
      <c r="AB69" s="1280"/>
      <c r="AC69" s="1280"/>
      <c r="AD69" s="1280"/>
      <c r="AE69" s="1280"/>
      <c r="AF69" s="1280"/>
      <c r="AG69" s="1280"/>
      <c r="AH69" s="1280"/>
      <c r="AI69" s="1280"/>
      <c r="AJ69" s="1280"/>
      <c r="AK69" s="1280"/>
    </row>
    <row r="70" spans="1:37" s="1279" customFormat="1" ht="24">
      <c r="A70" s="2326" t="s">
        <v>2783</v>
      </c>
      <c r="B70" s="2329">
        <f>估价对象房地状况!C15</f>
        <v>0</v>
      </c>
      <c r="C70" s="2231"/>
      <c r="D70" s="1195">
        <f t="shared" ref="D70:D78" si="20">SUMIF($J$69:$N$69,C70,J70:N70)</f>
        <v>0</v>
      </c>
      <c r="E70" s="759">
        <f>ROUND(SUM(D70:D78),4)</f>
        <v>0</v>
      </c>
      <c r="F70" s="1999"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26" t="s">
        <v>2769</v>
      </c>
      <c r="B71" s="2330">
        <f>估价对象房地状况!C18</f>
        <v>0</v>
      </c>
      <c r="C71" s="2231"/>
      <c r="D71" s="1195">
        <f t="shared" si="20"/>
        <v>0</v>
      </c>
      <c r="E71" s="764"/>
      <c r="F71" s="1999"/>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6" t="s">
        <v>2770</v>
      </c>
      <c r="B72" s="2330">
        <f>估价对象房地状况!C19</f>
        <v>0</v>
      </c>
      <c r="C72" s="2231"/>
      <c r="D72" s="1195">
        <f t="shared" si="20"/>
        <v>0</v>
      </c>
      <c r="E72" s="764"/>
      <c r="F72" s="1999"/>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6" t="s">
        <v>2784</v>
      </c>
      <c r="B73" s="2330">
        <f>估价对象房地状况!C24</f>
        <v>0</v>
      </c>
      <c r="C73" s="2231"/>
      <c r="D73" s="1195">
        <f t="shared" si="20"/>
        <v>0</v>
      </c>
      <c r="E73" s="764"/>
      <c r="F73" s="1999"/>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26" t="s">
        <v>2776</v>
      </c>
      <c r="B74" s="1493">
        <f>估价对象房地状况!C21</f>
        <v>0</v>
      </c>
      <c r="C74" s="2231"/>
      <c r="D74" s="1195">
        <f t="shared" si="20"/>
        <v>0</v>
      </c>
      <c r="E74" s="764"/>
      <c r="F74" s="1999"/>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26" t="s">
        <v>2777</v>
      </c>
      <c r="B75" s="1493">
        <f>估价对象房地状况!C22</f>
        <v>0</v>
      </c>
      <c r="C75" s="2231"/>
      <c r="D75" s="1195">
        <f t="shared" si="20"/>
        <v>0</v>
      </c>
      <c r="E75" s="764"/>
      <c r="F75" s="1999"/>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0" customFormat="1" ht="24">
      <c r="A76" s="2326" t="s">
        <v>2774</v>
      </c>
      <c r="B76" s="2332" t="s">
        <v>2775</v>
      </c>
      <c r="C76" s="2231"/>
      <c r="D76" s="1195">
        <f t="shared" si="20"/>
        <v>0</v>
      </c>
      <c r="E76" s="764"/>
      <c r="F76" s="1999"/>
      <c r="G76" s="1193"/>
      <c r="H76" s="1197" t="str">
        <f t="shared" si="21"/>
        <v>——</v>
      </c>
      <c r="I76" s="758">
        <v>0.05</v>
      </c>
      <c r="J76" s="1194">
        <f t="shared" si="22"/>
        <v>0</v>
      </c>
      <c r="K76" s="1194">
        <f t="shared" si="23"/>
        <v>0</v>
      </c>
      <c r="L76" s="1194">
        <v>0</v>
      </c>
      <c r="M76" s="1194">
        <f t="shared" si="24"/>
        <v>0</v>
      </c>
      <c r="N76" s="1194">
        <f t="shared" si="24"/>
        <v>0</v>
      </c>
      <c r="AA76" s="2337"/>
      <c r="AB76" s="1280"/>
      <c r="AC76" s="1280"/>
      <c r="AD76" s="1280"/>
      <c r="AE76" s="1280"/>
      <c r="AF76" s="1280"/>
      <c r="AG76" s="1280"/>
      <c r="AH76" s="2337"/>
      <c r="AI76" s="2337"/>
      <c r="AJ76" s="2337"/>
      <c r="AK76" s="2337"/>
    </row>
    <row r="77" spans="1:37" ht="24">
      <c r="A77" s="2326" t="s">
        <v>2778</v>
      </c>
      <c r="B77" s="2329">
        <f>估价对象房地状况!C20</f>
        <v>0</v>
      </c>
      <c r="C77" s="2231"/>
      <c r="D77" s="1195">
        <f t="shared" si="20"/>
        <v>0</v>
      </c>
      <c r="E77" s="764"/>
      <c r="F77" s="1999"/>
      <c r="G77" s="1193"/>
      <c r="H77" s="1197" t="str">
        <f t="shared" si="21"/>
        <v>——</v>
      </c>
      <c r="I77" s="758">
        <v>0.15</v>
      </c>
      <c r="J77" s="1194">
        <f t="shared" si="22"/>
        <v>0</v>
      </c>
      <c r="K77" s="1194">
        <f t="shared" si="23"/>
        <v>0</v>
      </c>
      <c r="L77" s="1194">
        <v>0</v>
      </c>
      <c r="M77" s="1194">
        <f t="shared" si="24"/>
        <v>0</v>
      </c>
      <c r="N77" s="1194">
        <f t="shared" si="24"/>
        <v>0</v>
      </c>
      <c r="Z77" s="2181"/>
      <c r="AA77" s="2247"/>
      <c r="AG77" s="1281"/>
      <c r="AK77" s="2247"/>
    </row>
    <row r="78" spans="1:37" ht="24.75" thickBot="1">
      <c r="A78" s="2334" t="s">
        <v>2785</v>
      </c>
      <c r="B78" s="2338"/>
      <c r="C78" s="2231"/>
      <c r="D78" s="1195">
        <f t="shared" si="20"/>
        <v>0</v>
      </c>
      <c r="E78" s="765"/>
      <c r="F78" s="1999"/>
      <c r="G78" s="1193"/>
      <c r="H78" s="1197" t="str">
        <f t="shared" si="21"/>
        <v>——</v>
      </c>
      <c r="I78" s="762">
        <v>0.04</v>
      </c>
      <c r="J78" s="1194">
        <f t="shared" si="22"/>
        <v>0</v>
      </c>
      <c r="K78" s="1194">
        <f t="shared" si="23"/>
        <v>0</v>
      </c>
      <c r="L78" s="1194">
        <v>0</v>
      </c>
      <c r="M78" s="1194">
        <f t="shared" si="24"/>
        <v>0</v>
      </c>
      <c r="N78" s="1194">
        <f t="shared" si="24"/>
        <v>0</v>
      </c>
      <c r="Z78" s="2181"/>
      <c r="AA78" s="2247"/>
      <c r="AG78" s="1281"/>
      <c r="AK78" s="2247"/>
    </row>
    <row r="79" spans="1:37" ht="15">
      <c r="A79" s="2322" t="s">
        <v>2786</v>
      </c>
      <c r="B79" s="2323">
        <f>1+E81</f>
        <v>1</v>
      </c>
      <c r="C79" s="752"/>
      <c r="D79" s="752"/>
      <c r="E79" s="753"/>
      <c r="F79" s="2325"/>
      <c r="G79" s="6"/>
      <c r="H79" s="6"/>
      <c r="I79" s="6"/>
      <c r="J79" s="7"/>
      <c r="K79" s="7"/>
      <c r="L79" s="7"/>
      <c r="M79" s="7"/>
      <c r="N79" s="7"/>
      <c r="Z79" s="2181"/>
      <c r="AA79" s="2247"/>
      <c r="AG79" s="1281"/>
      <c r="AK79" s="2247"/>
    </row>
    <row r="80" spans="1:37" ht="24.75">
      <c r="A80" s="2326" t="s">
        <v>2760</v>
      </c>
      <c r="B80" s="1534"/>
      <c r="C80" s="1534" t="s">
        <v>2762</v>
      </c>
      <c r="D80" s="1534" t="s">
        <v>2763</v>
      </c>
      <c r="E80" s="757" t="s">
        <v>2764</v>
      </c>
      <c r="F80" s="2327" t="s">
        <v>2780</v>
      </c>
      <c r="G80" s="1534" t="s">
        <v>754</v>
      </c>
      <c r="H80" s="2328" t="s">
        <v>2766</v>
      </c>
      <c r="I80" s="1534" t="s">
        <v>2767</v>
      </c>
      <c r="J80" s="559" t="s">
        <v>2416</v>
      </c>
      <c r="K80" s="559" t="s">
        <v>2417</v>
      </c>
      <c r="L80" s="559" t="s">
        <v>2418</v>
      </c>
      <c r="M80" s="559" t="s">
        <v>2419</v>
      </c>
      <c r="N80" s="559" t="s">
        <v>2420</v>
      </c>
      <c r="Z80" s="2181"/>
      <c r="AA80" s="2247"/>
      <c r="AG80" s="1281"/>
      <c r="AK80" s="2247"/>
    </row>
    <row r="81" spans="1:37" ht="24">
      <c r="A81" s="2326" t="s">
        <v>2787</v>
      </c>
      <c r="B81" s="2330">
        <f>估价对象房地状况!G15</f>
        <v>0</v>
      </c>
      <c r="C81" s="2231"/>
      <c r="D81" s="1195">
        <f t="shared" ref="D81:D88" si="25">SUMIF($J$80:$N$80,C81,J81:N81)</f>
        <v>0</v>
      </c>
      <c r="E81" s="759">
        <f>ROUND(SUM(D81:D88),4)</f>
        <v>0</v>
      </c>
      <c r="F81" s="1999"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1"/>
      <c r="AA81" s="2247"/>
      <c r="AG81" s="1281"/>
      <c r="AK81" s="2247"/>
    </row>
    <row r="82" spans="1:37" ht="14.25">
      <c r="A82" s="2326" t="s">
        <v>2769</v>
      </c>
      <c r="B82" s="2330">
        <f>估价对象房地状况!G16</f>
        <v>0</v>
      </c>
      <c r="C82" s="2231"/>
      <c r="D82" s="1195">
        <f t="shared" si="25"/>
        <v>0</v>
      </c>
      <c r="E82" s="764"/>
      <c r="F82" s="1999"/>
      <c r="G82" s="1193"/>
      <c r="H82" s="1197" t="str">
        <f t="shared" si="26"/>
        <v>——</v>
      </c>
      <c r="I82" s="758">
        <v>0.33</v>
      </c>
      <c r="J82" s="1194">
        <f t="shared" si="27"/>
        <v>0</v>
      </c>
      <c r="K82" s="1194">
        <f t="shared" si="28"/>
        <v>0</v>
      </c>
      <c r="L82" s="1194">
        <v>0</v>
      </c>
      <c r="M82" s="1194">
        <f t="shared" si="29"/>
        <v>0</v>
      </c>
      <c r="N82" s="1194">
        <f t="shared" si="29"/>
        <v>0</v>
      </c>
      <c r="Z82" s="2181"/>
      <c r="AA82" s="2247"/>
      <c r="AG82" s="1281"/>
      <c r="AK82" s="2247"/>
    </row>
    <row r="83" spans="1:37" ht="24">
      <c r="A83" s="2326" t="s">
        <v>2770</v>
      </c>
      <c r="B83" s="2330">
        <f>估价对象房地状况!G17</f>
        <v>0</v>
      </c>
      <c r="C83" s="2231"/>
      <c r="D83" s="1195">
        <f t="shared" si="25"/>
        <v>0</v>
      </c>
      <c r="E83" s="764"/>
      <c r="F83" s="1999"/>
      <c r="G83" s="1193"/>
      <c r="H83" s="1197" t="str">
        <f t="shared" si="26"/>
        <v>——</v>
      </c>
      <c r="I83" s="758">
        <v>0.05</v>
      </c>
      <c r="J83" s="1194">
        <f t="shared" si="27"/>
        <v>0</v>
      </c>
      <c r="K83" s="1194">
        <f t="shared" si="28"/>
        <v>0</v>
      </c>
      <c r="L83" s="1194">
        <v>0</v>
      </c>
      <c r="M83" s="1194">
        <f t="shared" si="29"/>
        <v>0</v>
      </c>
      <c r="N83" s="1194">
        <f t="shared" si="29"/>
        <v>0</v>
      </c>
      <c r="Z83" s="2181"/>
      <c r="AA83" s="2247"/>
      <c r="AG83" s="1281"/>
      <c r="AK83" s="2247"/>
    </row>
    <row r="84" spans="1:37" ht="14.25">
      <c r="A84" s="2326" t="s">
        <v>2784</v>
      </c>
      <c r="B84" s="2330">
        <f>估价对象房地状况!G22</f>
        <v>0</v>
      </c>
      <c r="C84" s="2231"/>
      <c r="D84" s="1195">
        <f t="shared" si="25"/>
        <v>0</v>
      </c>
      <c r="E84" s="764"/>
      <c r="F84" s="1999"/>
      <c r="G84" s="1193"/>
      <c r="H84" s="1197" t="str">
        <f t="shared" si="26"/>
        <v>——</v>
      </c>
      <c r="I84" s="758">
        <v>0.04</v>
      </c>
      <c r="J84" s="1194">
        <f t="shared" si="27"/>
        <v>0</v>
      </c>
      <c r="K84" s="1194">
        <f t="shared" si="28"/>
        <v>0</v>
      </c>
      <c r="L84" s="1194">
        <v>0</v>
      </c>
      <c r="M84" s="1194">
        <f t="shared" si="29"/>
        <v>0</v>
      </c>
      <c r="N84" s="1194">
        <f t="shared" si="29"/>
        <v>0</v>
      </c>
      <c r="Z84" s="2181"/>
      <c r="AA84" s="2247"/>
      <c r="AG84" s="1281"/>
      <c r="AK84" s="2247"/>
    </row>
    <row r="85" spans="1:37" ht="24">
      <c r="A85" s="2326" t="s">
        <v>2776</v>
      </c>
      <c r="B85" s="1493">
        <f>估价对象房地状况!G19</f>
        <v>0</v>
      </c>
      <c r="C85" s="2231"/>
      <c r="D85" s="1195">
        <f t="shared" si="25"/>
        <v>0</v>
      </c>
      <c r="E85" s="764"/>
      <c r="F85" s="1999"/>
      <c r="G85" s="1193"/>
      <c r="H85" s="1197" t="str">
        <f t="shared" si="26"/>
        <v>——</v>
      </c>
      <c r="I85" s="758">
        <v>0.06</v>
      </c>
      <c r="J85" s="1194">
        <f t="shared" si="27"/>
        <v>0</v>
      </c>
      <c r="K85" s="1194">
        <f t="shared" si="28"/>
        <v>0</v>
      </c>
      <c r="L85" s="1194">
        <v>0</v>
      </c>
      <c r="M85" s="1194">
        <f t="shared" si="29"/>
        <v>0</v>
      </c>
      <c r="N85" s="1194">
        <f t="shared" si="29"/>
        <v>0</v>
      </c>
      <c r="Z85" s="2181"/>
      <c r="AA85" s="2247"/>
      <c r="AG85" s="1281"/>
      <c r="AK85" s="2247"/>
    </row>
    <row r="86" spans="1:37" ht="24">
      <c r="A86" s="2326" t="s">
        <v>2777</v>
      </c>
      <c r="B86" s="1493">
        <f>估价对象房地状况!G20</f>
        <v>0</v>
      </c>
      <c r="C86" s="2231"/>
      <c r="D86" s="1195">
        <f t="shared" si="25"/>
        <v>0</v>
      </c>
      <c r="E86" s="764"/>
      <c r="F86" s="1999"/>
      <c r="G86" s="1193"/>
      <c r="H86" s="1197" t="str">
        <f t="shared" si="26"/>
        <v>——</v>
      </c>
      <c r="I86" s="758">
        <v>0.15</v>
      </c>
      <c r="J86" s="1194">
        <f t="shared" si="27"/>
        <v>0</v>
      </c>
      <c r="K86" s="1194">
        <f t="shared" si="28"/>
        <v>0</v>
      </c>
      <c r="L86" s="1194">
        <v>0</v>
      </c>
      <c r="M86" s="1194">
        <f t="shared" si="29"/>
        <v>0</v>
      </c>
      <c r="N86" s="1194">
        <f t="shared" si="29"/>
        <v>0</v>
      </c>
      <c r="Z86" s="2181"/>
      <c r="AA86" s="2247"/>
      <c r="AG86" s="1281"/>
      <c r="AK86" s="2247"/>
    </row>
    <row r="87" spans="1:37" ht="24">
      <c r="A87" s="2326" t="s">
        <v>2774</v>
      </c>
      <c r="B87" s="2332" t="s">
        <v>2788</v>
      </c>
      <c r="C87" s="2231"/>
      <c r="D87" s="1195">
        <f t="shared" si="25"/>
        <v>0</v>
      </c>
      <c r="E87" s="764"/>
      <c r="F87" s="1999"/>
      <c r="G87" s="1193"/>
      <c r="H87" s="1197" t="str">
        <f t="shared" si="26"/>
        <v>——</v>
      </c>
      <c r="I87" s="758">
        <v>0.05</v>
      </c>
      <c r="J87" s="1194">
        <f t="shared" si="27"/>
        <v>0</v>
      </c>
      <c r="K87" s="1194">
        <f t="shared" si="28"/>
        <v>0</v>
      </c>
      <c r="L87" s="1194">
        <v>0</v>
      </c>
      <c r="M87" s="1194">
        <f t="shared" si="29"/>
        <v>0</v>
      </c>
      <c r="N87" s="1194">
        <f t="shared" si="29"/>
        <v>0</v>
      </c>
      <c r="Z87" s="2181"/>
      <c r="AA87" s="2247"/>
      <c r="AG87" s="1281"/>
      <c r="AK87" s="2247"/>
    </row>
    <row r="88" spans="1:37" ht="15" thickBot="1">
      <c r="A88" s="2334" t="s">
        <v>2789</v>
      </c>
      <c r="B88" s="2339">
        <f>估价对象房地状况!G18</f>
        <v>0</v>
      </c>
      <c r="C88" s="2231"/>
      <c r="D88" s="1195">
        <f t="shared" si="25"/>
        <v>0</v>
      </c>
      <c r="E88" s="765"/>
      <c r="F88" s="1999"/>
      <c r="G88" s="1193"/>
      <c r="H88" s="1197" t="str">
        <f t="shared" si="26"/>
        <v>——</v>
      </c>
      <c r="I88" s="762">
        <v>0.06</v>
      </c>
      <c r="J88" s="1194">
        <f t="shared" si="27"/>
        <v>0</v>
      </c>
      <c r="K88" s="1194">
        <f t="shared" si="28"/>
        <v>0</v>
      </c>
      <c r="L88" s="1194">
        <v>0</v>
      </c>
      <c r="M88" s="1194">
        <f t="shared" si="29"/>
        <v>0</v>
      </c>
      <c r="N88" s="1194">
        <f t="shared" si="29"/>
        <v>0</v>
      </c>
      <c r="Z88" s="2181"/>
      <c r="AA88" s="2247"/>
      <c r="AG88" s="1281"/>
      <c r="AK88" s="2247"/>
    </row>
    <row r="90" spans="1:37">
      <c r="A90" s="3404" t="s">
        <v>2790</v>
      </c>
      <c r="B90" s="3404"/>
      <c r="C90" s="3404"/>
      <c r="D90" s="3404"/>
      <c r="E90" s="3404"/>
      <c r="F90" s="3404"/>
      <c r="G90" s="3404"/>
      <c r="H90" s="3404"/>
      <c r="I90" s="3404"/>
      <c r="J90" s="3404"/>
      <c r="K90" s="2340"/>
      <c r="L90" s="2340"/>
      <c r="M90" s="2340"/>
      <c r="N90" s="2340"/>
    </row>
    <row r="91" spans="1:37">
      <c r="A91" s="3406" t="s">
        <v>2791</v>
      </c>
      <c r="B91" s="3406" t="s">
        <v>2792</v>
      </c>
      <c r="C91" s="2294" t="s">
        <v>2793</v>
      </c>
      <c r="D91" s="2295"/>
      <c r="E91" s="2295"/>
      <c r="F91" s="2295"/>
      <c r="G91" s="2295"/>
      <c r="H91" s="2295"/>
      <c r="I91" s="2295"/>
      <c r="J91" s="2341"/>
      <c r="K91" s="2342"/>
      <c r="L91" s="2342"/>
      <c r="M91" s="2342"/>
      <c r="N91" s="2342"/>
    </row>
    <row r="92" spans="1:37">
      <c r="A92" s="3406"/>
      <c r="B92" s="3406"/>
      <c r="C92" s="878" t="s">
        <v>2660</v>
      </c>
      <c r="D92" s="878" t="s">
        <v>2661</v>
      </c>
      <c r="E92" s="878" t="s">
        <v>2662</v>
      </c>
      <c r="F92" s="878" t="s">
        <v>2663</v>
      </c>
      <c r="G92" s="878" t="s">
        <v>2664</v>
      </c>
      <c r="H92" s="878" t="s">
        <v>2665</v>
      </c>
      <c r="I92" s="878" t="s">
        <v>2666</v>
      </c>
      <c r="J92" s="878" t="s">
        <v>2667</v>
      </c>
      <c r="K92" s="878" t="s">
        <v>2668</v>
      </c>
      <c r="L92" s="878" t="s">
        <v>2669</v>
      </c>
      <c r="M92" s="878" t="s">
        <v>2670</v>
      </c>
      <c r="N92" s="878" t="s">
        <v>2671</v>
      </c>
    </row>
    <row r="93" spans="1:37">
      <c r="A93" s="3407" t="s">
        <v>2794</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408"/>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408"/>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408"/>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408"/>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408"/>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408"/>
      <c r="B99" s="2343" t="s">
        <v>2676</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409"/>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407" t="s">
        <v>2795</v>
      </c>
      <c r="B101" s="2347" t="s">
        <v>2796</v>
      </c>
      <c r="C101" s="2348">
        <f>$G$3</f>
        <v>2.5</v>
      </c>
      <c r="D101" s="2348">
        <f t="shared" ref="D101:N101" si="31">$G$3</f>
        <v>2.5</v>
      </c>
      <c r="E101" s="2348">
        <f t="shared" si="31"/>
        <v>2.5</v>
      </c>
      <c r="F101" s="2348">
        <f t="shared" si="31"/>
        <v>2.5</v>
      </c>
      <c r="G101" s="2348">
        <f t="shared" si="31"/>
        <v>2.5</v>
      </c>
      <c r="H101" s="2348">
        <f t="shared" si="31"/>
        <v>2.5</v>
      </c>
      <c r="I101" s="2348">
        <f t="shared" si="31"/>
        <v>2.5</v>
      </c>
      <c r="J101" s="2348">
        <f t="shared" si="31"/>
        <v>2.5</v>
      </c>
      <c r="K101" s="2348">
        <f t="shared" si="31"/>
        <v>2.5</v>
      </c>
      <c r="L101" s="2348">
        <f t="shared" si="31"/>
        <v>2.5</v>
      </c>
      <c r="M101" s="2348">
        <f t="shared" si="31"/>
        <v>2.5</v>
      </c>
      <c r="N101" s="2348">
        <f t="shared" si="31"/>
        <v>2.5</v>
      </c>
    </row>
    <row r="102" spans="1:14">
      <c r="A102" s="3408"/>
      <c r="B102" s="2343">
        <v>1</v>
      </c>
      <c r="C102" s="2344">
        <f>1.9362/C101</f>
        <v>0.77447999999999995</v>
      </c>
      <c r="D102" s="2344">
        <f>1.9362/D101</f>
        <v>0.77447999999999995</v>
      </c>
      <c r="E102" s="2344">
        <f>1.8629/E101</f>
        <v>0.74516000000000004</v>
      </c>
      <c r="F102" s="2344">
        <f>1.8629/F101</f>
        <v>0.74516000000000004</v>
      </c>
      <c r="G102" s="2344">
        <f>1.8629/G101</f>
        <v>0.74516000000000004</v>
      </c>
      <c r="H102" s="2344">
        <f>1.8629/H101</f>
        <v>0.74516000000000004</v>
      </c>
      <c r="I102" s="2344">
        <f>1.8629/I101</f>
        <v>0.74516000000000004</v>
      </c>
      <c r="J102" s="2344">
        <f>1.942/J101</f>
        <v>0.77679999999999993</v>
      </c>
      <c r="K102" s="2344">
        <f>1.942/K101</f>
        <v>0.77679999999999993</v>
      </c>
      <c r="L102" s="2344">
        <f>1.942/L101</f>
        <v>0.77679999999999993</v>
      </c>
      <c r="M102" s="2344">
        <f>1.942/M101</f>
        <v>0.77679999999999993</v>
      </c>
      <c r="N102" s="2344">
        <f>1.942/N101</f>
        <v>0.77679999999999993</v>
      </c>
    </row>
    <row r="103" spans="1:14">
      <c r="A103" s="3408"/>
      <c r="B103" s="2343">
        <v>2</v>
      </c>
      <c r="C103" s="2344">
        <f>1.4198/C101</f>
        <v>0.56791999999999998</v>
      </c>
      <c r="D103" s="2344">
        <f>1.4198/D101</f>
        <v>0.56791999999999998</v>
      </c>
      <c r="E103" s="2344">
        <f>1.3372/E101</f>
        <v>0.53488000000000002</v>
      </c>
      <c r="F103" s="2344">
        <f>1.3372/F101</f>
        <v>0.53488000000000002</v>
      </c>
      <c r="G103" s="2344">
        <f>1.3372/G101</f>
        <v>0.53488000000000002</v>
      </c>
      <c r="H103" s="2344">
        <f>1.3372/H101</f>
        <v>0.53488000000000002</v>
      </c>
      <c r="I103" s="2344">
        <f>1.3372/I101</f>
        <v>0.53488000000000002</v>
      </c>
      <c r="J103" s="2344">
        <f>1.2799/J101</f>
        <v>0.51195999999999997</v>
      </c>
      <c r="K103" s="2344">
        <f>1.2799/K101</f>
        <v>0.51195999999999997</v>
      </c>
      <c r="L103" s="2344">
        <f>1.2799/L101</f>
        <v>0.51195999999999997</v>
      </c>
      <c r="M103" s="2344">
        <f>1.2799/M101</f>
        <v>0.51195999999999997</v>
      </c>
      <c r="N103" s="2344">
        <f>1.2799/N101</f>
        <v>0.51195999999999997</v>
      </c>
    </row>
    <row r="104" spans="1:14">
      <c r="A104" s="3408"/>
      <c r="B104" s="2343">
        <v>3</v>
      </c>
      <c r="C104" s="2344">
        <f>1.1594/C101</f>
        <v>0.46376000000000001</v>
      </c>
      <c r="D104" s="2344">
        <f>1.1594/D101</f>
        <v>0.46376000000000001</v>
      </c>
      <c r="E104" s="2344">
        <f>1.0788/E101</f>
        <v>0.43152000000000001</v>
      </c>
      <c r="F104" s="2344">
        <f>1.0788/F101</f>
        <v>0.43152000000000001</v>
      </c>
      <c r="G104" s="2344">
        <f>1.0788/G101</f>
        <v>0.43152000000000001</v>
      </c>
      <c r="H104" s="2344">
        <f>1.0788/H101</f>
        <v>0.43152000000000001</v>
      </c>
      <c r="I104" s="2344">
        <f>1.0788/I101</f>
        <v>0.43152000000000001</v>
      </c>
      <c r="J104" s="2344">
        <f>1.0072/J101</f>
        <v>0.40288000000000002</v>
      </c>
      <c r="K104" s="2344">
        <f>1.0072/K101</f>
        <v>0.40288000000000002</v>
      </c>
      <c r="L104" s="2344">
        <f>1.0072/L101</f>
        <v>0.40288000000000002</v>
      </c>
      <c r="M104" s="2344">
        <f>1.0072/M101</f>
        <v>0.40288000000000002</v>
      </c>
      <c r="N104" s="2344">
        <f>1.0072/N101</f>
        <v>0.40288000000000002</v>
      </c>
    </row>
    <row r="105" spans="1:14">
      <c r="A105" s="3408"/>
      <c r="B105" s="2343">
        <v>4</v>
      </c>
      <c r="C105" s="2344">
        <f>0.9622/C101</f>
        <v>0.38488</v>
      </c>
      <c r="D105" s="2344">
        <f>0.9622/D101</f>
        <v>0.38488</v>
      </c>
      <c r="E105" s="2344">
        <f>0.8656/E101</f>
        <v>0.34623999999999999</v>
      </c>
      <c r="F105" s="2344">
        <f>0.8656/F101</f>
        <v>0.34623999999999999</v>
      </c>
      <c r="G105" s="2344">
        <f>0.8656/G101</f>
        <v>0.34623999999999999</v>
      </c>
      <c r="H105" s="2344">
        <f>0.8656/H101</f>
        <v>0.34623999999999999</v>
      </c>
      <c r="I105" s="2344">
        <f>0.8656/I101</f>
        <v>0.34623999999999999</v>
      </c>
      <c r="J105" s="2344">
        <f>0.7525/J101</f>
        <v>0.30099999999999999</v>
      </c>
      <c r="K105" s="2344">
        <f>0.7525/K101</f>
        <v>0.30099999999999999</v>
      </c>
      <c r="L105" s="2344">
        <f>0.7525/L101</f>
        <v>0.30099999999999999</v>
      </c>
      <c r="M105" s="2344">
        <f>0.7525/M101</f>
        <v>0.30099999999999999</v>
      </c>
      <c r="N105" s="2344">
        <f>0.7525/N101</f>
        <v>0.30099999999999999</v>
      </c>
    </row>
    <row r="106" spans="1:14">
      <c r="A106" s="3408"/>
      <c r="B106" s="2343">
        <v>5</v>
      </c>
      <c r="C106" s="2344">
        <f>0.8417/C101</f>
        <v>0.33667999999999998</v>
      </c>
      <c r="D106" s="2344">
        <f>0.8417/D101</f>
        <v>0.33667999999999998</v>
      </c>
      <c r="E106" s="2344">
        <f>0.7371/E101</f>
        <v>0.29483999999999999</v>
      </c>
      <c r="F106" s="2344">
        <f>0.7371/F101</f>
        <v>0.29483999999999999</v>
      </c>
      <c r="G106" s="2344">
        <f>0.7371/G101</f>
        <v>0.29483999999999999</v>
      </c>
      <c r="H106" s="2344">
        <f>0.7371/H101</f>
        <v>0.29483999999999999</v>
      </c>
      <c r="I106" s="2344">
        <f>0.7371/I101</f>
        <v>0.29483999999999999</v>
      </c>
      <c r="J106" s="2344">
        <f>0.5659/J101</f>
        <v>0.22635999999999998</v>
      </c>
      <c r="K106" s="2344">
        <f>0.5659/K101</f>
        <v>0.22635999999999998</v>
      </c>
      <c r="L106" s="2344">
        <f>0.5659/L101</f>
        <v>0.22635999999999998</v>
      </c>
      <c r="M106" s="2344">
        <f>0.5659/M101</f>
        <v>0.22635999999999998</v>
      </c>
      <c r="N106" s="2344">
        <f>0.5659/N101</f>
        <v>0.22635999999999998</v>
      </c>
    </row>
    <row r="107" spans="1:14">
      <c r="A107" s="3408"/>
      <c r="B107" s="2343">
        <v>6</v>
      </c>
      <c r="C107" s="2344">
        <f>0.7608/C101</f>
        <v>0.30432000000000003</v>
      </c>
      <c r="D107" s="2344">
        <f>0.7608/D101</f>
        <v>0.30432000000000003</v>
      </c>
      <c r="E107" s="2344">
        <f>0.6482/E101</f>
        <v>0.25928000000000001</v>
      </c>
      <c r="F107" s="2344">
        <f>0.6482/F101</f>
        <v>0.25928000000000001</v>
      </c>
      <c r="G107" s="2344">
        <f>0.6482/G101</f>
        <v>0.25928000000000001</v>
      </c>
      <c r="H107" s="2344">
        <f>0.6482/H101</f>
        <v>0.25928000000000001</v>
      </c>
      <c r="I107" s="2344">
        <f>0.6482/I101</f>
        <v>0.25928000000000001</v>
      </c>
      <c r="J107" s="2344">
        <f>0.4525/J101</f>
        <v>0.18099999999999999</v>
      </c>
      <c r="K107" s="2344">
        <f>0.4525/K101</f>
        <v>0.18099999999999999</v>
      </c>
      <c r="L107" s="2344">
        <f>0.4525/L101</f>
        <v>0.18099999999999999</v>
      </c>
      <c r="M107" s="2344">
        <f>0.4525/M101</f>
        <v>0.18099999999999999</v>
      </c>
      <c r="N107" s="2344">
        <f>0.4525/N101</f>
        <v>0.18099999999999999</v>
      </c>
    </row>
    <row r="108" spans="1:14">
      <c r="A108" s="3408"/>
      <c r="B108" s="3410" t="s">
        <v>2797</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409"/>
      <c r="B109" s="3411"/>
      <c r="C109" s="2346">
        <f>(-0.163*(C108^2)-0.59*C108+7617)*(10^(-4))/C101</f>
        <v>0.30468000000000001</v>
      </c>
      <c r="D109" s="2346">
        <f>(-0.163*(D108^2)-0.59*D108+7617)*(10^(-4))/D101</f>
        <v>0.30468000000000001</v>
      </c>
      <c r="E109" s="2346">
        <f>(-0.161*(E108^2)-7.509*E108+6533)*(10^(-4))/E101</f>
        <v>0.26132</v>
      </c>
      <c r="F109" s="2346">
        <f>(-0.161*(F108^2)-7.509*F108+6533)*(10^(-4))/F101</f>
        <v>0.26132</v>
      </c>
      <c r="G109" s="2346">
        <f>(-0.161*(G108^2)-7.509*G108+6533)*(10^(-4))/G101</f>
        <v>0.26132</v>
      </c>
      <c r="H109" s="2346">
        <f>(-0.161*(H108^2)-7.509*H108+6533)*(10^(-4))/H101</f>
        <v>0.26132</v>
      </c>
      <c r="I109" s="2346">
        <f>(-0.161*(I108^2)-7.509*I108+6533)*(10^(-4))/I101</f>
        <v>0.26132</v>
      </c>
      <c r="J109" s="2346">
        <f>(-0.214*(J108^2)-21.991*J108+4665)*(10^(-4))/J101</f>
        <v>0.18660000000000002</v>
      </c>
      <c r="K109" s="2346">
        <f>(-0.214*(K108^2)-21.991*K108+4665)*(10^(-4))/K101</f>
        <v>0.18660000000000002</v>
      </c>
      <c r="L109" s="2346">
        <f>(-0.214*(L108^2)-21.991*L108+4665)*(10^(-4))/L101</f>
        <v>0.18660000000000002</v>
      </c>
      <c r="M109" s="2346">
        <f>(-0.214*(M108^2)-21.991*M108+4665)*(10^(-4))/M101</f>
        <v>0.18660000000000002</v>
      </c>
      <c r="N109" s="2346">
        <f>(-0.214*(N108^2)-21.991*N108+4665)*(10^(-4))/N101</f>
        <v>0.18660000000000002</v>
      </c>
    </row>
    <row r="110" spans="1:14">
      <c r="A110" s="3405" t="s">
        <v>2798</v>
      </c>
      <c r="B110" s="3405"/>
      <c r="C110" s="3405"/>
      <c r="D110" s="3405"/>
      <c r="E110" s="3405"/>
      <c r="F110" s="3405"/>
      <c r="G110" s="3405"/>
      <c r="H110" s="3405"/>
      <c r="I110" s="3405"/>
      <c r="J110" s="3405"/>
      <c r="K110" s="2349"/>
      <c r="L110" s="2349"/>
      <c r="M110" s="2349"/>
      <c r="N110" s="2349"/>
    </row>
    <row r="112" spans="1:14" ht="13.5" thickBot="1"/>
    <row r="113" spans="1:13" ht="25.5" thickBot="1">
      <c r="A113" s="841" t="s">
        <v>2799</v>
      </c>
      <c r="B113" s="1196">
        <f>G3</f>
        <v>2.5</v>
      </c>
      <c r="C113" s="842" t="s">
        <v>2800</v>
      </c>
      <c r="D113" s="843">
        <f>SUMPRODUCT((A115:A118=F113)*(B114:M114=H113)*B115:M118)</f>
        <v>0</v>
      </c>
      <c r="E113" s="2185" t="s">
        <v>2633</v>
      </c>
      <c r="F113" s="2351">
        <f>E2</f>
        <v>0</v>
      </c>
      <c r="G113" s="2185" t="s">
        <v>2634</v>
      </c>
      <c r="H113" s="2351">
        <f>G2</f>
        <v>0</v>
      </c>
      <c r="I113" s="2185"/>
      <c r="J113" s="2352"/>
      <c r="K113" s="2352"/>
      <c r="L113" s="2352"/>
      <c r="M113" s="2352"/>
    </row>
    <row r="114" spans="1:13">
      <c r="A114" s="846"/>
      <c r="B114" s="2353" t="s">
        <v>2801</v>
      </c>
      <c r="C114" s="2353" t="s">
        <v>2802</v>
      </c>
      <c r="D114" s="2353" t="s">
        <v>2803</v>
      </c>
      <c r="E114" s="2354" t="s">
        <v>2804</v>
      </c>
      <c r="F114" s="2354" t="s">
        <v>2805</v>
      </c>
      <c r="G114" s="2354" t="s">
        <v>2806</v>
      </c>
      <c r="H114" s="2355" t="s">
        <v>2807</v>
      </c>
      <c r="I114" s="2355" t="s">
        <v>2808</v>
      </c>
      <c r="J114" s="2356" t="s">
        <v>2809</v>
      </c>
      <c r="K114" s="2356" t="s">
        <v>2810</v>
      </c>
      <c r="L114" s="2356" t="s">
        <v>2811</v>
      </c>
      <c r="M114" s="2357" t="s">
        <v>2812</v>
      </c>
    </row>
    <row r="115" spans="1:13">
      <c r="A115" s="847" t="s">
        <v>2698</v>
      </c>
      <c r="B115" s="848">
        <f>ROUND(0.9335-0.0094*B113,4)</f>
        <v>0.91</v>
      </c>
      <c r="C115" s="848">
        <f>B115</f>
        <v>0.91</v>
      </c>
      <c r="D115" s="848">
        <f>ROUND(0.8331-0.0109*B113,4)</f>
        <v>0.80589999999999995</v>
      </c>
      <c r="E115" s="848">
        <f>D115</f>
        <v>0.80589999999999995</v>
      </c>
      <c r="F115" s="848">
        <f>E115</f>
        <v>0.80589999999999995</v>
      </c>
      <c r="G115" s="848">
        <f>F115</f>
        <v>0.80589999999999995</v>
      </c>
      <c r="H115" s="848">
        <f>G115</f>
        <v>0.80589999999999995</v>
      </c>
      <c r="I115" s="848">
        <f>ROUND(0.689-0.0155*B113,4)</f>
        <v>0.65029999999999999</v>
      </c>
      <c r="J115" s="848">
        <f t="shared" ref="J115:M118" si="33">I115</f>
        <v>0.65029999999999999</v>
      </c>
      <c r="K115" s="848">
        <f t="shared" si="33"/>
        <v>0.65029999999999999</v>
      </c>
      <c r="L115" s="848">
        <f t="shared" si="33"/>
        <v>0.65029999999999999</v>
      </c>
      <c r="M115" s="849">
        <f t="shared" si="33"/>
        <v>0.65029999999999999</v>
      </c>
    </row>
    <row r="116" spans="1:13">
      <c r="A116" s="847" t="s">
        <v>2699</v>
      </c>
      <c r="B116" s="848">
        <f>ROUND(0.949-0.012*B113,4)</f>
        <v>0.91900000000000004</v>
      </c>
      <c r="C116" s="848">
        <f>B116</f>
        <v>0.91900000000000004</v>
      </c>
      <c r="D116" s="848">
        <f>ROUND(0.8567-0.013*B113,4)</f>
        <v>0.82420000000000004</v>
      </c>
      <c r="E116" s="848">
        <f t="shared" ref="E116:H117" si="34">D116</f>
        <v>0.82420000000000004</v>
      </c>
      <c r="F116" s="848">
        <f t="shared" si="34"/>
        <v>0.82420000000000004</v>
      </c>
      <c r="G116" s="848">
        <f t="shared" si="34"/>
        <v>0.82420000000000004</v>
      </c>
      <c r="H116" s="848">
        <f t="shared" si="34"/>
        <v>0.82420000000000004</v>
      </c>
      <c r="I116" s="848">
        <f>ROUND(0.7694-0.014*B113,4)</f>
        <v>0.73440000000000005</v>
      </c>
      <c r="J116" s="848">
        <f t="shared" si="33"/>
        <v>0.73440000000000005</v>
      </c>
      <c r="K116" s="848">
        <f t="shared" si="33"/>
        <v>0.73440000000000005</v>
      </c>
      <c r="L116" s="848">
        <f t="shared" si="33"/>
        <v>0.73440000000000005</v>
      </c>
      <c r="M116" s="849">
        <f t="shared" si="33"/>
        <v>0.73440000000000005</v>
      </c>
    </row>
    <row r="117" spans="1:13">
      <c r="A117" s="847" t="s">
        <v>2700</v>
      </c>
      <c r="B117" s="848">
        <f>ROUND(0.8808-0.006*B113,4)</f>
        <v>0.86580000000000001</v>
      </c>
      <c r="C117" s="848">
        <f>B117</f>
        <v>0.86580000000000001</v>
      </c>
      <c r="D117" s="848">
        <f>ROUND(0.8748-0.008*B113,4)</f>
        <v>0.8548</v>
      </c>
      <c r="E117" s="848">
        <f t="shared" si="34"/>
        <v>0.8548</v>
      </c>
      <c r="F117" s="848">
        <f t="shared" si="34"/>
        <v>0.8548</v>
      </c>
      <c r="G117" s="848">
        <f t="shared" si="34"/>
        <v>0.8548</v>
      </c>
      <c r="H117" s="848">
        <f t="shared" si="34"/>
        <v>0.8548</v>
      </c>
      <c r="I117" s="848">
        <f>ROUND(0.7412-0.0095*B113,4)</f>
        <v>0.71750000000000003</v>
      </c>
      <c r="J117" s="848">
        <f t="shared" si="33"/>
        <v>0.71750000000000003</v>
      </c>
      <c r="K117" s="848">
        <f t="shared" si="33"/>
        <v>0.71750000000000003</v>
      </c>
      <c r="L117" s="848">
        <f t="shared" si="33"/>
        <v>0.71750000000000003</v>
      </c>
      <c r="M117" s="849">
        <f t="shared" si="33"/>
        <v>0.71750000000000003</v>
      </c>
    </row>
    <row r="118" spans="1:13" ht="13.5" thickBot="1">
      <c r="A118" s="669" t="s">
        <v>2701</v>
      </c>
      <c r="B118" s="850">
        <f>ROUND(0.7275-0.01*B113,4)</f>
        <v>0.70250000000000001</v>
      </c>
      <c r="C118" s="850">
        <f>B118</f>
        <v>0.70250000000000001</v>
      </c>
      <c r="D118" s="850">
        <f>ROUND(0.7043-0.012*B113,4)</f>
        <v>0.67430000000000001</v>
      </c>
      <c r="E118" s="850">
        <f>D118</f>
        <v>0.67430000000000001</v>
      </c>
      <c r="F118" s="850">
        <f>E118</f>
        <v>0.67430000000000001</v>
      </c>
      <c r="G118" s="850">
        <f>ROUND(0.6299-0.0122*B113,4)</f>
        <v>0.59940000000000004</v>
      </c>
      <c r="H118" s="850">
        <f>G118</f>
        <v>0.59940000000000004</v>
      </c>
      <c r="I118" s="850">
        <f>ROUND(0.5667-0.0136*B113,4)</f>
        <v>0.53269999999999995</v>
      </c>
      <c r="J118" s="850">
        <f t="shared" si="33"/>
        <v>0.53269999999999995</v>
      </c>
      <c r="K118" s="850">
        <f t="shared" si="33"/>
        <v>0.53269999999999995</v>
      </c>
      <c r="L118" s="850">
        <f t="shared" si="33"/>
        <v>0.53269999999999995</v>
      </c>
      <c r="M118" s="851">
        <f t="shared" si="33"/>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4"/>
      <c r="C2" s="3104"/>
      <c r="D2" s="3104"/>
      <c r="E2" s="3104"/>
    </row>
    <row r="3" spans="1:5" ht="18">
      <c r="A3" s="3105" t="str">
        <f>IF(项目基本情况!B9="房地产市场价值","估价结果一览表（市场价值不需“结果表-1”）","估价结果一览表")</f>
        <v>估价结果一览表</v>
      </c>
      <c r="B3" s="3105"/>
      <c r="C3" s="3105"/>
      <c r="D3" s="3105"/>
      <c r="E3" s="3105"/>
    </row>
    <row r="4" spans="1:5" ht="19.5" thickBot="1">
      <c r="A4" s="1677"/>
      <c r="B4" s="3103" t="s">
        <v>1595</v>
      </c>
      <c r="C4" s="3103"/>
      <c r="D4" s="3103"/>
      <c r="E4" s="1677"/>
    </row>
    <row r="5" spans="1:5" ht="16.5" thickTop="1">
      <c r="A5" s="1675"/>
      <c r="B5" s="3101" t="s">
        <v>1587</v>
      </c>
      <c r="C5" s="1678" t="s">
        <v>1588</v>
      </c>
      <c r="D5" s="958">
        <f ca="1">结果表!H101</f>
        <v>138209</v>
      </c>
      <c r="E5" s="1675"/>
    </row>
    <row r="6" spans="1:5" ht="15.75">
      <c r="A6" s="1675"/>
      <c r="B6" s="3101"/>
      <c r="C6" s="1678" t="s">
        <v>1589</v>
      </c>
      <c r="D6" s="958" t="str">
        <f ca="1">NUMBERSTRING(INT(D5*10000),2)&amp;"元整"</f>
        <v>壹拾叁亿捌仟贰佰零玖万元整</v>
      </c>
      <c r="E6" s="1675"/>
    </row>
    <row r="7" spans="1:5" ht="15.75">
      <c r="A7" s="1675"/>
      <c r="B7" s="3106"/>
      <c r="C7" s="1679" t="s">
        <v>1590</v>
      </c>
      <c r="D7" s="959">
        <f ca="1">结果表!H102</f>
        <v>11716</v>
      </c>
      <c r="E7" s="1675"/>
    </row>
    <row r="8" spans="1:5" ht="15.75">
      <c r="A8" s="1675"/>
      <c r="B8" s="3107" t="str">
        <f>结果表!E103</f>
        <v>2.估价师知悉的法定优先受偿款</v>
      </c>
      <c r="C8" s="1680" t="s">
        <v>1591</v>
      </c>
      <c r="D8" s="959">
        <f>结果表!H103</f>
        <v>0</v>
      </c>
      <c r="E8" s="1675"/>
    </row>
    <row r="9" spans="1:5" ht="15.75">
      <c r="A9" s="1675"/>
      <c r="B9" s="3109"/>
      <c r="C9" s="1678" t="s">
        <v>1589</v>
      </c>
      <c r="D9" s="958" t="str">
        <f>NUMBERSTRING(INT(D8*10000),2)&amp;"元整"</f>
        <v>零元整</v>
      </c>
      <c r="E9" s="1675"/>
    </row>
    <row r="10" spans="1:5" ht="15">
      <c r="A10" s="1675"/>
      <c r="B10" s="1681" t="s">
        <v>1594</v>
      </c>
      <c r="C10" s="1682" t="s">
        <v>1592</v>
      </c>
      <c r="D10" s="960">
        <f>结果表!H104</f>
        <v>0</v>
      </c>
      <c r="E10" s="1675"/>
    </row>
    <row r="11" spans="1:5" ht="15">
      <c r="A11" s="1675"/>
      <c r="B11" s="1681" t="s">
        <v>1596</v>
      </c>
      <c r="C11" s="1682" t="s">
        <v>1597</v>
      </c>
      <c r="D11" s="960">
        <f>结果表!H105</f>
        <v>0</v>
      </c>
      <c r="E11" s="1675"/>
    </row>
    <row r="12" spans="1:5" ht="15">
      <c r="A12" s="1675"/>
      <c r="B12" s="1681" t="s">
        <v>1598</v>
      </c>
      <c r="C12" s="1682" t="s">
        <v>1597</v>
      </c>
      <c r="D12" s="960">
        <f>结果表!H106</f>
        <v>0</v>
      </c>
      <c r="E12" s="1675"/>
    </row>
    <row r="13" spans="1:5" ht="15.75">
      <c r="A13" s="1675"/>
      <c r="B13" s="3100" t="str">
        <f>结果表!E107</f>
        <v>3.房地产抵押价值</v>
      </c>
      <c r="C13" s="1683" t="s">
        <v>1588</v>
      </c>
      <c r="D13" s="961">
        <f ca="1">结果表!H107</f>
        <v>138209</v>
      </c>
      <c r="E13" s="1675"/>
    </row>
    <row r="14" spans="1:5" ht="15.75">
      <c r="A14" s="1675"/>
      <c r="B14" s="3101"/>
      <c r="C14" s="1678" t="s">
        <v>1589</v>
      </c>
      <c r="D14" s="958" t="str">
        <f ca="1">NUMBERSTRING(INT(D13*10000),2)&amp;"元整"</f>
        <v>壹拾叁亿捌仟贰佰零玖万元整</v>
      </c>
      <c r="E14" s="1675"/>
    </row>
    <row r="15" spans="1:5" ht="15">
      <c r="A15" s="1675"/>
      <c r="B15" s="3106"/>
      <c r="C15" s="1679" t="s">
        <v>1599</v>
      </c>
      <c r="D15" s="967">
        <f ca="1">结果表!H108</f>
        <v>11716</v>
      </c>
      <c r="E15" s="1675"/>
    </row>
    <row r="16" spans="1:5" ht="15">
      <c r="A16" s="1675"/>
      <c r="B16" s="3107" t="str">
        <f>结果表!E109</f>
        <v>——</v>
      </c>
      <c r="C16" s="1683" t="s">
        <v>1600</v>
      </c>
      <c r="D16" s="1684" t="str">
        <f>结果表!H109</f>
        <v>——</v>
      </c>
      <c r="E16" s="1675"/>
    </row>
    <row r="17" spans="1:5" ht="15.75">
      <c r="A17" s="1675"/>
      <c r="B17" s="3108"/>
      <c r="C17" s="1678" t="s">
        <v>1601</v>
      </c>
      <c r="D17" s="958" t="e">
        <f>NUMBERSTRING(INT(D16*10000),2)&amp;"元整"</f>
        <v>#VALUE!</v>
      </c>
      <c r="E17" s="1675"/>
    </row>
    <row r="18" spans="1:5" ht="15">
      <c r="A18" s="1675"/>
      <c r="B18" s="3109"/>
      <c r="C18" s="1679" t="s">
        <v>1590</v>
      </c>
      <c r="D18" s="967" t="str">
        <f>结果表!H110</f>
        <v>——</v>
      </c>
      <c r="E18" s="1675"/>
    </row>
    <row r="19" spans="1:5" ht="15.75">
      <c r="A19" s="1675"/>
      <c r="B19" s="3100" t="str">
        <f>结果表!E111</f>
        <v>——</v>
      </c>
      <c r="C19" s="1683" t="s">
        <v>1588</v>
      </c>
      <c r="D19" s="959" t="str">
        <f>结果表!H111</f>
        <v>——</v>
      </c>
      <c r="E19" s="1675"/>
    </row>
    <row r="20" spans="1:5" ht="15.75">
      <c r="A20" s="1675"/>
      <c r="B20" s="3101"/>
      <c r="C20" s="1678" t="s">
        <v>1601</v>
      </c>
      <c r="D20" s="958" t="e">
        <f>NUMBERSTRING(INT(D19*10000),2)&amp;"元整"</f>
        <v>#VALUE!</v>
      </c>
      <c r="E20" s="1675"/>
    </row>
    <row r="21" spans="1:5" ht="15.75" thickBot="1">
      <c r="A21" s="1675"/>
      <c r="B21" s="3102"/>
      <c r="C21" s="1685" t="s">
        <v>1599</v>
      </c>
      <c r="D21" s="968"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18" t="s">
        <v>183</v>
      </c>
      <c r="B18" s="820" t="s">
        <v>560</v>
      </c>
      <c r="C18" s="821" t="s">
        <v>561</v>
      </c>
      <c r="D18" s="822"/>
      <c r="E18" s="820">
        <v>1</v>
      </c>
      <c r="F18" s="823" t="s">
        <v>562</v>
      </c>
      <c r="G18" s="824"/>
      <c r="H18" s="816"/>
      <c r="I18" s="816"/>
    </row>
    <row r="19" spans="1:9" s="825" customFormat="1" ht="19.5" customHeight="1">
      <c r="A19" s="3418"/>
      <c r="B19" s="3418" t="s">
        <v>563</v>
      </c>
      <c r="C19" s="821" t="s">
        <v>564</v>
      </c>
      <c r="D19" s="822"/>
      <c r="E19" s="820">
        <v>0.9</v>
      </c>
      <c r="F19" s="823" t="s">
        <v>565</v>
      </c>
      <c r="G19" s="824"/>
      <c r="H19" s="816"/>
      <c r="I19" s="816"/>
    </row>
    <row r="20" spans="1:9" s="825" customFormat="1" ht="19.5" customHeight="1">
      <c r="A20" s="3418"/>
      <c r="B20" s="3418"/>
      <c r="C20" s="821" t="s">
        <v>566</v>
      </c>
      <c r="D20" s="822"/>
      <c r="E20" s="820">
        <v>1.1000000000000001</v>
      </c>
      <c r="F20" s="823" t="s">
        <v>567</v>
      </c>
      <c r="G20" s="824"/>
      <c r="H20" s="816"/>
      <c r="I20" s="816"/>
    </row>
    <row r="21" spans="1:9" s="825" customFormat="1" ht="19.5" customHeight="1">
      <c r="A21" s="3418"/>
      <c r="B21" s="3418"/>
      <c r="C21" s="821" t="s">
        <v>568</v>
      </c>
      <c r="D21" s="822"/>
      <c r="E21" s="820">
        <v>0.8</v>
      </c>
      <c r="F21" s="823" t="s">
        <v>569</v>
      </c>
      <c r="G21" s="824"/>
      <c r="H21" s="816"/>
      <c r="I21" s="816"/>
    </row>
    <row r="22" spans="1:9" s="825" customFormat="1" ht="19.5" customHeight="1">
      <c r="A22" s="3418"/>
      <c r="B22" s="3418"/>
      <c r="C22" s="821" t="s">
        <v>570</v>
      </c>
      <c r="D22" s="822"/>
      <c r="E22" s="820">
        <v>0.5</v>
      </c>
      <c r="F22" s="823"/>
      <c r="G22" s="824"/>
      <c r="H22" s="816"/>
      <c r="I22" s="816"/>
    </row>
    <row r="23" spans="1:9" s="825" customFormat="1" ht="19.5" customHeight="1">
      <c r="A23" s="3418" t="s">
        <v>184</v>
      </c>
      <c r="B23" s="820" t="s">
        <v>560</v>
      </c>
      <c r="C23" s="821" t="s">
        <v>571</v>
      </c>
      <c r="D23" s="822"/>
      <c r="E23" s="820">
        <v>1</v>
      </c>
      <c r="F23" s="823" t="s">
        <v>572</v>
      </c>
      <c r="G23" s="824"/>
      <c r="H23" s="816"/>
      <c r="I23" s="816"/>
    </row>
    <row r="24" spans="1:9" s="825" customFormat="1" ht="19.5" customHeight="1">
      <c r="A24" s="3418"/>
      <c r="B24" s="3418" t="s">
        <v>563</v>
      </c>
      <c r="C24" s="821" t="s">
        <v>573</v>
      </c>
      <c r="D24" s="822"/>
      <c r="E24" s="820">
        <v>0.5</v>
      </c>
      <c r="F24" s="823"/>
      <c r="G24" s="824"/>
      <c r="H24" s="816"/>
      <c r="I24" s="816"/>
    </row>
    <row r="25" spans="1:9" s="825" customFormat="1" ht="19.5" customHeight="1">
      <c r="A25" s="3418"/>
      <c r="B25" s="3418"/>
      <c r="C25" s="821" t="s">
        <v>574</v>
      </c>
      <c r="D25" s="822"/>
      <c r="E25" s="820">
        <v>1.1000000000000001</v>
      </c>
      <c r="F25" s="823"/>
      <c r="G25" s="824"/>
      <c r="H25" s="816"/>
      <c r="I25" s="816"/>
    </row>
    <row r="26" spans="1:9" s="825" customFormat="1" ht="19.5" customHeight="1">
      <c r="A26" s="3418"/>
      <c r="B26" s="3418"/>
      <c r="C26" s="821" t="s">
        <v>575</v>
      </c>
      <c r="D26" s="822"/>
      <c r="E26" s="820">
        <v>1.1000000000000001</v>
      </c>
      <c r="F26" s="823"/>
      <c r="G26" s="824"/>
      <c r="H26" s="816"/>
      <c r="I26" s="816"/>
    </row>
    <row r="27" spans="1:9" s="825" customFormat="1" ht="19.5" customHeight="1">
      <c r="A27" s="3418"/>
      <c r="B27" s="3418"/>
      <c r="C27" s="821" t="s">
        <v>576</v>
      </c>
      <c r="D27" s="822"/>
      <c r="E27" s="820">
        <v>0.9</v>
      </c>
      <c r="F27" s="823" t="s">
        <v>577</v>
      </c>
      <c r="G27" s="824"/>
      <c r="H27" s="816"/>
      <c r="I27" s="816"/>
    </row>
    <row r="28" spans="1:9" s="825" customFormat="1" ht="19.5" customHeight="1">
      <c r="A28" s="3418"/>
      <c r="B28" s="3418"/>
      <c r="C28" s="821" t="s">
        <v>578</v>
      </c>
      <c r="D28" s="822"/>
      <c r="E28" s="820">
        <v>0.9</v>
      </c>
      <c r="F28" s="823" t="s">
        <v>579</v>
      </c>
      <c r="G28" s="824"/>
      <c r="H28" s="816"/>
      <c r="I28" s="816"/>
    </row>
    <row r="29" spans="1:9" s="825" customFormat="1" ht="19.5" customHeight="1">
      <c r="A29" s="3418"/>
      <c r="B29" s="3418"/>
      <c r="C29" s="821" t="s">
        <v>580</v>
      </c>
      <c r="D29" s="822"/>
      <c r="E29" s="820">
        <v>0.9</v>
      </c>
      <c r="F29" s="823" t="s">
        <v>581</v>
      </c>
      <c r="G29" s="824"/>
      <c r="H29" s="816"/>
      <c r="I29" s="816"/>
    </row>
    <row r="30" spans="1:9" s="825" customFormat="1" ht="19.5" customHeight="1">
      <c r="A30" s="3418"/>
      <c r="B30" s="3418"/>
      <c r="C30" s="821" t="s">
        <v>582</v>
      </c>
      <c r="D30" s="822"/>
      <c r="E30" s="820">
        <v>0.9</v>
      </c>
      <c r="F30" s="823" t="s">
        <v>583</v>
      </c>
      <c r="G30" s="824"/>
      <c r="H30" s="816"/>
      <c r="I30" s="816"/>
    </row>
    <row r="31" spans="1:9" s="825" customFormat="1" ht="19.5" customHeight="1">
      <c r="A31" s="3418"/>
      <c r="B31" s="3418"/>
      <c r="C31" s="821" t="s">
        <v>584</v>
      </c>
      <c r="D31" s="822"/>
      <c r="E31" s="820">
        <v>0.8</v>
      </c>
      <c r="F31" s="823" t="s">
        <v>585</v>
      </c>
      <c r="G31" s="824"/>
      <c r="H31" s="816"/>
      <c r="I31" s="816"/>
    </row>
    <row r="32" spans="1:9" s="825" customFormat="1" ht="19.5" customHeight="1">
      <c r="A32" s="3418"/>
      <c r="B32" s="3418"/>
      <c r="C32" s="821" t="s">
        <v>586</v>
      </c>
      <c r="D32" s="822"/>
      <c r="E32" s="820">
        <v>0.8</v>
      </c>
      <c r="F32" s="823" t="s">
        <v>587</v>
      </c>
      <c r="G32" s="824"/>
      <c r="H32" s="816"/>
      <c r="I32" s="816"/>
    </row>
    <row r="33" spans="1:9" s="825" customFormat="1" ht="19.5" customHeight="1">
      <c r="A33" s="3418" t="s">
        <v>185</v>
      </c>
      <c r="B33" s="820" t="s">
        <v>560</v>
      </c>
      <c r="C33" s="821" t="s">
        <v>588</v>
      </c>
      <c r="D33" s="822"/>
      <c r="E33" s="820">
        <v>1</v>
      </c>
      <c r="F33" s="823" t="s">
        <v>589</v>
      </c>
      <c r="G33" s="824"/>
      <c r="H33" s="816"/>
      <c r="I33" s="816"/>
    </row>
    <row r="34" spans="1:9" s="825" customFormat="1" ht="19.5" customHeight="1">
      <c r="A34" s="3418"/>
      <c r="B34" s="820" t="s">
        <v>563</v>
      </c>
      <c r="C34" s="821" t="s">
        <v>590</v>
      </c>
      <c r="D34" s="822"/>
      <c r="E34" s="820">
        <v>1.5</v>
      </c>
      <c r="F34" s="823" t="s">
        <v>591</v>
      </c>
      <c r="G34" s="824"/>
      <c r="H34" s="816"/>
      <c r="I34" s="816"/>
    </row>
    <row r="35" spans="1:9" s="825" customFormat="1" ht="19.5" customHeight="1">
      <c r="A35" s="3418" t="s">
        <v>186</v>
      </c>
      <c r="B35" s="820" t="s">
        <v>560</v>
      </c>
      <c r="C35" s="821" t="s">
        <v>592</v>
      </c>
      <c r="D35" s="822"/>
      <c r="E35" s="820">
        <v>1</v>
      </c>
      <c r="F35" s="823" t="s">
        <v>593</v>
      </c>
      <c r="G35" s="824"/>
      <c r="H35" s="816"/>
      <c r="I35" s="816"/>
    </row>
    <row r="36" spans="1:9" s="825" customFormat="1" ht="19.5" customHeight="1">
      <c r="A36" s="3418"/>
      <c r="B36" s="3418" t="s">
        <v>563</v>
      </c>
      <c r="C36" s="821" t="s">
        <v>594</v>
      </c>
      <c r="D36" s="822"/>
      <c r="E36" s="820">
        <v>1</v>
      </c>
      <c r="F36" s="823" t="s">
        <v>595</v>
      </c>
      <c r="G36" s="824"/>
      <c r="H36" s="816"/>
      <c r="I36" s="816"/>
    </row>
    <row r="37" spans="1:9" s="825" customFormat="1" ht="19.5" customHeight="1">
      <c r="A37" s="3418"/>
      <c r="B37" s="3418"/>
      <c r="C37" s="821" t="s">
        <v>596</v>
      </c>
      <c r="D37" s="822"/>
      <c r="E37" s="820">
        <v>1.5</v>
      </c>
      <c r="F37" s="823" t="s">
        <v>597</v>
      </c>
      <c r="G37" s="824"/>
      <c r="H37" s="816"/>
      <c r="I37" s="816"/>
    </row>
    <row r="38" spans="1:9" s="825" customFormat="1" ht="19.5" customHeight="1">
      <c r="A38" s="3418"/>
      <c r="B38" s="3418"/>
      <c r="C38" s="821" t="s">
        <v>598</v>
      </c>
      <c r="D38" s="822"/>
      <c r="E38" s="820">
        <v>1</v>
      </c>
      <c r="F38" s="823" t="s">
        <v>599</v>
      </c>
      <c r="G38" s="824"/>
      <c r="H38" s="816"/>
      <c r="I38" s="816"/>
    </row>
    <row r="39" spans="1:9" s="825" customFormat="1" ht="19.5" customHeight="1">
      <c r="A39" s="3418"/>
      <c r="B39" s="3418"/>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18" t="s">
        <v>614</v>
      </c>
      <c r="C61" s="756" t="s">
        <v>615</v>
      </c>
      <c r="D61" s="756" t="s">
        <v>616</v>
      </c>
      <c r="E61" s="833">
        <v>0.5</v>
      </c>
      <c r="F61" s="820">
        <v>80</v>
      </c>
    </row>
    <row r="62" spans="1:8" s="816" customFormat="1" ht="24">
      <c r="A62" s="820">
        <v>2</v>
      </c>
      <c r="B62" s="3418"/>
      <c r="C62" s="756" t="s">
        <v>617</v>
      </c>
      <c r="D62" s="756" t="s">
        <v>618</v>
      </c>
      <c r="E62" s="833">
        <v>0.5</v>
      </c>
      <c r="F62" s="820">
        <v>80</v>
      </c>
    </row>
    <row r="63" spans="1:8" s="816" customFormat="1" ht="36">
      <c r="A63" s="820">
        <v>3</v>
      </c>
      <c r="B63" s="3418"/>
      <c r="C63" s="756" t="s">
        <v>619</v>
      </c>
      <c r="D63" s="756" t="s">
        <v>620</v>
      </c>
      <c r="E63" s="833">
        <v>0.5</v>
      </c>
      <c r="F63" s="820">
        <v>80</v>
      </c>
    </row>
    <row r="64" spans="1:8" s="816" customFormat="1" ht="36">
      <c r="A64" s="820">
        <v>4</v>
      </c>
      <c r="B64" s="3418"/>
      <c r="C64" s="756" t="s">
        <v>621</v>
      </c>
      <c r="D64" s="756" t="s">
        <v>622</v>
      </c>
      <c r="E64" s="833">
        <v>0.4</v>
      </c>
      <c r="F64" s="820">
        <v>60</v>
      </c>
    </row>
    <row r="65" spans="1:6" s="816" customFormat="1" ht="36">
      <c r="A65" s="820">
        <v>5</v>
      </c>
      <c r="B65" s="3418"/>
      <c r="C65" s="756" t="s">
        <v>623</v>
      </c>
      <c r="D65" s="756" t="s">
        <v>624</v>
      </c>
      <c r="E65" s="833">
        <v>0.2</v>
      </c>
      <c r="F65" s="820">
        <v>30</v>
      </c>
    </row>
    <row r="66" spans="1:6" s="816" customFormat="1" ht="36">
      <c r="A66" s="820">
        <v>6</v>
      </c>
      <c r="B66" s="3418"/>
      <c r="C66" s="756" t="s">
        <v>625</v>
      </c>
      <c r="D66" s="756" t="s">
        <v>626</v>
      </c>
      <c r="E66" s="833">
        <v>0.3</v>
      </c>
      <c r="F66" s="820">
        <v>50</v>
      </c>
    </row>
    <row r="67" spans="1:6" s="816" customFormat="1" ht="36">
      <c r="A67" s="820">
        <v>7</v>
      </c>
      <c r="B67" s="3418"/>
      <c r="C67" s="756" t="s">
        <v>627</v>
      </c>
      <c r="D67" s="756" t="s">
        <v>628</v>
      </c>
      <c r="E67" s="833">
        <v>0.2</v>
      </c>
      <c r="F67" s="820">
        <v>30</v>
      </c>
    </row>
    <row r="68" spans="1:6" s="816" customFormat="1" ht="36">
      <c r="A68" s="820">
        <v>8</v>
      </c>
      <c r="B68" s="3418"/>
      <c r="C68" s="756" t="s">
        <v>629</v>
      </c>
      <c r="D68" s="756" t="s">
        <v>630</v>
      </c>
      <c r="E68" s="833">
        <v>0.2</v>
      </c>
      <c r="F68" s="820">
        <v>30</v>
      </c>
    </row>
    <row r="69" spans="1:6" s="816" customFormat="1" ht="36">
      <c r="A69" s="820">
        <v>9</v>
      </c>
      <c r="B69" s="3418"/>
      <c r="C69" s="756" t="s">
        <v>631</v>
      </c>
      <c r="D69" s="756" t="s">
        <v>632</v>
      </c>
      <c r="E69" s="833">
        <v>0.2</v>
      </c>
      <c r="F69" s="820">
        <v>30</v>
      </c>
    </row>
    <row r="70" spans="1:6" s="816" customFormat="1" ht="48">
      <c r="A70" s="820">
        <v>10</v>
      </c>
      <c r="B70" s="3418"/>
      <c r="C70" s="756" t="s">
        <v>633</v>
      </c>
      <c r="D70" s="756" t="s">
        <v>634</v>
      </c>
      <c r="E70" s="833">
        <v>0.2</v>
      </c>
      <c r="F70" s="820">
        <v>30</v>
      </c>
    </row>
    <row r="71" spans="1:6" s="816" customFormat="1" ht="48">
      <c r="A71" s="820">
        <v>11</v>
      </c>
      <c r="B71" s="3418"/>
      <c r="C71" s="756" t="s">
        <v>635</v>
      </c>
      <c r="D71" s="756" t="s">
        <v>636</v>
      </c>
      <c r="E71" s="833">
        <v>0.2</v>
      </c>
      <c r="F71" s="820">
        <v>30</v>
      </c>
    </row>
    <row r="72" spans="1:6" s="816" customFormat="1" ht="36">
      <c r="A72" s="820">
        <v>12</v>
      </c>
      <c r="B72" s="3418"/>
      <c r="C72" s="756" t="s">
        <v>637</v>
      </c>
      <c r="D72" s="756" t="s">
        <v>638</v>
      </c>
      <c r="E72" s="833">
        <v>0.5</v>
      </c>
      <c r="F72" s="820">
        <v>80</v>
      </c>
    </row>
    <row r="73" spans="1:6" s="816" customFormat="1" ht="24">
      <c r="A73" s="820">
        <v>13</v>
      </c>
      <c r="B73" s="3418"/>
      <c r="C73" s="756" t="s">
        <v>639</v>
      </c>
      <c r="D73" s="756" t="s">
        <v>640</v>
      </c>
      <c r="E73" s="833">
        <v>0.4</v>
      </c>
      <c r="F73" s="820">
        <v>60</v>
      </c>
    </row>
    <row r="74" spans="1:6" s="816" customFormat="1" ht="24">
      <c r="A74" s="820">
        <v>14</v>
      </c>
      <c r="B74" s="3418"/>
      <c r="C74" s="756" t="s">
        <v>641</v>
      </c>
      <c r="D74" s="756" t="s">
        <v>642</v>
      </c>
      <c r="E74" s="833">
        <v>0.2</v>
      </c>
      <c r="F74" s="820">
        <v>30</v>
      </c>
    </row>
    <row r="75" spans="1:6" s="816" customFormat="1" ht="24">
      <c r="A75" s="820">
        <v>15</v>
      </c>
      <c r="B75" s="3418"/>
      <c r="C75" s="756" t="s">
        <v>643</v>
      </c>
      <c r="D75" s="756" t="s">
        <v>644</v>
      </c>
      <c r="E75" s="833">
        <v>0.2</v>
      </c>
      <c r="F75" s="820">
        <v>30</v>
      </c>
    </row>
    <row r="76" spans="1:6" s="816" customFormat="1" ht="24">
      <c r="A76" s="820">
        <v>16</v>
      </c>
      <c r="B76" s="3418" t="s">
        <v>645</v>
      </c>
      <c r="C76" s="756" t="s">
        <v>646</v>
      </c>
      <c r="D76" s="756" t="s">
        <v>647</v>
      </c>
      <c r="E76" s="833">
        <v>0.5</v>
      </c>
      <c r="F76" s="820">
        <v>80</v>
      </c>
    </row>
    <row r="77" spans="1:6" s="816" customFormat="1" ht="24">
      <c r="A77" s="820">
        <v>17</v>
      </c>
      <c r="B77" s="3418"/>
      <c r="C77" s="756" t="s">
        <v>648</v>
      </c>
      <c r="D77" s="756" t="s">
        <v>649</v>
      </c>
      <c r="E77" s="833">
        <v>0.5</v>
      </c>
      <c r="F77" s="820">
        <v>80</v>
      </c>
    </row>
    <row r="78" spans="1:6" s="816" customFormat="1" ht="24">
      <c r="A78" s="820">
        <v>18</v>
      </c>
      <c r="B78" s="3418"/>
      <c r="C78" s="756" t="s">
        <v>650</v>
      </c>
      <c r="D78" s="756" t="s">
        <v>651</v>
      </c>
      <c r="E78" s="833">
        <v>0.2</v>
      </c>
      <c r="F78" s="820">
        <v>30</v>
      </c>
    </row>
    <row r="79" spans="1:6" s="816" customFormat="1" ht="24">
      <c r="A79" s="820">
        <v>19</v>
      </c>
      <c r="B79" s="3418"/>
      <c r="C79" s="756" t="s">
        <v>652</v>
      </c>
      <c r="D79" s="756" t="s">
        <v>653</v>
      </c>
      <c r="E79" s="833">
        <v>0.5</v>
      </c>
      <c r="F79" s="820">
        <v>80</v>
      </c>
    </row>
    <row r="80" spans="1:6" s="816" customFormat="1" ht="36">
      <c r="A80" s="820">
        <v>20</v>
      </c>
      <c r="B80" s="3418"/>
      <c r="C80" s="756" t="s">
        <v>654</v>
      </c>
      <c r="D80" s="756" t="s">
        <v>655</v>
      </c>
      <c r="E80" s="833">
        <v>0.2</v>
      </c>
      <c r="F80" s="820">
        <v>30</v>
      </c>
    </row>
    <row r="81" spans="1:6" s="816" customFormat="1" ht="36">
      <c r="A81" s="820">
        <v>21</v>
      </c>
      <c r="B81" s="3418"/>
      <c r="C81" s="756" t="s">
        <v>656</v>
      </c>
      <c r="D81" s="756" t="s">
        <v>657</v>
      </c>
      <c r="E81" s="833">
        <v>0.2</v>
      </c>
      <c r="F81" s="820">
        <v>30</v>
      </c>
    </row>
    <row r="82" spans="1:6" s="816" customFormat="1" ht="48">
      <c r="A82" s="820">
        <v>22</v>
      </c>
      <c r="B82" s="3418"/>
      <c r="C82" s="756" t="s">
        <v>658</v>
      </c>
      <c r="D82" s="756" t="s">
        <v>659</v>
      </c>
      <c r="E82" s="833">
        <v>0.2</v>
      </c>
      <c r="F82" s="820">
        <v>30</v>
      </c>
    </row>
    <row r="83" spans="1:6" s="816" customFormat="1" ht="48">
      <c r="A83" s="820">
        <v>23</v>
      </c>
      <c r="B83" s="3418"/>
      <c r="C83" s="756" t="s">
        <v>660</v>
      </c>
      <c r="D83" s="756" t="s">
        <v>661</v>
      </c>
      <c r="E83" s="833">
        <v>0.2</v>
      </c>
      <c r="F83" s="820">
        <v>30</v>
      </c>
    </row>
    <row r="84" spans="1:6" s="816" customFormat="1" ht="36">
      <c r="A84" s="820">
        <v>24</v>
      </c>
      <c r="B84" s="3418"/>
      <c r="C84" s="756" t="s">
        <v>662</v>
      </c>
      <c r="D84" s="756" t="s">
        <v>663</v>
      </c>
      <c r="E84" s="833">
        <v>0.2</v>
      </c>
      <c r="F84" s="820">
        <v>30</v>
      </c>
    </row>
    <row r="85" spans="1:6" s="816" customFormat="1" ht="36">
      <c r="A85" s="820">
        <v>25</v>
      </c>
      <c r="B85" s="3418"/>
      <c r="C85" s="756" t="s">
        <v>664</v>
      </c>
      <c r="D85" s="756" t="s">
        <v>665</v>
      </c>
      <c r="E85" s="833">
        <v>0.5</v>
      </c>
      <c r="F85" s="820">
        <v>80</v>
      </c>
    </row>
    <row r="86" spans="1:6" s="816" customFormat="1" ht="36">
      <c r="A86" s="820">
        <v>26</v>
      </c>
      <c r="B86" s="3418"/>
      <c r="C86" s="756" t="s">
        <v>666</v>
      </c>
      <c r="D86" s="756" t="s">
        <v>667</v>
      </c>
      <c r="E86" s="833">
        <v>0.2</v>
      </c>
      <c r="F86" s="820">
        <v>30</v>
      </c>
    </row>
    <row r="87" spans="1:6" s="816" customFormat="1" ht="36">
      <c r="A87" s="820">
        <v>27</v>
      </c>
      <c r="B87" s="3418"/>
      <c r="C87" s="756" t="s">
        <v>668</v>
      </c>
      <c r="D87" s="756" t="s">
        <v>669</v>
      </c>
      <c r="E87" s="833">
        <v>0.2</v>
      </c>
      <c r="F87" s="820">
        <v>30</v>
      </c>
    </row>
    <row r="88" spans="1:6" s="816" customFormat="1" ht="36">
      <c r="A88" s="820">
        <v>28</v>
      </c>
      <c r="B88" s="3418"/>
      <c r="C88" s="756" t="s">
        <v>670</v>
      </c>
      <c r="D88" s="756" t="s">
        <v>671</v>
      </c>
      <c r="E88" s="833">
        <v>0.2</v>
      </c>
      <c r="F88" s="820">
        <v>30</v>
      </c>
    </row>
    <row r="89" spans="1:6" s="816" customFormat="1" ht="24">
      <c r="A89" s="820">
        <v>29</v>
      </c>
      <c r="B89" s="3418"/>
      <c r="C89" s="756" t="s">
        <v>672</v>
      </c>
      <c r="D89" s="756" t="s">
        <v>673</v>
      </c>
      <c r="E89" s="833">
        <v>0.2</v>
      </c>
      <c r="F89" s="820">
        <v>30</v>
      </c>
    </row>
    <row r="90" spans="1:6" s="816" customFormat="1" ht="24">
      <c r="A90" s="820">
        <v>30</v>
      </c>
      <c r="B90" s="3418"/>
      <c r="C90" s="756" t="s">
        <v>674</v>
      </c>
      <c r="D90" s="756" t="s">
        <v>675</v>
      </c>
      <c r="E90" s="833">
        <v>0.2</v>
      </c>
      <c r="F90" s="820">
        <v>30</v>
      </c>
    </row>
    <row r="91" spans="1:6" s="816" customFormat="1" ht="36">
      <c r="A91" s="820">
        <v>31</v>
      </c>
      <c r="B91" s="3418"/>
      <c r="C91" s="756" t="s">
        <v>676</v>
      </c>
      <c r="D91" s="756" t="s">
        <v>677</v>
      </c>
      <c r="E91" s="833">
        <v>0.2</v>
      </c>
      <c r="F91" s="820">
        <v>30</v>
      </c>
    </row>
    <row r="92" spans="1:6" s="816" customFormat="1" ht="24">
      <c r="A92" s="820">
        <v>32</v>
      </c>
      <c r="B92" s="3418" t="s">
        <v>678</v>
      </c>
      <c r="C92" s="820" t="s">
        <v>679</v>
      </c>
      <c r="D92" s="756" t="s">
        <v>680</v>
      </c>
      <c r="E92" s="833">
        <v>0.2</v>
      </c>
      <c r="F92" s="820">
        <v>30</v>
      </c>
    </row>
    <row r="93" spans="1:6" s="816" customFormat="1" ht="36">
      <c r="A93" s="820">
        <v>33</v>
      </c>
      <c r="B93" s="3418"/>
      <c r="C93" s="820" t="s">
        <v>681</v>
      </c>
      <c r="D93" s="756" t="s">
        <v>682</v>
      </c>
      <c r="E93" s="833">
        <v>0.2</v>
      </c>
      <c r="F93" s="820">
        <v>30</v>
      </c>
    </row>
    <row r="94" spans="1:6" s="816" customFormat="1" ht="48">
      <c r="A94" s="820">
        <v>34</v>
      </c>
      <c r="B94" s="3418"/>
      <c r="C94" s="820" t="s">
        <v>683</v>
      </c>
      <c r="D94" s="756" t="s">
        <v>684</v>
      </c>
      <c r="E94" s="833">
        <v>0.2</v>
      </c>
      <c r="F94" s="820">
        <v>30</v>
      </c>
    </row>
    <row r="95" spans="1:6" s="816" customFormat="1" ht="36">
      <c r="A95" s="820">
        <v>35</v>
      </c>
      <c r="B95" s="3418"/>
      <c r="C95" s="820" t="s">
        <v>685</v>
      </c>
      <c r="D95" s="756" t="s">
        <v>686</v>
      </c>
      <c r="E95" s="833">
        <v>0.2</v>
      </c>
      <c r="F95" s="820">
        <v>30</v>
      </c>
    </row>
    <row r="96" spans="1:6" s="816" customFormat="1" ht="48">
      <c r="A96" s="820">
        <v>36</v>
      </c>
      <c r="B96" s="3418"/>
      <c r="C96" s="756" t="s">
        <v>687</v>
      </c>
      <c r="D96" s="756" t="s">
        <v>688</v>
      </c>
      <c r="E96" s="833">
        <v>0.2</v>
      </c>
      <c r="F96" s="820">
        <v>30</v>
      </c>
    </row>
    <row r="97" spans="1:6" s="816" customFormat="1" ht="36">
      <c r="A97" s="820">
        <v>37</v>
      </c>
      <c r="B97" s="3418"/>
      <c r="C97" s="820" t="s">
        <v>689</v>
      </c>
      <c r="D97" s="756" t="s">
        <v>690</v>
      </c>
      <c r="E97" s="833">
        <v>0.2</v>
      </c>
      <c r="F97" s="820">
        <v>30</v>
      </c>
    </row>
    <row r="98" spans="1:6" s="816" customFormat="1" ht="36">
      <c r="A98" s="820">
        <v>38</v>
      </c>
      <c r="B98" s="3418"/>
      <c r="C98" s="820" t="s">
        <v>691</v>
      </c>
      <c r="D98" s="756" t="s">
        <v>692</v>
      </c>
      <c r="E98" s="833">
        <v>0.2</v>
      </c>
      <c r="F98" s="820">
        <v>30</v>
      </c>
    </row>
    <row r="99" spans="1:6" s="816" customFormat="1" ht="36">
      <c r="A99" s="820">
        <v>39</v>
      </c>
      <c r="B99" s="3418" t="s">
        <v>693</v>
      </c>
      <c r="C99" s="820" t="s">
        <v>694</v>
      </c>
      <c r="D99" s="756" t="s">
        <v>695</v>
      </c>
      <c r="E99" s="833">
        <v>0.3</v>
      </c>
      <c r="F99" s="820">
        <v>50</v>
      </c>
    </row>
    <row r="100" spans="1:6" s="816" customFormat="1" ht="24">
      <c r="A100" s="820">
        <v>40</v>
      </c>
      <c r="B100" s="3418"/>
      <c r="C100" s="820" t="s">
        <v>696</v>
      </c>
      <c r="D100" s="756" t="s">
        <v>697</v>
      </c>
      <c r="E100" s="833">
        <v>0.2</v>
      </c>
      <c r="F100" s="820">
        <v>30</v>
      </c>
    </row>
    <row r="101" spans="1:6" s="816" customFormat="1" ht="36">
      <c r="A101" s="820">
        <v>41</v>
      </c>
      <c r="B101" s="3418"/>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18" t="s">
        <v>708</v>
      </c>
      <c r="C105" s="820" t="s">
        <v>709</v>
      </c>
      <c r="D105" s="756" t="s">
        <v>710</v>
      </c>
      <c r="E105" s="833">
        <v>0.2</v>
      </c>
      <c r="F105" s="820">
        <v>30</v>
      </c>
    </row>
    <row r="106" spans="1:6" s="816" customFormat="1" ht="36">
      <c r="A106" s="820">
        <v>46</v>
      </c>
      <c r="B106" s="3418"/>
      <c r="C106" s="820" t="s">
        <v>711</v>
      </c>
      <c r="D106" s="756" t="s">
        <v>712</v>
      </c>
      <c r="E106" s="833">
        <v>0.2</v>
      </c>
      <c r="F106" s="820">
        <v>30</v>
      </c>
    </row>
    <row r="107" spans="1:6" s="816" customFormat="1" ht="36">
      <c r="A107" s="820">
        <v>47</v>
      </c>
      <c r="B107" s="3418" t="s">
        <v>713</v>
      </c>
      <c r="C107" s="820" t="s">
        <v>714</v>
      </c>
      <c r="D107" s="756" t="s">
        <v>715</v>
      </c>
      <c r="E107" s="833">
        <v>0.3</v>
      </c>
      <c r="F107" s="820">
        <v>50</v>
      </c>
    </row>
    <row r="108" spans="1:6" s="816" customFormat="1" ht="36">
      <c r="A108" s="820">
        <v>48</v>
      </c>
      <c r="B108" s="3418"/>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18" t="s">
        <v>724</v>
      </c>
      <c r="C111" s="820" t="s">
        <v>725</v>
      </c>
      <c r="D111" s="756" t="s">
        <v>726</v>
      </c>
      <c r="E111" s="833">
        <v>0.2</v>
      </c>
      <c r="F111" s="820">
        <v>30</v>
      </c>
    </row>
    <row r="112" spans="1:6" s="816" customFormat="1" ht="24">
      <c r="A112" s="820">
        <v>52</v>
      </c>
      <c r="B112" s="3418"/>
      <c r="C112" s="820" t="s">
        <v>727</v>
      </c>
      <c r="D112" s="756" t="s">
        <v>728</v>
      </c>
      <c r="E112" s="833">
        <v>0.2</v>
      </c>
      <c r="F112" s="820">
        <v>30</v>
      </c>
    </row>
    <row r="113" spans="1:6" s="816" customFormat="1" ht="24">
      <c r="A113" s="820">
        <v>53</v>
      </c>
      <c r="B113" s="3418"/>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18" t="s">
        <v>737</v>
      </c>
      <c r="C116" s="820" t="s">
        <v>738</v>
      </c>
      <c r="D116" s="756" t="s">
        <v>739</v>
      </c>
      <c r="E116" s="833">
        <v>0.2</v>
      </c>
      <c r="F116" s="820">
        <v>30</v>
      </c>
    </row>
    <row r="117" spans="1:6" ht="36">
      <c r="A117" s="820">
        <v>57</v>
      </c>
      <c r="B117" s="3418"/>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2821</v>
      </c>
      <c r="B1" s="2360"/>
      <c r="C1" s="2360"/>
      <c r="D1" s="2360"/>
      <c r="E1" s="2360"/>
      <c r="F1" s="3021"/>
      <c r="G1" s="3021"/>
      <c r="H1" s="3021"/>
      <c r="I1" s="3021"/>
      <c r="J1" s="3021"/>
      <c r="K1" s="3021"/>
      <c r="L1" s="3021"/>
      <c r="M1" s="3021"/>
      <c r="N1" s="3021"/>
      <c r="O1" s="3021"/>
      <c r="P1" s="3021"/>
    </row>
    <row r="2" spans="1:16" ht="15.75">
      <c r="A2" s="2358" t="s">
        <v>2813</v>
      </c>
      <c r="B2" s="2825" t="e">
        <f ca="1">SUMIF(B6:B13,"&lt;&gt;#ref!",B6:B13)</f>
        <v>#DIV/0!</v>
      </c>
      <c r="C2" s="2358" t="s">
        <v>2814</v>
      </c>
      <c r="D2" s="2358" t="s">
        <v>2815</v>
      </c>
      <c r="E2" s="2835">
        <f ca="1">SUMIF(E6:E13,"&lt;&gt;#ref!",E6:E13)</f>
        <v>0</v>
      </c>
      <c r="F2" s="3021"/>
      <c r="G2" s="3021"/>
      <c r="H2" s="3021"/>
      <c r="I2" s="3021"/>
      <c r="J2" s="3021"/>
      <c r="K2" s="3021"/>
      <c r="L2" s="3021"/>
      <c r="M2" s="3021"/>
      <c r="N2" s="3021"/>
      <c r="O2" s="3021"/>
      <c r="P2" s="3021"/>
    </row>
    <row r="3" spans="1:16" ht="15.75">
      <c r="A3" s="2358" t="s">
        <v>2816</v>
      </c>
      <c r="B3" s="2825" t="e">
        <f ca="1">ROUND(B2*10000/E2,0)</f>
        <v>#DIV/0!</v>
      </c>
      <c r="C3" s="2358" t="s">
        <v>2822</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2817</v>
      </c>
      <c r="B5" s="2833" t="s">
        <v>2818</v>
      </c>
      <c r="C5" s="2359"/>
      <c r="D5" s="3021"/>
      <c r="E5" s="2834" t="s">
        <v>2819</v>
      </c>
      <c r="F5" s="3021"/>
      <c r="G5" s="3021"/>
      <c r="H5" s="3021"/>
      <c r="I5" s="3021"/>
      <c r="J5" s="3021"/>
      <c r="K5" s="3021"/>
      <c r="L5" s="3021"/>
      <c r="M5" s="3021"/>
      <c r="N5" s="3021"/>
      <c r="O5" s="3021"/>
      <c r="P5" s="3021"/>
    </row>
    <row r="6" spans="1:16" ht="15.75">
      <c r="A6" s="2832" t="s">
        <v>2820</v>
      </c>
      <c r="B6" s="2825" t="e">
        <f ca="1">SUMIF(INDIRECT("'"&amp;A6&amp;"'"&amp;"!A:A"),"总价",INDIRECT("'"&amp;A6&amp;"'"&amp;"!B:B"))</f>
        <v>#DIV/0!</v>
      </c>
      <c r="C6" s="2358" t="s">
        <v>2814</v>
      </c>
      <c r="D6" s="3021"/>
      <c r="E6" s="2835">
        <f ca="1">SUMIF(INDIRECT("'"&amp;A6&amp;"'"&amp;"!C:C"),"建筑面积",INDIRECT("'"&amp;A6&amp;"'"&amp;"!D:D"))</f>
        <v>0</v>
      </c>
      <c r="F6" s="3021"/>
      <c r="G6" s="3021"/>
      <c r="H6" s="3021"/>
      <c r="I6" s="3021"/>
      <c r="J6" s="3021"/>
      <c r="K6" s="3021"/>
      <c r="L6" s="3021"/>
      <c r="M6" s="3021"/>
      <c r="N6" s="3021"/>
      <c r="O6" s="3021"/>
      <c r="P6" s="3021"/>
    </row>
    <row r="7" spans="1:16" ht="15.75">
      <c r="A7" s="2832"/>
      <c r="B7" s="2825" t="e">
        <f ca="1">SUMIF(INDIRECT("'"&amp;A7&amp;"'"&amp;"!A:A"),"总价",INDIRECT("'"&amp;A7&amp;"'"&amp;"!B:B"))</f>
        <v>#REF!</v>
      </c>
      <c r="C7" s="2358" t="s">
        <v>2814</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2814</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2814</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2814</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2814</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2814</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2814</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424" t="s">
        <v>1117</v>
      </c>
      <c r="C1" s="3424"/>
      <c r="D1" s="3424"/>
      <c r="E1" s="3424"/>
      <c r="F1" s="3424"/>
      <c r="G1" s="3423" t="s">
        <v>1118</v>
      </c>
      <c r="H1" s="3423"/>
      <c r="I1" s="3423"/>
      <c r="J1" s="3423"/>
      <c r="K1" s="3423"/>
      <c r="L1" s="3423"/>
      <c r="N1" s="3423" t="s">
        <v>1119</v>
      </c>
      <c r="O1" s="3423"/>
      <c r="P1" s="3423"/>
      <c r="Q1" s="3423"/>
      <c r="S1" s="3423" t="s">
        <v>1120</v>
      </c>
      <c r="T1" s="3423"/>
      <c r="U1" s="3423"/>
      <c r="V1" s="3423"/>
      <c r="X1" s="3422" t="s">
        <v>1121</v>
      </c>
      <c r="Y1" s="3423"/>
      <c r="Z1" s="3423"/>
      <c r="AA1" s="3423"/>
      <c r="AB1" s="3423"/>
      <c r="AD1" s="3422" t="s">
        <v>1122</v>
      </c>
      <c r="AE1" s="3423"/>
      <c r="AF1" s="3423"/>
      <c r="AG1" s="3423"/>
      <c r="AH1" s="3423"/>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2854</v>
      </c>
      <c r="B3" s="2392"/>
      <c r="C3" s="2392"/>
      <c r="D3" s="2393"/>
      <c r="E3" s="2393"/>
      <c r="F3" s="2392"/>
      <c r="G3" s="2394"/>
      <c r="H3" s="2395"/>
      <c r="I3" s="2396">
        <f>ROUND(AVERAGE($I4:$I35),2)</f>
        <v>1.7</v>
      </c>
      <c r="J3" s="2396">
        <f>ROUND(AVERAGE($J4:$J35),2)</f>
        <v>1.07</v>
      </c>
      <c r="K3" s="2396">
        <f>ROUND(AVERAGE($K4:$K35),2)</f>
        <v>1.87</v>
      </c>
      <c r="L3" s="2396">
        <f>ROUND(AVERAGE($L4:$L35),2)</f>
        <v>1.24</v>
      </c>
      <c r="N3" s="2394"/>
      <c r="S3" s="2394"/>
      <c r="W3" s="2398"/>
      <c r="X3" s="2399">
        <f>ROUND(SUMPRODUCT(PRODUCT(1+N3:N$34)),4)</f>
        <v>1.6338999999999999</v>
      </c>
      <c r="Y3" s="2399">
        <f>ROUND(SUMPRODUCT(PRODUCT(1+O3:O$34)),4)</f>
        <v>1.3588</v>
      </c>
      <c r="Z3" s="2399">
        <f t="shared" ref="Z3:Z32" si="0">Y3</f>
        <v>1.3588</v>
      </c>
      <c r="AA3" s="2399">
        <f>ROUND(SUMPRODUCT(PRODUCT(1+P3:P$34)),4)</f>
        <v>1.7150000000000001</v>
      </c>
      <c r="AB3" s="2399">
        <f>ROUND(SUMPRODUCT(PRODUCT(1+Q3:Q$34)),4)</f>
        <v>1.446</v>
      </c>
      <c r="AD3" s="2400">
        <f>ROUND(AVERAGE(I3:I$35)/100,4)</f>
        <v>1.7000000000000001E-2</v>
      </c>
      <c r="AE3" s="2400">
        <f>ROUND(AVERAGE(J3:J$35)/100,4)</f>
        <v>1.0699999999999999E-2</v>
      </c>
      <c r="AF3" s="2400">
        <f t="shared" ref="AF3:AF33" si="1">AE3</f>
        <v>1.0699999999999999E-2</v>
      </c>
      <c r="AG3" s="2400">
        <f>ROUND(AVERAGE(K3:K$35)/100,4)</f>
        <v>1.8700000000000001E-2</v>
      </c>
      <c r="AH3" s="2400">
        <f>ROUND(AVERAGE(L3:L$35)/100,4)</f>
        <v>1.24E-2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3053</v>
      </c>
      <c r="B5" s="2410">
        <f t="shared" ref="B5" si="2">B6*(1+N5)</f>
        <v>502.50893609650217</v>
      </c>
      <c r="C5" s="2410">
        <f t="shared" ref="C5" si="3">C6*(1+O5)</f>
        <v>350.27569313914915</v>
      </c>
      <c r="D5" s="2410">
        <f t="shared" ref="D5" si="4">C5</f>
        <v>350.27569313914915</v>
      </c>
      <c r="E5" s="2410">
        <f t="shared" ref="E5" si="5">E6*(1+P5)</f>
        <v>725.27220201394141</v>
      </c>
      <c r="F5" s="2410">
        <f t="shared" ref="F5" si="6">F6*(1+Q5)</f>
        <v>332.45017846012797</v>
      </c>
      <c r="G5" s="3057">
        <v>2021</v>
      </c>
      <c r="H5" s="2412">
        <v>3</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2855</v>
      </c>
      <c r="X5" s="2418">
        <f>ROUND(IF(项目基本情况!B3="出让",SUMPRODUCT(PRODUCT(1+N5:N$35)),SUMPRODUCT(PRODUCT(1+N5:N$34))),4)</f>
        <v>1.6338999999999999</v>
      </c>
      <c r="Y5" s="2418">
        <f>ROUND(IF(项目基本情况!B3="出让",SUMPRODUCT(PRODUCT(1+O5:O$35)),SUMPRODUCT(PRODUCT(1+O5:O$34))),4)</f>
        <v>1.3588</v>
      </c>
      <c r="Z5" s="2418">
        <f t="shared" ref="Z5" si="11">Y5</f>
        <v>1.3588</v>
      </c>
      <c r="AA5" s="2418">
        <f>ROUND(IF(项目基本情况!B3="出让",SUMPRODUCT(PRODUCT(1+P5:P$35)),SUMPRODUCT(PRODUCT(1+P5:P$34))),4)</f>
        <v>1.7150000000000001</v>
      </c>
      <c r="AB5" s="2418">
        <f>ROUND(IF(项目基本情况!B3="出让",SUMPRODUCT(PRODUCT(1+Q5:Q$35)),SUMPRODUCT(PRODUCT(1+Q5:Q$34))),4)</f>
        <v>1.446</v>
      </c>
      <c r="AD5" s="2419">
        <f>ROUND(AVERAGE(I5:I$35)/100,4)</f>
        <v>1.7000000000000001E-2</v>
      </c>
      <c r="AE5" s="2419">
        <f>ROUND(AVERAGE(J5:J$35)/100,4)</f>
        <v>1.0699999999999999E-2</v>
      </c>
      <c r="AF5" s="2419">
        <f t="shared" ref="AF5" si="12">AE5</f>
        <v>1.0699999999999999E-2</v>
      </c>
      <c r="AG5" s="2419">
        <f>ROUND(AVERAGE(K5:K$35)/100,4)</f>
        <v>1.8700000000000001E-2</v>
      </c>
      <c r="AH5" s="2419">
        <f>ROUND(AVERAGE(L5:L$35)/100,4)</f>
        <v>1.24E-2</v>
      </c>
    </row>
    <row r="6" spans="1:34" s="2427" customFormat="1">
      <c r="A6" s="2420" t="s">
        <v>3052</v>
      </c>
      <c r="B6" s="2421">
        <f t="shared" ref="B6" si="13">B7*(1+N6)</f>
        <v>502.50893609650217</v>
      </c>
      <c r="C6" s="2421">
        <f t="shared" ref="C6" si="14">C7*(1+O6)</f>
        <v>350.27569313914915</v>
      </c>
      <c r="D6" s="2421">
        <f t="shared" ref="D6" si="15">C6</f>
        <v>350.27569313914915</v>
      </c>
      <c r="E6" s="2421">
        <f t="shared" ref="E6" si="16">E7*(1+P6)</f>
        <v>725.27220201394141</v>
      </c>
      <c r="F6" s="2421">
        <f t="shared" ref="F6" si="17">F7*(1+Q6)</f>
        <v>332.45017846012797</v>
      </c>
      <c r="G6" s="3057">
        <v>2021</v>
      </c>
      <c r="H6" s="2422">
        <v>2</v>
      </c>
      <c r="I6" s="2384">
        <v>0.92</v>
      </c>
      <c r="J6" s="2384">
        <v>0.72</v>
      </c>
      <c r="K6" s="2384">
        <v>0.95</v>
      </c>
      <c r="L6" s="2385">
        <v>1.01</v>
      </c>
      <c r="M6" s="2407"/>
      <c r="N6" s="2423">
        <f t="shared" ref="N6" si="18">I6/100</f>
        <v>9.1999999999999998E-3</v>
      </c>
      <c r="O6" s="2408">
        <f t="shared" ref="O6" si="19">J6/100</f>
        <v>7.1999999999999998E-3</v>
      </c>
      <c r="P6" s="2408">
        <f t="shared" ref="P6" si="20">K6/100</f>
        <v>9.4999999999999998E-3</v>
      </c>
      <c r="Q6" s="2408">
        <f t="shared" ref="Q6" si="21">L6/100</f>
        <v>1.01E-2</v>
      </c>
      <c r="R6" s="2424"/>
      <c r="S6" s="2423"/>
      <c r="T6" s="2408"/>
      <c r="U6" s="2408"/>
      <c r="V6" s="2408"/>
      <c r="W6" s="2425"/>
      <c r="X6" s="2425">
        <f>ROUND(IF(项目基本情况!B4="出让",SUMPRODUCT(PRODUCT(1+N6:N$35)),SUMPRODUCT(PRODUCT(1+N6:N$34))),4)</f>
        <v>1.6338999999999999</v>
      </c>
      <c r="Y6" s="2425">
        <f>ROUND(IF(项目基本情况!B4="出让",SUMPRODUCT(PRODUCT(1+O6:O$35)),SUMPRODUCT(PRODUCT(1+O6:O$34))),4)</f>
        <v>1.3588</v>
      </c>
      <c r="Z6" s="2425">
        <f t="shared" ref="Z6" si="22">Y6</f>
        <v>1.3588</v>
      </c>
      <c r="AA6" s="2425">
        <f>ROUND(IF(项目基本情况!B4="出让",SUMPRODUCT(PRODUCT(1+P6:P$35)),SUMPRODUCT(PRODUCT(1+P6:P$34))),4)</f>
        <v>1.7150000000000001</v>
      </c>
      <c r="AB6" s="2425">
        <f>ROUND(IF(项目基本情况!B4="出让",SUMPRODUCT(PRODUCT(1+Q6:Q$35)),SUMPRODUCT(PRODUCT(1+Q6:Q$34))),4)</f>
        <v>1.446</v>
      </c>
      <c r="AC6" s="2425"/>
      <c r="AD6" s="2426">
        <f>ROUND(AVERAGE(I6:I$35)/100,4)</f>
        <v>1.7600000000000001E-2</v>
      </c>
      <c r="AE6" s="2426">
        <f>ROUND(AVERAGE(J6:J$35)/100,4)</f>
        <v>1.11E-2</v>
      </c>
      <c r="AF6" s="2426">
        <f t="shared" ref="AF6" si="23">AE6</f>
        <v>1.11E-2</v>
      </c>
      <c r="AG6" s="2426">
        <f>ROUND(AVERAGE(K6:K$35)/100,4)</f>
        <v>1.9400000000000001E-2</v>
      </c>
      <c r="AH6" s="2426">
        <f>ROUND(AVERAGE(L6:L$35)/100,4)</f>
        <v>1.2800000000000001E-2</v>
      </c>
    </row>
    <row r="7" spans="1:34" s="2427" customFormat="1">
      <c r="A7" s="2420" t="s">
        <v>3051</v>
      </c>
      <c r="B7" s="2421">
        <f t="shared" ref="B7" si="24">B8*(1+N7)</f>
        <v>497.92799851020823</v>
      </c>
      <c r="C7" s="2421">
        <f t="shared" ref="C7" si="25">C8*(1+O7)</f>
        <v>347.77173663537445</v>
      </c>
      <c r="D7" s="2421">
        <f t="shared" ref="D7" si="26">C7</f>
        <v>347.77173663537445</v>
      </c>
      <c r="E7" s="2421">
        <f t="shared" ref="E7" si="27">E8*(1+P7)</f>
        <v>718.44695593258189</v>
      </c>
      <c r="F7" s="2421">
        <f t="shared" ref="F7" si="28">F8*(1+Q7)</f>
        <v>329.12600580153247</v>
      </c>
      <c r="G7" s="3041">
        <v>2021</v>
      </c>
      <c r="H7" s="2422">
        <v>1</v>
      </c>
      <c r="I7" s="2384">
        <v>0.97</v>
      </c>
      <c r="J7" s="2384">
        <v>0.16</v>
      </c>
      <c r="K7" s="2384">
        <v>1.1100000000000001</v>
      </c>
      <c r="L7" s="2385">
        <v>0.36</v>
      </c>
      <c r="M7" s="2407"/>
      <c r="N7" s="2423">
        <f t="shared" ref="N7" si="29">I7/100</f>
        <v>9.7000000000000003E-3</v>
      </c>
      <c r="O7" s="2408">
        <f t="shared" ref="O7" si="30">J7/100</f>
        <v>1.6000000000000001E-3</v>
      </c>
      <c r="P7" s="2408">
        <f t="shared" ref="P7" si="31">K7/100</f>
        <v>1.11E-2</v>
      </c>
      <c r="Q7" s="2408">
        <f t="shared" ref="Q7" si="32">L7/100</f>
        <v>3.5999999999999999E-3</v>
      </c>
      <c r="R7" s="2424"/>
      <c r="S7" s="2423">
        <f>B7/B8-1</f>
        <v>9.7000000000000419E-3</v>
      </c>
      <c r="T7" s="2408">
        <f t="shared" ref="T7" si="33">C7/C8-1</f>
        <v>1.6000000000000458E-3</v>
      </c>
      <c r="U7" s="2408">
        <f t="shared" ref="U7" si="34">D7/D8-1</f>
        <v>1.6000000000000458E-3</v>
      </c>
      <c r="V7" s="2408">
        <f t="shared" ref="V7" si="35">E7/E8-1</f>
        <v>1.110000000000011E-2</v>
      </c>
      <c r="W7" s="2425"/>
      <c r="X7" s="2425">
        <f>ROUND(IF(项目基本情况!B5="出让",SUMPRODUCT(PRODUCT(1+N7:N$35)),SUMPRODUCT(PRODUCT(1+N7:N$34))),4)</f>
        <v>1.619</v>
      </c>
      <c r="Y7" s="2425">
        <f>ROUND(IF(项目基本情况!B5="出让",SUMPRODUCT(PRODUCT(1+O7:O$35)),SUMPRODUCT(PRODUCT(1+O7:O$34))),4)</f>
        <v>1.3491</v>
      </c>
      <c r="Z7" s="2425">
        <f t="shared" ref="Z7" si="36">Y7</f>
        <v>1.3491</v>
      </c>
      <c r="AA7" s="2425">
        <f>ROUND(IF(项目基本情况!B5="出让",SUMPRODUCT(PRODUCT(1+P7:P$35)),SUMPRODUCT(PRODUCT(1+P7:P$34))),4)</f>
        <v>1.6988000000000001</v>
      </c>
      <c r="AB7" s="2425">
        <f>ROUND(IF(项目基本情况!B5="出让",SUMPRODUCT(PRODUCT(1+Q7:Q$35)),SUMPRODUCT(PRODUCT(1+Q7:Q$34))),4)</f>
        <v>1.4315</v>
      </c>
      <c r="AC7" s="2425"/>
      <c r="AD7" s="2426">
        <f>ROUND(AVERAGE(I7:I$35)/100,4)</f>
        <v>1.7899999999999999E-2</v>
      </c>
      <c r="AE7" s="2426">
        <f>ROUND(AVERAGE(J7:J$35)/100,4)</f>
        <v>1.12E-2</v>
      </c>
      <c r="AF7" s="2426">
        <f t="shared" ref="AF7" si="37">AE7</f>
        <v>1.12E-2</v>
      </c>
      <c r="AG7" s="2426">
        <f>ROUND(AVERAGE(K7:K$35)/100,4)</f>
        <v>1.9699999999999999E-2</v>
      </c>
      <c r="AH7" s="2426">
        <f>ROUND(AVERAGE(L7:L$35)/100,4)</f>
        <v>1.29E-2</v>
      </c>
    </row>
    <row r="8" spans="1:34" s="2427" customFormat="1">
      <c r="A8" s="2420" t="s">
        <v>3049</v>
      </c>
      <c r="B8" s="2421">
        <f t="shared" ref="B8" si="38">B9*(1+N8)</f>
        <v>493.14449689037161</v>
      </c>
      <c r="C8" s="2421">
        <f t="shared" ref="C8" si="39">C9*(1+O8)</f>
        <v>347.21619073020611</v>
      </c>
      <c r="D8" s="2421">
        <f t="shared" ref="D8" si="40">C8</f>
        <v>347.21619073020611</v>
      </c>
      <c r="E8" s="2421">
        <f t="shared" ref="E8" si="41">E9*(1+P8)</f>
        <v>710.55974278763904</v>
      </c>
      <c r="F8" s="2421">
        <f t="shared" ref="F8" si="42">F9*(1+Q8)</f>
        <v>327.94540235306141</v>
      </c>
      <c r="G8" s="3040">
        <v>2020</v>
      </c>
      <c r="H8" s="2422">
        <v>4</v>
      </c>
      <c r="I8" s="2384">
        <v>2.0699999999999998</v>
      </c>
      <c r="J8" s="2384">
        <v>0.37</v>
      </c>
      <c r="K8" s="2384">
        <v>2.35</v>
      </c>
      <c r="L8" s="2385">
        <v>2.69</v>
      </c>
      <c r="M8" s="2407"/>
      <c r="N8" s="2423">
        <f t="shared" ref="N8" si="43">I8/100</f>
        <v>2.07E-2</v>
      </c>
      <c r="O8" s="2408">
        <f t="shared" ref="O8" si="44">J8/100</f>
        <v>3.7000000000000002E-3</v>
      </c>
      <c r="P8" s="2408">
        <f t="shared" ref="P8" si="45">K8/100</f>
        <v>2.35E-2</v>
      </c>
      <c r="Q8" s="2408">
        <f t="shared" ref="Q8" si="46">L8/100</f>
        <v>2.69E-2</v>
      </c>
      <c r="R8" s="2424"/>
      <c r="S8" s="2423"/>
      <c r="T8" s="2408"/>
      <c r="U8" s="2408"/>
      <c r="V8" s="2408"/>
      <c r="W8" s="2425"/>
      <c r="X8" s="2425">
        <f>ROUND(IF(项目基本情况!B6="出让",SUMPRODUCT(PRODUCT(1+N8:N$35)),SUMPRODUCT(PRODUCT(1+N8:N$34))),4)</f>
        <v>1.6034999999999999</v>
      </c>
      <c r="Y8" s="2425">
        <f>ROUND(IF(项目基本情况!B6="出让",SUMPRODUCT(PRODUCT(1+O8:O$35)),SUMPRODUCT(PRODUCT(1+O8:O$34))),4)</f>
        <v>1.3469</v>
      </c>
      <c r="Z8" s="2425">
        <f t="shared" ref="Z8" si="47">Y8</f>
        <v>1.3469</v>
      </c>
      <c r="AA8" s="2425">
        <f>ROUND(IF(项目基本情况!B6="出让",SUMPRODUCT(PRODUCT(1+P8:P$35)),SUMPRODUCT(PRODUCT(1+P8:P$34))),4)</f>
        <v>1.6801999999999999</v>
      </c>
      <c r="AB8" s="2425">
        <f>ROUND(IF(项目基本情况!B6="出让",SUMPRODUCT(PRODUCT(1+Q8:Q$35)),SUMPRODUCT(PRODUCT(1+Q8:Q$34))),4)</f>
        <v>1.4263999999999999</v>
      </c>
      <c r="AC8" s="2425"/>
      <c r="AD8" s="2426">
        <f>ROUND(AVERAGE(I8:I$35)/100,4)</f>
        <v>1.8200000000000001E-2</v>
      </c>
      <c r="AE8" s="2426">
        <f>ROUND(AVERAGE(J8:J$35)/100,4)</f>
        <v>1.1599999999999999E-2</v>
      </c>
      <c r="AF8" s="2426">
        <f t="shared" ref="AF8" si="48">AE8</f>
        <v>1.1599999999999999E-2</v>
      </c>
      <c r="AG8" s="2426">
        <f>ROUND(AVERAGE(K8:K$35)/100,4)</f>
        <v>0.02</v>
      </c>
      <c r="AH8" s="2426">
        <f>ROUND(AVERAGE(L8:L$35)/100,4)</f>
        <v>1.3299999999999999E-2</v>
      </c>
    </row>
    <row r="9" spans="1:34" s="2427" customFormat="1">
      <c r="A9" s="2420" t="s">
        <v>3048</v>
      </c>
      <c r="B9" s="2421">
        <f t="shared" ref="B9" si="49">B10*(1+N9)</f>
        <v>483.1434279321756</v>
      </c>
      <c r="C9" s="2421">
        <f t="shared" ref="C9" si="50">C10*(1+O9)</f>
        <v>345.93622669144776</v>
      </c>
      <c r="D9" s="2421">
        <f t="shared" ref="D9" si="51">C9</f>
        <v>345.93622669144776</v>
      </c>
      <c r="E9" s="2421">
        <f t="shared" ref="E9" si="52">E10*(1+P9)</f>
        <v>694.24498562544113</v>
      </c>
      <c r="F9" s="2421">
        <f t="shared" ref="F9" si="53">F10*(1+Q9)</f>
        <v>319.35475932716082</v>
      </c>
      <c r="G9" s="3037">
        <v>2020</v>
      </c>
      <c r="H9" s="2422">
        <v>3</v>
      </c>
      <c r="I9" s="2384">
        <v>0.36</v>
      </c>
      <c r="J9" s="2384">
        <v>-0.39</v>
      </c>
      <c r="K9" s="2384">
        <v>0.49</v>
      </c>
      <c r="L9" s="2385">
        <v>7.0000000000000007E-2</v>
      </c>
      <c r="M9" s="2407"/>
      <c r="N9" s="2423">
        <f t="shared" ref="N9" si="54">I9/100</f>
        <v>3.5999999999999999E-3</v>
      </c>
      <c r="O9" s="2408">
        <f t="shared" ref="O9" si="55">J9/100</f>
        <v>-3.9000000000000003E-3</v>
      </c>
      <c r="P9" s="2408">
        <f t="shared" ref="P9" si="56">K9/100</f>
        <v>4.8999999999999998E-3</v>
      </c>
      <c r="Q9" s="2408">
        <f t="shared" ref="Q9" si="57">L9/100</f>
        <v>7.000000000000001E-4</v>
      </c>
      <c r="R9" s="2424"/>
      <c r="S9" s="2423"/>
      <c r="T9" s="2408"/>
      <c r="U9" s="2408"/>
      <c r="V9" s="2408"/>
      <c r="W9" s="2425"/>
      <c r="X9" s="2425">
        <f>ROUND(IF(项目基本情况!B7="出让",SUMPRODUCT(PRODUCT(1+N9:N$35)),SUMPRODUCT(PRODUCT(1+N9:N$34))),4)</f>
        <v>1.571</v>
      </c>
      <c r="Y9" s="2425">
        <f>ROUND(IF(项目基本情况!B7="出让",SUMPRODUCT(PRODUCT(1+O9:O$35)),SUMPRODUCT(PRODUCT(1+O9:O$34))),4)</f>
        <v>1.3420000000000001</v>
      </c>
      <c r="Z9" s="2425">
        <f t="shared" ref="Z9" si="58">Y9</f>
        <v>1.3420000000000001</v>
      </c>
      <c r="AA9" s="2425">
        <f>ROUND(IF(项目基本情况!B7="出让",SUMPRODUCT(PRODUCT(1+P9:P$35)),SUMPRODUCT(PRODUCT(1+P9:P$34))),4)</f>
        <v>1.6415999999999999</v>
      </c>
      <c r="AB9" s="2425">
        <f>ROUND(IF(项目基本情况!B7="出让",SUMPRODUCT(PRODUCT(1+Q9:Q$35)),SUMPRODUCT(PRODUCT(1+Q9:Q$34))),4)</f>
        <v>1.389</v>
      </c>
      <c r="AC9" s="2425"/>
      <c r="AD9" s="2426">
        <f>ROUND(AVERAGE(I9:I$35)/100,4)</f>
        <v>1.8100000000000002E-2</v>
      </c>
      <c r="AE9" s="2426">
        <f>ROUND(AVERAGE(J9:J$35)/100,4)</f>
        <v>1.1900000000000001E-2</v>
      </c>
      <c r="AF9" s="2426">
        <f t="shared" ref="AF9" si="59">AE9</f>
        <v>1.1900000000000001E-2</v>
      </c>
      <c r="AG9" s="2426">
        <f>ROUND(AVERAGE(K9:K$35)/100,4)</f>
        <v>1.9900000000000001E-2</v>
      </c>
      <c r="AH9" s="2426">
        <f>ROUND(AVERAGE(L9:L$35)/100,4)</f>
        <v>1.2800000000000001E-2</v>
      </c>
    </row>
    <row r="10" spans="1:34" s="2427" customFormat="1">
      <c r="A10" s="2420" t="s">
        <v>2871</v>
      </c>
      <c r="B10" s="2421">
        <f t="shared" ref="B10" si="60">B11*(1+N10)</f>
        <v>481.4103506697644</v>
      </c>
      <c r="C10" s="2421">
        <f t="shared" ref="C10" si="61">C11*(1+O10)</f>
        <v>347.29066026648707</v>
      </c>
      <c r="D10" s="2421">
        <f t="shared" ref="D10" si="62">C10</f>
        <v>347.29066026648707</v>
      </c>
      <c r="E10" s="2421">
        <f t="shared" ref="E10" si="63">E11*(1+P10)</f>
        <v>690.85977273901995</v>
      </c>
      <c r="F10" s="2421">
        <f t="shared" ref="F10" si="64">F11*(1+Q10)</f>
        <v>319.13136737000184</v>
      </c>
      <c r="G10" s="2411">
        <v>2020</v>
      </c>
      <c r="H10" s="2422">
        <v>2</v>
      </c>
      <c r="I10" s="2384">
        <v>0.31</v>
      </c>
      <c r="J10" s="2384">
        <v>-0.78</v>
      </c>
      <c r="K10" s="2384">
        <v>0.5</v>
      </c>
      <c r="L10" s="2385">
        <v>0.47</v>
      </c>
      <c r="M10" s="2407"/>
      <c r="N10" s="2423">
        <f t="shared" ref="N10" si="65">I10/100</f>
        <v>3.0999999999999999E-3</v>
      </c>
      <c r="O10" s="2408">
        <f t="shared" ref="O10" si="66">J10/100</f>
        <v>-7.8000000000000005E-3</v>
      </c>
      <c r="P10" s="2408">
        <f t="shared" ref="P10" si="67">K10/100</f>
        <v>5.0000000000000001E-3</v>
      </c>
      <c r="Q10" s="2408">
        <f t="shared" ref="Q10" si="68">L10/100</f>
        <v>4.6999999999999993E-3</v>
      </c>
      <c r="R10" s="2424"/>
      <c r="S10" s="2423"/>
      <c r="T10" s="2408"/>
      <c r="U10" s="2408"/>
      <c r="V10" s="2408"/>
      <c r="W10" s="2425"/>
      <c r="X10" s="2425">
        <f>ROUND(IF(项目基本情况!B8="出让",SUMPRODUCT(PRODUCT(1+N10:N$35)),SUMPRODUCT(PRODUCT(1+N10:N$34))),4)</f>
        <v>1.5652999999999999</v>
      </c>
      <c r="Y10" s="2425">
        <f>ROUND(IF(项目基本情况!B8="出让",SUMPRODUCT(PRODUCT(1+O10:O$35)),SUMPRODUCT(PRODUCT(1+O10:O$34))),4)</f>
        <v>1.3472</v>
      </c>
      <c r="Z10" s="2425">
        <f t="shared" ref="Z10" si="69">Y10</f>
        <v>1.3472</v>
      </c>
      <c r="AA10" s="2425">
        <f>ROUND(IF(项目基本情况!B8="出让",SUMPRODUCT(PRODUCT(1+P10:P$35)),SUMPRODUCT(PRODUCT(1+P10:P$34))),4)</f>
        <v>1.6335999999999999</v>
      </c>
      <c r="AB10" s="2425">
        <f>ROUND(IF(项目基本情况!B8="出让",SUMPRODUCT(PRODUCT(1+Q10:Q$35)),SUMPRODUCT(PRODUCT(1+Q10:Q$34))),4)</f>
        <v>1.3880999999999999</v>
      </c>
      <c r="AC10" s="2425"/>
      <c r="AD10" s="2426">
        <f>ROUND(AVERAGE(I10:I$35)/100,4)</f>
        <v>1.8599999999999998E-2</v>
      </c>
      <c r="AE10" s="2426">
        <f>ROUND(AVERAGE(J10:J$35)/100,4)</f>
        <v>1.2500000000000001E-2</v>
      </c>
      <c r="AF10" s="2426">
        <f t="shared" ref="AF10" si="70">AE10</f>
        <v>1.2500000000000001E-2</v>
      </c>
      <c r="AG10" s="2426">
        <f>ROUND(AVERAGE(K10:K$35)/100,4)</f>
        <v>2.0400000000000001E-2</v>
      </c>
      <c r="AH10" s="2426">
        <f>ROUND(AVERAGE(L10:L$35)/100,4)</f>
        <v>1.32E-2</v>
      </c>
    </row>
    <row r="11" spans="1:34" s="2427" customFormat="1">
      <c r="A11" s="2420" t="s">
        <v>2869</v>
      </c>
      <c r="B11" s="2421">
        <f t="shared" ref="B11" si="71">B12*(1+N11)</f>
        <v>479.92259063878413</v>
      </c>
      <c r="C11" s="2421">
        <f t="shared" ref="C11" si="72">C12*(1+O11)</f>
        <v>350.02082268341775</v>
      </c>
      <c r="D11" s="2421">
        <f t="shared" ref="D11" si="73">C11</f>
        <v>350.02082268341775</v>
      </c>
      <c r="E11" s="2421">
        <f t="shared" ref="E11" si="74">E12*(1+P11)</f>
        <v>687.42265944181099</v>
      </c>
      <c r="F11" s="2421">
        <f t="shared" ref="F11" si="75">F12*(1+Q11)</f>
        <v>317.63846657708956</v>
      </c>
      <c r="G11" s="2411">
        <v>2020</v>
      </c>
      <c r="H11" s="2422">
        <v>1</v>
      </c>
      <c r="I11" s="2384">
        <v>0.12</v>
      </c>
      <c r="J11" s="2384">
        <v>-0.4</v>
      </c>
      <c r="K11" s="2384">
        <v>0.21</v>
      </c>
      <c r="L11" s="2385">
        <v>0.27</v>
      </c>
      <c r="M11" s="2407"/>
      <c r="N11" s="2423">
        <f t="shared" ref="N11" si="76">I11/100</f>
        <v>1.1999999999999999E-3</v>
      </c>
      <c r="O11" s="2408">
        <f t="shared" ref="O11" si="77">J11/100</f>
        <v>-4.0000000000000001E-3</v>
      </c>
      <c r="P11" s="2408">
        <f t="shared" ref="P11" si="78">K11/100</f>
        <v>2.0999999999999999E-3</v>
      </c>
      <c r="Q11" s="2408">
        <f t="shared" ref="Q11" si="79">L11/100</f>
        <v>2.7000000000000001E-3</v>
      </c>
      <c r="R11" s="2424"/>
      <c r="S11" s="2423">
        <f>B11/B12-1</f>
        <v>1.2000000000000899E-3</v>
      </c>
      <c r="T11" s="2408">
        <f t="shared" ref="T11" si="80">C11/C12-1</f>
        <v>-4.0000000000000036E-3</v>
      </c>
      <c r="U11" s="2408">
        <f t="shared" ref="U11" si="81">D11/D12-1</f>
        <v>-4.0000000000000036E-3</v>
      </c>
      <c r="V11" s="2408">
        <f t="shared" ref="V11" si="82">E11/E12-1</f>
        <v>2.0999999999999908E-3</v>
      </c>
      <c r="W11" s="2425"/>
      <c r="X11" s="2425">
        <f>ROUND(IF(项目基本情况!B8="出让",SUMPRODUCT(PRODUCT(1+N11:N$35)),SUMPRODUCT(PRODUCT(1+N11:N$34))),4)</f>
        <v>1.5605</v>
      </c>
      <c r="Y11" s="2425">
        <f>ROUND(IF(项目基本情况!B8="出让",SUMPRODUCT(PRODUCT(1+O11:O$35)),SUMPRODUCT(PRODUCT(1+O11:O$34))),4)</f>
        <v>1.3577999999999999</v>
      </c>
      <c r="Z11" s="2425">
        <f t="shared" ref="Z11" si="83">Y11</f>
        <v>1.3577999999999999</v>
      </c>
      <c r="AA11" s="2425">
        <f>ROUND(IF(项目基本情况!B8="出让",SUMPRODUCT(PRODUCT(1+P11:P$35)),SUMPRODUCT(PRODUCT(1+P11:P$34))),4)</f>
        <v>1.6254999999999999</v>
      </c>
      <c r="AB11" s="2425">
        <f>ROUND(IF(项目基本情况!B8="出让",SUMPRODUCT(PRODUCT(1+Q11:Q$35)),SUMPRODUCT(PRODUCT(1+Q11:Q$34))),4)</f>
        <v>1.3815999999999999</v>
      </c>
      <c r="AC11" s="2425"/>
      <c r="AD11" s="2426">
        <f>ROUND(AVERAGE(I11:I$35)/100,4)</f>
        <v>1.9199999999999998E-2</v>
      </c>
      <c r="AE11" s="2426">
        <f>ROUND(AVERAGE(J11:J$35)/100,4)</f>
        <v>1.3299999999999999E-2</v>
      </c>
      <c r="AF11" s="2426">
        <f t="shared" ref="AF11" si="84">AE11</f>
        <v>1.3299999999999999E-2</v>
      </c>
      <c r="AG11" s="2426">
        <f>ROUND(AVERAGE(K11:K$35)/100,4)</f>
        <v>2.1100000000000001E-2</v>
      </c>
      <c r="AH11" s="2426">
        <f>ROUND(AVERAGE(L11:L$35)/100,4)</f>
        <v>1.3599999999999999E-2</v>
      </c>
    </row>
    <row r="12" spans="1:34" s="2427" customFormat="1">
      <c r="A12" s="2420" t="s">
        <v>2868</v>
      </c>
      <c r="B12" s="2421">
        <f t="shared" ref="B12" si="85">B13*(1+N12)</f>
        <v>479.34737379023579</v>
      </c>
      <c r="C12" s="2421">
        <f t="shared" ref="C12" si="86">C13*(1+O12)</f>
        <v>351.4265287986122</v>
      </c>
      <c r="D12" s="2421">
        <f t="shared" ref="D12" si="87">C12</f>
        <v>351.4265287986122</v>
      </c>
      <c r="E12" s="2421">
        <f t="shared" ref="E12" si="88">E13*(1+P12)</f>
        <v>685.98209703803116</v>
      </c>
      <c r="F12" s="2421">
        <f t="shared" ref="F12" si="89">F13*(1+Q12)</f>
        <v>316.78315206651001</v>
      </c>
      <c r="G12" s="2411">
        <v>2019</v>
      </c>
      <c r="H12" s="2422">
        <v>4</v>
      </c>
      <c r="I12" s="2422">
        <v>0.45</v>
      </c>
      <c r="J12" s="2422">
        <v>-0.12</v>
      </c>
      <c r="K12" s="2422">
        <v>0.54</v>
      </c>
      <c r="L12" s="2428">
        <v>0.48</v>
      </c>
      <c r="M12" s="2407"/>
      <c r="N12" s="2423">
        <f t="shared" ref="N12:N17" si="90">I12/100</f>
        <v>4.5000000000000005E-3</v>
      </c>
      <c r="O12" s="2408">
        <f t="shared" ref="O12" si="91">J12/100</f>
        <v>-1.1999999999999999E-3</v>
      </c>
      <c r="P12" s="2408">
        <f t="shared" ref="P12" si="92">K12/100</f>
        <v>5.4000000000000003E-3</v>
      </c>
      <c r="Q12" s="2408">
        <f t="shared" ref="Q12" si="93">L12/100</f>
        <v>4.7999999999999996E-3</v>
      </c>
      <c r="R12" s="2424"/>
      <c r="S12" s="2423"/>
      <c r="T12" s="2408"/>
      <c r="U12" s="2408"/>
      <c r="V12" s="2408"/>
      <c r="W12" s="2425"/>
      <c r="X12" s="2425">
        <f>ROUND(IF(项目基本情况!B8="出让",SUMPRODUCT(PRODUCT(1+N12:N$35)),SUMPRODUCT(PRODUCT(1+N12:N$34))),4)</f>
        <v>1.5586</v>
      </c>
      <c r="Y12" s="2425">
        <f>ROUND(IF(项目基本情况!B8="出让",SUMPRODUCT(PRODUCT(1+O12:O$35)),SUMPRODUCT(PRODUCT(1+O12:O$34))),4)</f>
        <v>1.3633</v>
      </c>
      <c r="Z12" s="2425">
        <f t="shared" ref="Z12" si="94">Y12</f>
        <v>1.3633</v>
      </c>
      <c r="AA12" s="2425">
        <f>ROUND(IF(项目基本情况!B8="出让",SUMPRODUCT(PRODUCT(1+P12:P$35)),SUMPRODUCT(PRODUCT(1+P12:P$34))),4)</f>
        <v>1.6221000000000001</v>
      </c>
      <c r="AB12" s="2425">
        <f>ROUND(IF(项目基本情况!B8="出让",SUMPRODUCT(PRODUCT(1+Q12:Q$35)),SUMPRODUCT(PRODUCT(1+Q12:Q$34))),4)</f>
        <v>1.3777999999999999</v>
      </c>
      <c r="AC12" s="2425"/>
      <c r="AD12" s="2426">
        <f>ROUND(AVERAGE(I12:I$35)/100,4)</f>
        <v>0.02</v>
      </c>
      <c r="AE12" s="2426">
        <f>ROUND(AVERAGE(J12:J$35)/100,4)</f>
        <v>1.4E-2</v>
      </c>
      <c r="AF12" s="2426">
        <f t="shared" ref="AF12" si="95">AE12</f>
        <v>1.4E-2</v>
      </c>
      <c r="AG12" s="2426">
        <f>ROUND(AVERAGE(K12:K$35)/100,4)</f>
        <v>2.1899999999999999E-2</v>
      </c>
      <c r="AH12" s="2426">
        <f>ROUND(AVERAGE(L12:L$35)/100,4)</f>
        <v>1.4E-2</v>
      </c>
    </row>
    <row r="13" spans="1:34" s="2427" customFormat="1" ht="13.5" thickBot="1">
      <c r="A13" s="2420" t="s">
        <v>2867</v>
      </c>
      <c r="B13" s="2421">
        <f t="shared" ref="B13" si="96">B14*(1+N13)</f>
        <v>477.19997390765138</v>
      </c>
      <c r="C13" s="2421">
        <f t="shared" ref="C13" si="97">C14*(1+O13)</f>
        <v>351.84874729536665</v>
      </c>
      <c r="D13" s="2421">
        <f t="shared" ref="D13" si="98">C13</f>
        <v>351.84874729536665</v>
      </c>
      <c r="E13" s="2421">
        <f t="shared" ref="E13" si="99">E14*(1+P13)</f>
        <v>682.29768951465201</v>
      </c>
      <c r="F13" s="2421">
        <f t="shared" ref="F13" si="100">F14*(1+Q13)</f>
        <v>315.26985675409043</v>
      </c>
      <c r="G13" s="2411">
        <v>2019</v>
      </c>
      <c r="H13" s="2422">
        <v>3</v>
      </c>
      <c r="I13" s="2422">
        <v>0.61</v>
      </c>
      <c r="J13" s="2422">
        <v>0.67</v>
      </c>
      <c r="K13" s="2422">
        <v>0.6</v>
      </c>
      <c r="L13" s="2428">
        <v>1.03</v>
      </c>
      <c r="M13" s="2407"/>
      <c r="N13" s="2423">
        <f t="shared" si="90"/>
        <v>6.0999999999999995E-3</v>
      </c>
      <c r="O13" s="2408">
        <f t="shared" ref="O13" si="101">J13/100</f>
        <v>6.7000000000000002E-3</v>
      </c>
      <c r="P13" s="2408">
        <f t="shared" ref="P13" si="102">K13/100</f>
        <v>6.0000000000000001E-3</v>
      </c>
      <c r="Q13" s="2408">
        <f t="shared" ref="Q13" si="103">L13/100</f>
        <v>1.03E-2</v>
      </c>
      <c r="R13" s="2424"/>
      <c r="S13" s="2423"/>
      <c r="T13" s="2408"/>
      <c r="U13" s="2408"/>
      <c r="V13" s="2408"/>
      <c r="W13" s="2425"/>
      <c r="X13" s="2425">
        <f>ROUND(IF(项目基本情况!B8="出让",SUMPRODUCT(PRODUCT(1+N13:N$35)),SUMPRODUCT(PRODUCT(1+N13:N$34))),4)</f>
        <v>1.5516000000000001</v>
      </c>
      <c r="Y13" s="2425">
        <f>ROUND(IF(项目基本情况!B8="出让",SUMPRODUCT(PRODUCT(1+O13:O$35)),SUMPRODUCT(PRODUCT(1+O13:O$34))),4)</f>
        <v>1.3649</v>
      </c>
      <c r="Z13" s="2425">
        <f t="shared" ref="Z13" si="104">Y13</f>
        <v>1.3649</v>
      </c>
      <c r="AA13" s="2425">
        <f>ROUND(IF(项目基本情况!B8="出让",SUMPRODUCT(PRODUCT(1+P13:P$35)),SUMPRODUCT(PRODUCT(1+P13:P$34))),4)</f>
        <v>1.6133999999999999</v>
      </c>
      <c r="AB13" s="2425">
        <f>ROUND(IF(项目基本情况!B8="出让",SUMPRODUCT(PRODUCT(1+Q13:Q$35)),SUMPRODUCT(PRODUCT(1+Q13:Q$34))),4)</f>
        <v>1.3713</v>
      </c>
      <c r="AC13" s="2425"/>
      <c r="AD13" s="2426">
        <f>ROUND(AVERAGE(I13:I$35)/100,4)</f>
        <v>2.07E-2</v>
      </c>
      <c r="AE13" s="2426">
        <f>ROUND(AVERAGE(J13:J$35)/100,4)</f>
        <v>1.47E-2</v>
      </c>
      <c r="AF13" s="2426">
        <f t="shared" ref="AF13" si="105">AE13</f>
        <v>1.47E-2</v>
      </c>
      <c r="AG13" s="2426">
        <f>ROUND(AVERAGE(K13:K$35)/100,4)</f>
        <v>2.2599999999999999E-2</v>
      </c>
      <c r="AH13" s="2426">
        <f>ROUND(AVERAGE(L13:L$35)/100,4)</f>
        <v>1.44E-2</v>
      </c>
    </row>
    <row r="14" spans="1:34" s="2427" customFormat="1">
      <c r="A14" s="2420" t="s">
        <v>2865</v>
      </c>
      <c r="B14" s="2421">
        <f t="shared" ref="B14" si="106">B15*(1+N14)</f>
        <v>474.30670301923408</v>
      </c>
      <c r="C14" s="2421">
        <f t="shared" ref="C14" si="107">C15*(1+O14)</f>
        <v>349.50705005996491</v>
      </c>
      <c r="D14" s="2421">
        <f t="shared" ref="D14" si="108">C14</f>
        <v>349.50705005996491</v>
      </c>
      <c r="E14" s="2421">
        <f t="shared" ref="E14" si="109">E15*(1+P14)</f>
        <v>678.22831959706957</v>
      </c>
      <c r="F14" s="2421">
        <f t="shared" ref="F14" si="110">F15*(1+Q14)</f>
        <v>312.0556832169558</v>
      </c>
      <c r="G14" s="2411">
        <v>2019</v>
      </c>
      <c r="H14" s="2429">
        <v>2</v>
      </c>
      <c r="I14" s="2429">
        <v>1.53</v>
      </c>
      <c r="J14" s="2429">
        <v>1.01</v>
      </c>
      <c r="K14" s="2429">
        <v>1.62</v>
      </c>
      <c r="L14" s="2430">
        <v>1.25</v>
      </c>
      <c r="M14" s="2407"/>
      <c r="N14" s="2423">
        <f t="shared" si="90"/>
        <v>1.5300000000000001E-2</v>
      </c>
      <c r="O14" s="2408">
        <f t="shared" ref="O14" si="111">J14/100</f>
        <v>1.01E-2</v>
      </c>
      <c r="P14" s="2408">
        <f t="shared" ref="P14" si="112">K14/100</f>
        <v>1.6200000000000003E-2</v>
      </c>
      <c r="Q14" s="2408">
        <f t="shared" ref="Q14" si="113">L14/100</f>
        <v>1.2500000000000001E-2</v>
      </c>
      <c r="R14" s="2424"/>
      <c r="S14" s="2423"/>
      <c r="T14" s="2408"/>
      <c r="U14" s="2408"/>
      <c r="V14" s="2408"/>
      <c r="W14" s="2425"/>
      <c r="X14" s="2425">
        <f>ROUND(IF(项目基本情况!B8="出让",SUMPRODUCT(PRODUCT(1+N14:N$35)),SUMPRODUCT(PRODUCT(1+N14:N$34))),4)</f>
        <v>1.5422</v>
      </c>
      <c r="Y14" s="2425">
        <f>ROUND(IF(项目基本情况!B8="出让",SUMPRODUCT(PRODUCT(1+O14:O$35)),SUMPRODUCT(PRODUCT(1+O14:O$34))),4)</f>
        <v>1.3557999999999999</v>
      </c>
      <c r="Z14" s="2425">
        <f t="shared" ref="Z14" si="114">Y14</f>
        <v>1.3557999999999999</v>
      </c>
      <c r="AA14" s="2425">
        <f>ROUND(IF(项目基本情况!B8="出让",SUMPRODUCT(PRODUCT(1+P14:P$35)),SUMPRODUCT(PRODUCT(1+P14:P$34))),4)</f>
        <v>1.6036999999999999</v>
      </c>
      <c r="AB14" s="2425">
        <f>ROUND(IF(项目基本情况!B8="出让",SUMPRODUCT(PRODUCT(1+Q14:Q$35)),SUMPRODUCT(PRODUCT(1+Q14:Q$34))),4)</f>
        <v>1.3573</v>
      </c>
      <c r="AC14" s="2425"/>
      <c r="AD14" s="2426">
        <f>ROUND(AVERAGE(I14:I$35)/100,4)</f>
        <v>2.1299999999999999E-2</v>
      </c>
      <c r="AE14" s="2426">
        <f>ROUND(AVERAGE(J14:J$35)/100,4)</f>
        <v>1.4999999999999999E-2</v>
      </c>
      <c r="AF14" s="2426">
        <f t="shared" ref="AF14" si="115">AE14</f>
        <v>1.4999999999999999E-2</v>
      </c>
      <c r="AG14" s="2426">
        <f>ROUND(AVERAGE(K14:K$35)/100,4)</f>
        <v>2.3300000000000001E-2</v>
      </c>
      <c r="AH14" s="2426">
        <f>ROUND(AVERAGE(L14:L$35)/100,4)</f>
        <v>1.46E-2</v>
      </c>
    </row>
    <row r="15" spans="1:34" s="2427" customFormat="1" ht="13.5" thickBot="1">
      <c r="A15" s="2420" t="s">
        <v>2863</v>
      </c>
      <c r="B15" s="2421">
        <f t="shared" ref="B15" si="116">B16*(1+N15)</f>
        <v>467.15916775261894</v>
      </c>
      <c r="C15" s="2421">
        <f t="shared" ref="C15" si="117">C16*(1+O15)</f>
        <v>346.01232557169084</v>
      </c>
      <c r="D15" s="2421">
        <f t="shared" ref="D15" si="118">C15</f>
        <v>346.01232557169084</v>
      </c>
      <c r="E15" s="2421">
        <f t="shared" ref="E15" si="119">E16*(1+P15)</f>
        <v>667.41617752122568</v>
      </c>
      <c r="F15" s="2421">
        <f t="shared" ref="F15" si="120">F16*(1+Q15)</f>
        <v>308.20314391798104</v>
      </c>
      <c r="G15" s="2411">
        <v>2019</v>
      </c>
      <c r="H15" s="2422">
        <v>1</v>
      </c>
      <c r="I15" s="2422">
        <v>0.6</v>
      </c>
      <c r="J15" s="2422">
        <v>0.37</v>
      </c>
      <c r="K15" s="2422">
        <v>0.63</v>
      </c>
      <c r="L15" s="2428">
        <v>1.1299999999999999</v>
      </c>
      <c r="M15" s="2407"/>
      <c r="N15" s="2423">
        <f t="shared" si="90"/>
        <v>6.0000000000000001E-3</v>
      </c>
      <c r="O15" s="2408">
        <f t="shared" ref="O15" si="121">J15/100</f>
        <v>3.7000000000000002E-3</v>
      </c>
      <c r="P15" s="2408">
        <f t="shared" ref="P15" si="122">K15/100</f>
        <v>6.3E-3</v>
      </c>
      <c r="Q15" s="2408">
        <f t="shared" ref="Q15" si="123">L15/100</f>
        <v>1.1299999999999999E-2</v>
      </c>
      <c r="R15" s="2424"/>
      <c r="S15" s="2423">
        <f>B15/B16-1</f>
        <v>6.0000000000000053E-3</v>
      </c>
      <c r="T15" s="2408">
        <f t="shared" ref="T15" si="124">C15/C16-1</f>
        <v>3.7000000000000366E-3</v>
      </c>
      <c r="U15" s="2408">
        <f t="shared" ref="U15" si="125">D15/D16-1</f>
        <v>3.7000000000000366E-3</v>
      </c>
      <c r="V15" s="2408">
        <f t="shared" ref="V15" si="126">E15/E16-1</f>
        <v>6.2999999999999723E-3</v>
      </c>
      <c r="W15" s="2425"/>
      <c r="X15" s="2425">
        <f>ROUND(IF(项目基本情况!B8="出让",SUMPRODUCT(PRODUCT(1+N15:N$35)),SUMPRODUCT(PRODUCT(1+N15:N$34))),4)</f>
        <v>1.5189999999999999</v>
      </c>
      <c r="Y15" s="2425">
        <f>ROUND(IF(项目基本情况!B8="出让",SUMPRODUCT(PRODUCT(1+O15:O$35)),SUMPRODUCT(PRODUCT(1+O15:O$34))),4)</f>
        <v>1.3423</v>
      </c>
      <c r="Z15" s="2425">
        <f t="shared" ref="Z15" si="127">Y15</f>
        <v>1.3423</v>
      </c>
      <c r="AA15" s="2425">
        <f>ROUND(IF(项目基本情况!B8="出让",SUMPRODUCT(PRODUCT(1+P15:P$35)),SUMPRODUCT(PRODUCT(1+P15:P$34))),4)</f>
        <v>1.5782</v>
      </c>
      <c r="AB15" s="2425">
        <f>ROUND(IF(项目基本情况!B8="出让",SUMPRODUCT(PRODUCT(1+Q15:Q$35)),SUMPRODUCT(PRODUCT(1+Q15:Q$34))),4)</f>
        <v>1.3405</v>
      </c>
      <c r="AC15" s="2425"/>
      <c r="AD15" s="2426">
        <f>ROUND(AVERAGE(I15:I$35)/100,4)</f>
        <v>2.1600000000000001E-2</v>
      </c>
      <c r="AE15" s="2426">
        <f>ROUND(AVERAGE(J15:J$35)/100,4)</f>
        <v>1.5299999999999999E-2</v>
      </c>
      <c r="AF15" s="2426">
        <f t="shared" ref="AF15" si="128">AE15</f>
        <v>1.5299999999999999E-2</v>
      </c>
      <c r="AG15" s="2426">
        <f>ROUND(AVERAGE(K15:K$35)/100,4)</f>
        <v>2.3699999999999999E-2</v>
      </c>
      <c r="AH15" s="2426">
        <f>ROUND(AVERAGE(L15:L$35)/100,4)</f>
        <v>1.47E-2</v>
      </c>
    </row>
    <row r="16" spans="1:34" s="2427" customFormat="1">
      <c r="A16" s="2420" t="s">
        <v>2866</v>
      </c>
      <c r="B16" s="2431">
        <f t="shared" ref="B16" si="129">B17*(1+N16)</f>
        <v>464.37293017158942</v>
      </c>
      <c r="C16" s="2431">
        <f t="shared" ref="C16" si="130">C17*(1+O16)</f>
        <v>344.73679941385956</v>
      </c>
      <c r="D16" s="2431">
        <f t="shared" ref="D16" si="131">C16</f>
        <v>344.73679941385956</v>
      </c>
      <c r="E16" s="2431">
        <f t="shared" ref="E16" si="132">E17*(1+P16)</f>
        <v>663.2377795103107</v>
      </c>
      <c r="F16" s="2432">
        <f t="shared" ref="F16" si="133">F17*(1+Q16)</f>
        <v>304.75936311478398</v>
      </c>
      <c r="G16" s="3420">
        <v>2018</v>
      </c>
      <c r="H16" s="2429">
        <v>4</v>
      </c>
      <c r="I16" s="2429">
        <v>0.96</v>
      </c>
      <c r="J16" s="2429">
        <v>1.03</v>
      </c>
      <c r="K16" s="2429">
        <v>0.92</v>
      </c>
      <c r="L16" s="2430">
        <v>1.29</v>
      </c>
      <c r="M16" s="2407"/>
      <c r="N16" s="2423">
        <f t="shared" si="90"/>
        <v>9.5999999999999992E-3</v>
      </c>
      <c r="O16" s="2408">
        <f t="shared" ref="O16" si="134">J16/100</f>
        <v>1.03E-2</v>
      </c>
      <c r="P16" s="2408">
        <f t="shared" ref="P16" si="135">K16/100</f>
        <v>9.1999999999999998E-3</v>
      </c>
      <c r="Q16" s="2408">
        <f t="shared" ref="Q16" si="136">L16/100</f>
        <v>1.29E-2</v>
      </c>
      <c r="R16" s="2424"/>
      <c r="S16" s="2423"/>
      <c r="T16" s="2408"/>
      <c r="U16" s="2408"/>
      <c r="V16" s="2408"/>
      <c r="W16" s="2425"/>
      <c r="X16" s="2425">
        <f>ROUND(SUMPRODUCT(PRODUCT(1+N16:N$34)),4)</f>
        <v>1.5099</v>
      </c>
      <c r="Y16" s="2425">
        <f>ROUND(SUMPRODUCT(PRODUCT(1+O16:O$34)),4)</f>
        <v>1.3372999999999999</v>
      </c>
      <c r="Z16" s="2425">
        <f t="shared" ref="Z16" si="137">Y16</f>
        <v>1.3372999999999999</v>
      </c>
      <c r="AA16" s="2425">
        <f>ROUND(SUMPRODUCT(PRODUCT(1+P16:P$34)),4)</f>
        <v>1.5683</v>
      </c>
      <c r="AB16" s="2425">
        <f>ROUND(SUMPRODUCT(PRODUCT(1+Q16:Q$34)),4)</f>
        <v>1.3255999999999999</v>
      </c>
      <c r="AC16" s="2425"/>
      <c r="AD16" s="2426">
        <f>ROUND(AVERAGE(I16:I$35)/100,4)</f>
        <v>2.24E-2</v>
      </c>
      <c r="AE16" s="2426">
        <f>ROUND(AVERAGE(J16:J$35)/100,4)</f>
        <v>1.5800000000000002E-2</v>
      </c>
      <c r="AF16" s="2426">
        <f t="shared" ref="AF16" si="138">AE16</f>
        <v>1.5800000000000002E-2</v>
      </c>
      <c r="AG16" s="2426">
        <f>ROUND(AVERAGE(K16:K$35)/100,4)</f>
        <v>2.4500000000000001E-2</v>
      </c>
      <c r="AH16" s="2426">
        <f>ROUND(AVERAGE(L16:L$35)/100,4)</f>
        <v>1.49E-2</v>
      </c>
    </row>
    <row r="17" spans="1:34" s="2427" customFormat="1" ht="14.45" customHeight="1">
      <c r="A17" s="2420" t="s">
        <v>2861</v>
      </c>
      <c r="B17" s="2421">
        <f t="shared" ref="B17" si="139">B18*(1+N17)</f>
        <v>459.95733971036987</v>
      </c>
      <c r="C17" s="2421">
        <f t="shared" ref="C17" si="140">C18*(1+O17)</f>
        <v>341.22221064422405</v>
      </c>
      <c r="D17" s="2421">
        <f t="shared" ref="D17" si="141">C17</f>
        <v>341.22221064422405</v>
      </c>
      <c r="E17" s="2421">
        <f t="shared" ref="E17" si="142">E18*(1+P17)</f>
        <v>657.19161663724799</v>
      </c>
      <c r="F17" s="2421">
        <f t="shared" ref="F17" si="143">F18*(1+Q17)</f>
        <v>300.87803644464805</v>
      </c>
      <c r="G17" s="3420"/>
      <c r="H17" s="2422">
        <v>3</v>
      </c>
      <c r="I17" s="2422">
        <v>1.51</v>
      </c>
      <c r="J17" s="2422">
        <v>1.41</v>
      </c>
      <c r="K17" s="2422">
        <v>1.52</v>
      </c>
      <c r="L17" s="2428">
        <v>1.74</v>
      </c>
      <c r="M17" s="2407"/>
      <c r="N17" s="2423">
        <f t="shared" si="90"/>
        <v>1.5100000000000001E-2</v>
      </c>
      <c r="O17" s="2408">
        <f t="shared" ref="O17" si="144">J17/100</f>
        <v>1.41E-2</v>
      </c>
      <c r="P17" s="2408">
        <f t="shared" ref="P17" si="145">K17/100</f>
        <v>1.52E-2</v>
      </c>
      <c r="Q17" s="2408">
        <f t="shared" ref="Q17" si="146">L17/100</f>
        <v>1.7399999999999999E-2</v>
      </c>
      <c r="R17" s="2424"/>
      <c r="S17" s="2423"/>
      <c r="T17" s="2408"/>
      <c r="U17" s="2408"/>
      <c r="V17" s="2408"/>
      <c r="W17" s="2425"/>
      <c r="X17" s="2425">
        <f>ROUND(SUMPRODUCT(PRODUCT(1+N17:N$34)),4)</f>
        <v>1.4956</v>
      </c>
      <c r="Y17" s="2425">
        <f>ROUND(SUMPRODUCT(PRODUCT(1+O17:O$34)),4)</f>
        <v>1.3237000000000001</v>
      </c>
      <c r="Z17" s="2425">
        <f t="shared" ref="Z17" si="147">Y17</f>
        <v>1.3237000000000001</v>
      </c>
      <c r="AA17" s="2425">
        <f>ROUND(SUMPRODUCT(PRODUCT(1+P17:P$34)),4)</f>
        <v>1.554</v>
      </c>
      <c r="AB17" s="2425">
        <f>ROUND(SUMPRODUCT(PRODUCT(1+Q17:Q$34)),4)</f>
        <v>1.3087</v>
      </c>
      <c r="AC17" s="2425"/>
      <c r="AD17" s="2426">
        <f>ROUND(AVERAGE(I17:I$35)/100,4)</f>
        <v>2.3099999999999999E-2</v>
      </c>
      <c r="AE17" s="2426">
        <f>ROUND(AVERAGE(J17:J$35)/100,4)</f>
        <v>1.61E-2</v>
      </c>
      <c r="AF17" s="2426">
        <f t="shared" ref="AF17" si="148">AE17</f>
        <v>1.61E-2</v>
      </c>
      <c r="AG17" s="2426">
        <f>ROUND(AVERAGE(K17:K$35)/100,4)</f>
        <v>2.53E-2</v>
      </c>
      <c r="AH17" s="2426">
        <f>ROUND(AVERAGE(L17:L$35)/100,4)</f>
        <v>1.4999999999999999E-2</v>
      </c>
    </row>
    <row r="18" spans="1:34" s="2427" customFormat="1" ht="14.45" customHeight="1">
      <c r="A18" s="2420" t="s">
        <v>2860</v>
      </c>
      <c r="B18" s="2421">
        <f t="shared" ref="B18" si="149">B19*(1+N18)</f>
        <v>453.11529869999993</v>
      </c>
      <c r="C18" s="2421">
        <f t="shared" ref="C18" si="150">C19*(1+O18)</f>
        <v>336.47787264000004</v>
      </c>
      <c r="D18" s="2421">
        <f t="shared" ref="D18" si="151">C18</f>
        <v>336.47787264000004</v>
      </c>
      <c r="E18" s="2421">
        <f t="shared" ref="E18" si="152">E19*(1+P18)</f>
        <v>647.35186823999993</v>
      </c>
      <c r="F18" s="2421">
        <f t="shared" ref="F18" si="153">F19*(1+Q18)</f>
        <v>295.73229452000004</v>
      </c>
      <c r="G18" s="3420"/>
      <c r="H18" s="2433">
        <v>2</v>
      </c>
      <c r="I18" s="2433">
        <v>1.49</v>
      </c>
      <c r="J18" s="2433">
        <v>0.96</v>
      </c>
      <c r="K18" s="2433">
        <v>1.58</v>
      </c>
      <c r="L18" s="2434">
        <v>2.44</v>
      </c>
      <c r="M18" s="2407"/>
      <c r="N18" s="2423">
        <f t="shared" ref="N18" si="154">I18/100</f>
        <v>1.49E-2</v>
      </c>
      <c r="O18" s="2408">
        <f t="shared" ref="O18" si="155">J18/100</f>
        <v>9.5999999999999992E-3</v>
      </c>
      <c r="P18" s="2408">
        <f t="shared" ref="P18" si="156">K18/100</f>
        <v>1.5800000000000002E-2</v>
      </c>
      <c r="Q18" s="2408">
        <f t="shared" ref="Q18" si="157">L18/100</f>
        <v>2.4399999999999998E-2</v>
      </c>
      <c r="R18" s="2424"/>
      <c r="S18" s="2423"/>
      <c r="T18" s="2408"/>
      <c r="U18" s="2408"/>
      <c r="V18" s="2408"/>
      <c r="W18" s="2425"/>
      <c r="X18" s="2425">
        <f>ROUND(SUMPRODUCT(PRODUCT(1+N18:N$34)),4)</f>
        <v>1.4733000000000001</v>
      </c>
      <c r="Y18" s="2425">
        <f>ROUND(SUMPRODUCT(PRODUCT(1+O18:O$34)),4)</f>
        <v>1.3052999999999999</v>
      </c>
      <c r="Z18" s="2425">
        <f t="shared" ref="Z18" si="158">Y18</f>
        <v>1.3052999999999999</v>
      </c>
      <c r="AA18" s="2425">
        <f>ROUND(SUMPRODUCT(PRODUCT(1+P18:P$34)),4)</f>
        <v>1.5306999999999999</v>
      </c>
      <c r="AB18" s="2425">
        <f>ROUND(SUMPRODUCT(PRODUCT(1+Q18:Q$34)),4)</f>
        <v>1.2863</v>
      </c>
      <c r="AC18" s="2425"/>
      <c r="AD18" s="2426">
        <f>ROUND(AVERAGE(I18:I$35)/100,4)</f>
        <v>2.35E-2</v>
      </c>
      <c r="AE18" s="2426">
        <f>ROUND(AVERAGE(J18:J$35)/100,4)</f>
        <v>1.6199999999999999E-2</v>
      </c>
      <c r="AF18" s="2426">
        <f t="shared" ref="AF18" si="159">AE18</f>
        <v>1.6199999999999999E-2</v>
      </c>
      <c r="AG18" s="2426">
        <f>ROUND(AVERAGE(K18:K$35)/100,4)</f>
        <v>2.5899999999999999E-2</v>
      </c>
      <c r="AH18" s="2426">
        <f>ROUND(AVERAGE(L18:L$35)/100,4)</f>
        <v>1.49E-2</v>
      </c>
    </row>
    <row r="19" spans="1:34" s="2427" customFormat="1" ht="15" customHeight="1" thickBot="1">
      <c r="A19" s="2420" t="s">
        <v>2853</v>
      </c>
      <c r="B19" s="2421">
        <f t="shared" ref="B19" si="160">B20*(1+N19)</f>
        <v>446.46299999999997</v>
      </c>
      <c r="C19" s="2421">
        <f t="shared" ref="C19" si="161">C20*(1+O19)</f>
        <v>333.27840000000003</v>
      </c>
      <c r="D19" s="2421">
        <f t="shared" ref="D19" si="162">C19</f>
        <v>333.27840000000003</v>
      </c>
      <c r="E19" s="2421">
        <f t="shared" ref="E19" si="163">E20*(1+P19)</f>
        <v>637.28279999999995</v>
      </c>
      <c r="F19" s="2421">
        <f t="shared" ref="F19" si="164">F20*(1+Q19)</f>
        <v>288.68830000000003</v>
      </c>
      <c r="G19" s="3429"/>
      <c r="H19" s="2422">
        <v>1</v>
      </c>
      <c r="I19" s="2422">
        <v>1.7</v>
      </c>
      <c r="J19" s="2422">
        <v>1.92</v>
      </c>
      <c r="K19" s="2422">
        <v>1.64</v>
      </c>
      <c r="L19" s="2428">
        <v>2.0099999999999998</v>
      </c>
      <c r="M19" s="2407"/>
      <c r="N19" s="2423">
        <f t="shared" ref="N19:N24" si="165">I19/100</f>
        <v>1.7000000000000001E-2</v>
      </c>
      <c r="O19" s="2408">
        <f t="shared" ref="O19" si="166">J19/100</f>
        <v>1.9199999999999998E-2</v>
      </c>
      <c r="P19" s="2408">
        <f t="shared" ref="P19" si="167">K19/100</f>
        <v>1.6399999999999998E-2</v>
      </c>
      <c r="Q19" s="2408">
        <f t="shared" ref="Q19" si="168">L19/100</f>
        <v>2.0099999999999996E-2</v>
      </c>
      <c r="R19" s="2424"/>
      <c r="S19" s="2423">
        <f>B19/B20-1</f>
        <v>1.6999999999999904E-2</v>
      </c>
      <c r="T19" s="2408">
        <f t="shared" ref="T19" si="169">C19/C20-1</f>
        <v>1.9200000000000106E-2</v>
      </c>
      <c r="U19" s="2408">
        <f t="shared" ref="U19" si="170">D19/D20-1</f>
        <v>1.9200000000000106E-2</v>
      </c>
      <c r="V19" s="2408">
        <f t="shared" ref="V19" si="171">E19/E20-1</f>
        <v>1.639999999999997E-2</v>
      </c>
      <c r="W19" s="2425"/>
      <c r="X19" s="2425">
        <f>ROUND(SUMPRODUCT(PRODUCT(1+N19:N$34)),4)</f>
        <v>1.4517</v>
      </c>
      <c r="Y19" s="2425">
        <f>ROUND(SUMPRODUCT(PRODUCT(1+O19:O$34)),4)</f>
        <v>1.2928999999999999</v>
      </c>
      <c r="Z19" s="2425">
        <f t="shared" ref="Z19" si="172">Y19</f>
        <v>1.2928999999999999</v>
      </c>
      <c r="AA19" s="2425">
        <f>ROUND(SUMPRODUCT(PRODUCT(1+P19:P$34)),4)</f>
        <v>1.5068999999999999</v>
      </c>
      <c r="AB19" s="2425">
        <f>ROUND(SUMPRODUCT(PRODUCT(1+Q19:Q$34)),4)</f>
        <v>1.2557</v>
      </c>
      <c r="AC19" s="2425"/>
      <c r="AD19" s="2426">
        <f>ROUND(AVERAGE(I19:I$35)/100,4)</f>
        <v>2.4E-2</v>
      </c>
      <c r="AE19" s="2426">
        <f>ROUND(AVERAGE(J19:J$35)/100,4)</f>
        <v>1.66E-2</v>
      </c>
      <c r="AF19" s="2426">
        <f t="shared" ref="AF19" si="173">AE19</f>
        <v>1.66E-2</v>
      </c>
      <c r="AG19" s="2426">
        <f>ROUND(AVERAGE(K19:K$35)/100,4)</f>
        <v>2.6499999999999999E-2</v>
      </c>
      <c r="AH19" s="2426">
        <f>ROUND(AVERAGE(L19:L$35)/100,4)</f>
        <v>1.43E-2</v>
      </c>
    </row>
    <row r="20" spans="1:34">
      <c r="A20" s="2420" t="s">
        <v>2851</v>
      </c>
      <c r="B20" s="2435">
        <v>439</v>
      </c>
      <c r="C20" s="2435">
        <v>327</v>
      </c>
      <c r="D20" s="2435">
        <f>C20</f>
        <v>327</v>
      </c>
      <c r="E20" s="2435">
        <v>627</v>
      </c>
      <c r="F20" s="2436">
        <v>283</v>
      </c>
      <c r="G20" s="3425">
        <v>2017</v>
      </c>
      <c r="H20" s="2429">
        <v>4</v>
      </c>
      <c r="I20" s="2429">
        <v>1.71</v>
      </c>
      <c r="J20" s="2429">
        <v>1.78</v>
      </c>
      <c r="K20" s="2429">
        <v>1.71</v>
      </c>
      <c r="L20" s="2430">
        <v>1.43</v>
      </c>
      <c r="N20" s="2423">
        <f t="shared" si="165"/>
        <v>1.7100000000000001E-2</v>
      </c>
      <c r="O20" s="2408">
        <f t="shared" ref="O20" si="174">J20/100</f>
        <v>1.78E-2</v>
      </c>
      <c r="P20" s="2408">
        <f t="shared" ref="P20" si="175">K20/100</f>
        <v>1.7100000000000001E-2</v>
      </c>
      <c r="Q20" s="2408">
        <f t="shared" ref="Q20" si="176">L20/100</f>
        <v>1.43E-2</v>
      </c>
      <c r="R20" s="2424"/>
      <c r="S20" s="2437"/>
      <c r="T20" s="2438"/>
      <c r="U20" s="2438"/>
      <c r="V20" s="2438"/>
      <c r="X20" s="2407">
        <f>ROUND(SUMPRODUCT(PRODUCT(1+N20:N$34)),4)</f>
        <v>1.4274</v>
      </c>
      <c r="Y20" s="2407">
        <f>ROUND(SUMPRODUCT(PRODUCT(1+O20:O$34)),4)</f>
        <v>1.2685</v>
      </c>
      <c r="Z20" s="2407">
        <f t="shared" si="0"/>
        <v>1.2685</v>
      </c>
      <c r="AA20" s="2407">
        <f>ROUND(SUMPRODUCT(PRODUCT(1+P20:P$34)),4)</f>
        <v>1.4825999999999999</v>
      </c>
      <c r="AB20" s="2407">
        <f>ROUND(SUMPRODUCT(PRODUCT(1+Q20:Q$34)),4)</f>
        <v>1.2309000000000001</v>
      </c>
      <c r="AD20" s="2408">
        <f>ROUND(AVERAGE(I20:I$35)/100,4)</f>
        <v>2.4500000000000001E-2</v>
      </c>
      <c r="AE20" s="2408">
        <f>ROUND(AVERAGE(J20:J$35)/100,4)</f>
        <v>1.6500000000000001E-2</v>
      </c>
      <c r="AF20" s="2408">
        <f t="shared" si="1"/>
        <v>1.6500000000000001E-2</v>
      </c>
      <c r="AG20" s="2408">
        <f>ROUND(AVERAGE(K20:K$35)/100,4)</f>
        <v>2.7099999999999999E-2</v>
      </c>
      <c r="AH20" s="2408">
        <f>ROUND(AVERAGE(L20:L$35)/100,4)</f>
        <v>1.3899999999999999E-2</v>
      </c>
    </row>
    <row r="21" spans="1:34" s="2427" customFormat="1" ht="14.45" customHeight="1">
      <c r="A21" s="2420" t="s">
        <v>2852</v>
      </c>
      <c r="B21" s="2421">
        <f t="shared" ref="B21:B22" si="177">B22*(1+N21)</f>
        <v>431.80730811680002</v>
      </c>
      <c r="C21" s="2421">
        <f t="shared" ref="C21:C22" si="178">C22*(1+O21)</f>
        <v>320.57880516480003</v>
      </c>
      <c r="D21" s="2421">
        <f t="shared" ref="D21:D22" si="179">C21</f>
        <v>320.57880516480003</v>
      </c>
      <c r="E21" s="2421">
        <f t="shared" ref="E21:E22" si="180">E22*(1+P21)</f>
        <v>615.96110553196797</v>
      </c>
      <c r="F21" s="2421">
        <f t="shared" ref="F21:F22" si="181">F22*(1+Q21)</f>
        <v>279.46777300108801</v>
      </c>
      <c r="G21" s="3420"/>
      <c r="H21" s="2422">
        <v>3</v>
      </c>
      <c r="I21" s="2422">
        <v>2.98</v>
      </c>
      <c r="J21" s="2422">
        <v>2.11</v>
      </c>
      <c r="K21" s="2422">
        <v>3.24</v>
      </c>
      <c r="L21" s="2428">
        <v>1.72</v>
      </c>
      <c r="M21" s="2407"/>
      <c r="N21" s="2423">
        <f t="shared" si="165"/>
        <v>2.98E-2</v>
      </c>
      <c r="O21" s="2408">
        <f t="shared" ref="O21" si="182">J21/100</f>
        <v>2.1099999999999997E-2</v>
      </c>
      <c r="P21" s="2408">
        <f t="shared" ref="P21" si="183">K21/100</f>
        <v>3.2400000000000005E-2</v>
      </c>
      <c r="Q21" s="2408">
        <f t="shared" ref="Q21" si="184">L21/100</f>
        <v>1.72E-2</v>
      </c>
      <c r="R21" s="2424"/>
      <c r="S21" s="2423"/>
      <c r="T21" s="2408"/>
      <c r="U21" s="2408"/>
      <c r="V21" s="2408"/>
      <c r="W21" s="2425"/>
      <c r="X21" s="2425">
        <f>ROUND(SUMPRODUCT(PRODUCT(1+N21:N$34)),4)</f>
        <v>1.4034</v>
      </c>
      <c r="Y21" s="2425">
        <f>ROUND(SUMPRODUCT(PRODUCT(1+O21:O$34)),4)</f>
        <v>1.2463</v>
      </c>
      <c r="Z21" s="2425">
        <f t="shared" si="0"/>
        <v>1.2463</v>
      </c>
      <c r="AA21" s="2425">
        <f>ROUND(SUMPRODUCT(PRODUCT(1+P21:P$34)),4)</f>
        <v>1.4577</v>
      </c>
      <c r="AB21" s="2425">
        <f>ROUND(SUMPRODUCT(PRODUCT(1+Q21:Q$34)),4)</f>
        <v>1.2136</v>
      </c>
      <c r="AC21" s="2425"/>
      <c r="AD21" s="2426">
        <f>ROUND(AVERAGE(I21:I$35)/100,4)</f>
        <v>2.4899999999999999E-2</v>
      </c>
      <c r="AE21" s="2426">
        <f>ROUND(AVERAGE(J21:J$35)/100,4)</f>
        <v>1.6400000000000001E-2</v>
      </c>
      <c r="AF21" s="2426">
        <f t="shared" si="1"/>
        <v>1.6400000000000001E-2</v>
      </c>
      <c r="AG21" s="2426">
        <f>ROUND(AVERAGE(K21:K$35)/100,4)</f>
        <v>2.7799999999999998E-2</v>
      </c>
      <c r="AH21" s="2426">
        <f>ROUND(AVERAGE(L21:L$35)/100,4)</f>
        <v>1.3899999999999999E-2</v>
      </c>
    </row>
    <row r="22" spans="1:34" s="2414" customFormat="1" ht="14.45" customHeight="1">
      <c r="A22" s="2420" t="s">
        <v>1351</v>
      </c>
      <c r="B22" s="2421">
        <f t="shared" si="177"/>
        <v>419.31181600000002</v>
      </c>
      <c r="C22" s="2421">
        <f t="shared" si="178"/>
        <v>313.95436800000004</v>
      </c>
      <c r="D22" s="2421">
        <f t="shared" si="179"/>
        <v>313.95436800000004</v>
      </c>
      <c r="E22" s="2421">
        <f t="shared" si="180"/>
        <v>596.63028431999999</v>
      </c>
      <c r="F22" s="2421">
        <f t="shared" si="181"/>
        <v>274.74220703999998</v>
      </c>
      <c r="G22" s="3420"/>
      <c r="H22" s="2433">
        <v>2</v>
      </c>
      <c r="I22" s="2433">
        <v>3.4</v>
      </c>
      <c r="J22" s="2433">
        <v>2</v>
      </c>
      <c r="K22" s="2433">
        <v>3.82</v>
      </c>
      <c r="L22" s="2434">
        <v>1.68</v>
      </c>
      <c r="M22" s="2407"/>
      <c r="N22" s="2423">
        <f t="shared" si="165"/>
        <v>3.4000000000000002E-2</v>
      </c>
      <c r="O22" s="2408">
        <f t="shared" ref="O22" si="185">J22/100</f>
        <v>0.02</v>
      </c>
      <c r="P22" s="2408">
        <f t="shared" ref="P22" si="186">K22/100</f>
        <v>3.8199999999999998E-2</v>
      </c>
      <c r="Q22" s="2408">
        <f t="shared" ref="Q22" si="187">L22/100</f>
        <v>1.6799999999999999E-2</v>
      </c>
      <c r="R22" s="2424"/>
      <c r="S22" s="2437"/>
      <c r="T22" s="2438"/>
      <c r="U22" s="2438"/>
      <c r="V22" s="2438"/>
      <c r="W22" s="2401"/>
      <c r="X22" s="2425">
        <f>ROUND(SUMPRODUCT(PRODUCT(1+N22:N$34)),4)</f>
        <v>1.3628</v>
      </c>
      <c r="Y22" s="2425">
        <f>ROUND(SUMPRODUCT(PRODUCT(1+O22:O$34)),4)</f>
        <v>1.2205999999999999</v>
      </c>
      <c r="Z22" s="2425">
        <f t="shared" si="0"/>
        <v>1.2205999999999999</v>
      </c>
      <c r="AA22" s="2425">
        <f>ROUND(SUMPRODUCT(PRODUCT(1+P22:P$34)),4)</f>
        <v>1.4118999999999999</v>
      </c>
      <c r="AB22" s="2425">
        <f>ROUND(SUMPRODUCT(PRODUCT(1+Q22:Q$34)),4)</f>
        <v>1.1930000000000001</v>
      </c>
      <c r="AC22" s="2401"/>
      <c r="AD22" s="2426">
        <f>ROUND(AVERAGE(I22:I$35)/100,4)</f>
        <v>2.46E-2</v>
      </c>
      <c r="AE22" s="2426">
        <f>ROUND(AVERAGE(J22:J$35)/100,4)</f>
        <v>1.6E-2</v>
      </c>
      <c r="AF22" s="2426">
        <f t="shared" si="1"/>
        <v>1.6E-2</v>
      </c>
      <c r="AG22" s="2426">
        <f>ROUND(AVERAGE(K22:K$35)/100,4)</f>
        <v>2.75E-2</v>
      </c>
      <c r="AH22" s="2426">
        <f>ROUND(AVERAGE(L22:L$35)/100,4)</f>
        <v>1.37E-2</v>
      </c>
    </row>
    <row r="23" spans="1:34" s="2427" customFormat="1" ht="15" customHeight="1" thickBot="1">
      <c r="A23" s="2420" t="s">
        <v>1128</v>
      </c>
      <c r="B23" s="2421">
        <f>B24*(1+N23)</f>
        <v>405.524</v>
      </c>
      <c r="C23" s="2421">
        <f>C24*(1+O23)</f>
        <v>307.79840000000002</v>
      </c>
      <c r="D23" s="2421">
        <f>C23</f>
        <v>307.79840000000002</v>
      </c>
      <c r="E23" s="2421">
        <f>E24*(1+P23)</f>
        <v>574.67759999999998</v>
      </c>
      <c r="F23" s="2421">
        <f>F24*(1+Q23)</f>
        <v>270.20280000000002</v>
      </c>
      <c r="G23" s="3429"/>
      <c r="H23" s="2422">
        <v>1</v>
      </c>
      <c r="I23" s="2422">
        <v>3.45</v>
      </c>
      <c r="J23" s="2422">
        <v>1.92</v>
      </c>
      <c r="K23" s="2422">
        <v>3.92</v>
      </c>
      <c r="L23" s="2428">
        <v>1.58</v>
      </c>
      <c r="M23" s="2407"/>
      <c r="N23" s="2423">
        <f t="shared" si="165"/>
        <v>3.4500000000000003E-2</v>
      </c>
      <c r="O23" s="2408">
        <f t="shared" ref="O23:Q38" si="188">J23/100</f>
        <v>1.9199999999999998E-2</v>
      </c>
      <c r="P23" s="2408">
        <f t="shared" si="188"/>
        <v>3.9199999999999999E-2</v>
      </c>
      <c r="Q23" s="2408">
        <f t="shared" si="188"/>
        <v>1.5800000000000002E-2</v>
      </c>
      <c r="R23" s="2424"/>
      <c r="S23" s="2423">
        <f>B23/B24-1</f>
        <v>3.4499999999999975E-2</v>
      </c>
      <c r="T23" s="2408">
        <f t="shared" ref="T23:V23" si="189">C23/C24-1</f>
        <v>1.9200000000000106E-2</v>
      </c>
      <c r="U23" s="2408">
        <f t="shared" si="189"/>
        <v>1.9200000000000106E-2</v>
      </c>
      <c r="V23" s="2408">
        <f t="shared" si="189"/>
        <v>3.9199999999999902E-2</v>
      </c>
      <c r="W23" s="2425"/>
      <c r="X23" s="2425">
        <f>ROUND(SUMPRODUCT(PRODUCT(1+N23:N$34)),4)</f>
        <v>1.3180000000000001</v>
      </c>
      <c r="Y23" s="2425">
        <f>ROUND(SUMPRODUCT(PRODUCT(1+O23:O$34)),4)</f>
        <v>1.1966000000000001</v>
      </c>
      <c r="Z23" s="2425">
        <f t="shared" si="0"/>
        <v>1.1966000000000001</v>
      </c>
      <c r="AA23" s="2425">
        <f>ROUND(SUMPRODUCT(PRODUCT(1+P23:P$34)),4)</f>
        <v>1.36</v>
      </c>
      <c r="AB23" s="2425">
        <f>ROUND(SUMPRODUCT(PRODUCT(1+Q23:Q$34)),4)</f>
        <v>1.1733</v>
      </c>
      <c r="AC23" s="2425"/>
      <c r="AD23" s="2426">
        <f>ROUND(AVERAGE(I23:I$35)/100,4)</f>
        <v>2.3900000000000001E-2</v>
      </c>
      <c r="AE23" s="2426">
        <f>ROUND(AVERAGE(J23:J$35)/100,4)</f>
        <v>1.5699999999999999E-2</v>
      </c>
      <c r="AF23" s="2426">
        <f t="shared" si="1"/>
        <v>1.5699999999999999E-2</v>
      </c>
      <c r="AG23" s="2426">
        <f>ROUND(AVERAGE(K23:K$35)/100,4)</f>
        <v>2.6599999999999999E-2</v>
      </c>
      <c r="AH23" s="2426">
        <f>ROUND(AVERAGE(L23:L$35)/100,4)</f>
        <v>1.34E-2</v>
      </c>
    </row>
    <row r="24" spans="1:34">
      <c r="A24" s="2420" t="s">
        <v>154</v>
      </c>
      <c r="B24" s="2435">
        <v>392</v>
      </c>
      <c r="C24" s="2435">
        <v>302</v>
      </c>
      <c r="D24" s="2435">
        <f>C24</f>
        <v>302</v>
      </c>
      <c r="E24" s="2435">
        <v>553</v>
      </c>
      <c r="F24" s="2436">
        <v>266</v>
      </c>
      <c r="G24" s="3425">
        <v>2016</v>
      </c>
      <c r="H24" s="2429">
        <v>4</v>
      </c>
      <c r="I24" s="2429">
        <v>4.5599999999999996</v>
      </c>
      <c r="J24" s="2429">
        <v>2.15</v>
      </c>
      <c r="K24" s="2429">
        <v>5.32</v>
      </c>
      <c r="L24" s="2430">
        <v>1.57</v>
      </c>
      <c r="N24" s="2423">
        <f t="shared" si="165"/>
        <v>4.5599999999999995E-2</v>
      </c>
      <c r="O24" s="2408">
        <f t="shared" si="188"/>
        <v>2.1499999999999998E-2</v>
      </c>
      <c r="P24" s="2408">
        <f t="shared" si="188"/>
        <v>5.3200000000000004E-2</v>
      </c>
      <c r="Q24" s="2408">
        <f t="shared" si="188"/>
        <v>1.5700000000000002E-2</v>
      </c>
      <c r="R24" s="2424"/>
      <c r="S24" s="2437"/>
      <c r="T24" s="2438"/>
      <c r="U24" s="2438"/>
      <c r="V24" s="2438"/>
      <c r="X24" s="2407">
        <f>ROUND(SUMPRODUCT(PRODUCT(1+N24:N$34)),4)</f>
        <v>1.274</v>
      </c>
      <c r="Y24" s="2407">
        <f>ROUND(SUMPRODUCT(PRODUCT(1+O24:O$34)),4)</f>
        <v>1.1740999999999999</v>
      </c>
      <c r="Z24" s="2407">
        <f t="shared" si="0"/>
        <v>1.1740999999999999</v>
      </c>
      <c r="AA24" s="2407">
        <f>ROUND(SUMPRODUCT(PRODUCT(1+P24:P$34)),4)</f>
        <v>1.3087</v>
      </c>
      <c r="AB24" s="2407">
        <f>ROUND(SUMPRODUCT(PRODUCT(1+Q24:Q$34)),4)</f>
        <v>1.1551</v>
      </c>
      <c r="AD24" s="2408">
        <f>ROUND(AVERAGE(I24:I$35)/100,4)</f>
        <v>2.3E-2</v>
      </c>
      <c r="AE24" s="2408">
        <f>ROUND(AVERAGE(J24:J$35)/100,4)</f>
        <v>1.55E-2</v>
      </c>
      <c r="AF24" s="2408">
        <f t="shared" si="1"/>
        <v>1.55E-2</v>
      </c>
      <c r="AG24" s="2408">
        <f>ROUND(AVERAGE(K24:K$35)/100,4)</f>
        <v>2.5600000000000001E-2</v>
      </c>
      <c r="AH24" s="2408">
        <f>ROUND(AVERAGE(L24:L$35)/100,4)</f>
        <v>1.32E-2</v>
      </c>
    </row>
    <row r="25" spans="1:34">
      <c r="A25" s="2420" t="s">
        <v>153</v>
      </c>
      <c r="B25" s="2421">
        <f t="shared" ref="B25:C27" si="190">B24/(1+N24)</f>
        <v>374.90436113236416</v>
      </c>
      <c r="C25" s="2421">
        <f t="shared" si="190"/>
        <v>295.64366128242779</v>
      </c>
      <c r="D25" s="2421">
        <f t="shared" ref="D25:D84" si="191">C25</f>
        <v>295.64366128242779</v>
      </c>
      <c r="E25" s="2421">
        <f t="shared" ref="E25:F27" si="192">E24/(1+P24)</f>
        <v>525.06646410938095</v>
      </c>
      <c r="F25" s="2421">
        <f t="shared" si="192"/>
        <v>261.88835286009646</v>
      </c>
      <c r="G25" s="3420"/>
      <c r="H25" s="2422">
        <v>3</v>
      </c>
      <c r="I25" s="2422">
        <v>4.12</v>
      </c>
      <c r="J25" s="2422">
        <v>2</v>
      </c>
      <c r="K25" s="2422">
        <v>4.79</v>
      </c>
      <c r="L25" s="2428">
        <v>1.97</v>
      </c>
      <c r="N25" s="2423">
        <f t="shared" ref="N25:Q59" si="193">I25/100</f>
        <v>4.1200000000000001E-2</v>
      </c>
      <c r="O25" s="2408">
        <f t="shared" si="188"/>
        <v>0.02</v>
      </c>
      <c r="P25" s="2408">
        <f t="shared" si="188"/>
        <v>4.7899999999999998E-2</v>
      </c>
      <c r="Q25" s="2408">
        <f t="shared" si="188"/>
        <v>1.9699999999999999E-2</v>
      </c>
      <c r="R25" s="2424"/>
      <c r="S25" s="2423"/>
      <c r="T25" s="2408"/>
      <c r="U25" s="2408"/>
      <c r="V25" s="2408"/>
      <c r="X25" s="2407">
        <f>ROUND(SUMPRODUCT(PRODUCT(1+N25:N$34)),4)</f>
        <v>1.2184999999999999</v>
      </c>
      <c r="Y25" s="2407">
        <f>ROUND(SUMPRODUCT(PRODUCT(1+O25:O$34)),4)</f>
        <v>1.1494</v>
      </c>
      <c r="Z25" s="2407">
        <f t="shared" si="0"/>
        <v>1.1494</v>
      </c>
      <c r="AA25" s="2407">
        <f>ROUND(SUMPRODUCT(PRODUCT(1+P25:P$34)),4)</f>
        <v>1.2425999999999999</v>
      </c>
      <c r="AB25" s="2407">
        <f>ROUND(SUMPRODUCT(PRODUCT(1+Q25:Q$34)),4)</f>
        <v>1.1372</v>
      </c>
      <c r="AD25" s="2408">
        <f>ROUND(AVERAGE(I25:I$35)/100,4)</f>
        <v>2.0899999999999998E-2</v>
      </c>
      <c r="AE25" s="2408">
        <f>ROUND(AVERAGE(J25:J$35)/100,4)</f>
        <v>1.49E-2</v>
      </c>
      <c r="AF25" s="2408">
        <f t="shared" si="1"/>
        <v>1.49E-2</v>
      </c>
      <c r="AG25" s="2408">
        <f>ROUND(AVERAGE(K25:K$35)/100,4)</f>
        <v>2.3099999999999999E-2</v>
      </c>
      <c r="AH25" s="2408">
        <f>ROUND(AVERAGE(L25:L$35)/100,4)</f>
        <v>1.2999999999999999E-2</v>
      </c>
    </row>
    <row r="26" spans="1:34">
      <c r="A26" s="2420" t="s">
        <v>143</v>
      </c>
      <c r="B26" s="2421">
        <f t="shared" si="190"/>
        <v>360.06949782209392</v>
      </c>
      <c r="C26" s="2421">
        <f t="shared" si="190"/>
        <v>289.84672674747821</v>
      </c>
      <c r="D26" s="2421">
        <f t="shared" si="191"/>
        <v>289.84672674747821</v>
      </c>
      <c r="E26" s="2421">
        <f t="shared" si="192"/>
        <v>501.06543001181495</v>
      </c>
      <c r="F26" s="2421">
        <f t="shared" si="192"/>
        <v>256.82882500744967</v>
      </c>
      <c r="G26" s="3420"/>
      <c r="H26" s="2433">
        <v>2</v>
      </c>
      <c r="I26" s="2433">
        <v>3.85</v>
      </c>
      <c r="J26" s="2433">
        <v>1.95</v>
      </c>
      <c r="K26" s="2433">
        <v>4.4800000000000004</v>
      </c>
      <c r="L26" s="2434">
        <v>1.41</v>
      </c>
      <c r="N26" s="2423">
        <f t="shared" si="193"/>
        <v>3.85E-2</v>
      </c>
      <c r="O26" s="2408">
        <f t="shared" si="188"/>
        <v>1.95E-2</v>
      </c>
      <c r="P26" s="2408">
        <f t="shared" si="188"/>
        <v>4.4800000000000006E-2</v>
      </c>
      <c r="Q26" s="2408">
        <f t="shared" si="188"/>
        <v>1.41E-2</v>
      </c>
      <c r="R26" s="2424"/>
      <c r="S26" s="2423"/>
      <c r="T26" s="2408"/>
      <c r="U26" s="2408"/>
      <c r="V26" s="2408"/>
      <c r="X26" s="2407">
        <f>ROUND(SUMPRODUCT(PRODUCT(1+N26:N$34)),4)</f>
        <v>1.1702999999999999</v>
      </c>
      <c r="Y26" s="2407">
        <f>ROUND(SUMPRODUCT(PRODUCT(1+O26:O$34)),4)</f>
        <v>1.1269</v>
      </c>
      <c r="Z26" s="2407">
        <f t="shared" si="0"/>
        <v>1.1269</v>
      </c>
      <c r="AA26" s="2407">
        <f>ROUND(SUMPRODUCT(PRODUCT(1+P26:P$34)),4)</f>
        <v>1.1858</v>
      </c>
      <c r="AB26" s="2407">
        <f>ROUND(SUMPRODUCT(PRODUCT(1+Q26:Q$34)),4)</f>
        <v>1.1152</v>
      </c>
      <c r="AD26" s="2408">
        <f>ROUND(AVERAGE(I26:I$35)/100,4)</f>
        <v>1.89E-2</v>
      </c>
      <c r="AE26" s="2408">
        <f>ROUND(AVERAGE(J26:J$35)/100,4)</f>
        <v>1.44E-2</v>
      </c>
      <c r="AF26" s="2408">
        <f t="shared" si="1"/>
        <v>1.44E-2</v>
      </c>
      <c r="AG26" s="2408">
        <f>ROUND(AVERAGE(K26:K$35)/100,4)</f>
        <v>2.06E-2</v>
      </c>
      <c r="AH26" s="2408">
        <f>ROUND(AVERAGE(L26:L$35)/100,4)</f>
        <v>1.23E-2</v>
      </c>
    </row>
    <row r="27" spans="1:34" ht="13.5" thickBot="1">
      <c r="A27" s="2420" t="s">
        <v>152</v>
      </c>
      <c r="B27" s="2421">
        <f t="shared" si="190"/>
        <v>346.720748986128</v>
      </c>
      <c r="C27" s="2421">
        <f t="shared" si="190"/>
        <v>284.30282172386285</v>
      </c>
      <c r="D27" s="2421">
        <f t="shared" si="191"/>
        <v>284.30282172386285</v>
      </c>
      <c r="E27" s="2421">
        <f t="shared" si="192"/>
        <v>479.58023546306947</v>
      </c>
      <c r="F27" s="2421">
        <f t="shared" si="192"/>
        <v>253.25788877571213</v>
      </c>
      <c r="G27" s="3421"/>
      <c r="H27" s="2422">
        <v>1</v>
      </c>
      <c r="I27" s="2422">
        <v>4.09</v>
      </c>
      <c r="J27" s="2422">
        <v>2.93</v>
      </c>
      <c r="K27" s="2422">
        <v>4.54</v>
      </c>
      <c r="L27" s="2428">
        <v>1.48</v>
      </c>
      <c r="N27" s="2423">
        <f t="shared" si="193"/>
        <v>4.0899999999999999E-2</v>
      </c>
      <c r="O27" s="2408">
        <f t="shared" si="188"/>
        <v>2.9300000000000003E-2</v>
      </c>
      <c r="P27" s="2408">
        <f t="shared" si="188"/>
        <v>4.5400000000000003E-2</v>
      </c>
      <c r="Q27" s="2408">
        <f t="shared" si="188"/>
        <v>1.4800000000000001E-2</v>
      </c>
      <c r="R27" s="2424"/>
      <c r="S27" s="2439">
        <f>B27/B28-1</f>
        <v>4.1203450408792808E-2</v>
      </c>
      <c r="T27" s="2440">
        <f>C27/C28-1</f>
        <v>2.6363977342465095E-2</v>
      </c>
      <c r="U27" s="2440">
        <f>E27/E28-1</f>
        <v>4.4837114298626357E-2</v>
      </c>
      <c r="V27" s="2440">
        <f>F27/F28-1</f>
        <v>1.7099954922538574E-2</v>
      </c>
      <c r="X27" s="2407">
        <f>ROUND(SUMPRODUCT(PRODUCT(1+N27:N$34)),4)</f>
        <v>1.1269</v>
      </c>
      <c r="Y27" s="2407">
        <f>ROUND(SUMPRODUCT(PRODUCT(1+O27:O$34)),4)</f>
        <v>1.1052999999999999</v>
      </c>
      <c r="Z27" s="2407">
        <f t="shared" si="0"/>
        <v>1.1052999999999999</v>
      </c>
      <c r="AA27" s="2407">
        <f>ROUND(SUMPRODUCT(PRODUCT(1+P27:P$34)),4)</f>
        <v>1.1349</v>
      </c>
      <c r="AB27" s="2407">
        <f>ROUND(SUMPRODUCT(PRODUCT(1+Q27:Q$34)),4)</f>
        <v>1.0996999999999999</v>
      </c>
      <c r="AD27" s="2408">
        <f>ROUND(AVERAGE(I27:I$35)/100,4)</f>
        <v>1.67E-2</v>
      </c>
      <c r="AE27" s="2408">
        <f>ROUND(AVERAGE(J27:J$35)/100,4)</f>
        <v>1.38E-2</v>
      </c>
      <c r="AF27" s="2408">
        <f t="shared" si="1"/>
        <v>1.38E-2</v>
      </c>
      <c r="AG27" s="2408">
        <f>ROUND(AVERAGE(K27:K$35)/100,4)</f>
        <v>1.7899999999999999E-2</v>
      </c>
      <c r="AH27" s="2408">
        <f>ROUND(AVERAGE(L27:L$35)/100,4)</f>
        <v>1.21E-2</v>
      </c>
    </row>
    <row r="28" spans="1:34" ht="13.5" thickBot="1">
      <c r="A28" s="2420" t="s">
        <v>151</v>
      </c>
      <c r="B28" s="2435">
        <v>333</v>
      </c>
      <c r="C28" s="2435">
        <v>277</v>
      </c>
      <c r="D28" s="2435">
        <f t="shared" si="191"/>
        <v>277</v>
      </c>
      <c r="E28" s="2435">
        <v>459</v>
      </c>
      <c r="F28" s="2436">
        <v>249</v>
      </c>
      <c r="G28" s="3419">
        <v>2015</v>
      </c>
      <c r="H28" s="2441">
        <v>4</v>
      </c>
      <c r="I28" s="2441">
        <v>1.63</v>
      </c>
      <c r="J28" s="2441">
        <v>1.1100000000000001</v>
      </c>
      <c r="K28" s="2441">
        <v>1.77</v>
      </c>
      <c r="L28" s="2442">
        <v>1.89</v>
      </c>
      <c r="N28" s="2443">
        <f t="shared" si="193"/>
        <v>1.6299999999999999E-2</v>
      </c>
      <c r="O28" s="2444">
        <f t="shared" si="188"/>
        <v>1.11E-2</v>
      </c>
      <c r="P28" s="2444">
        <f t="shared" si="188"/>
        <v>1.77E-2</v>
      </c>
      <c r="Q28" s="2444">
        <f t="shared" si="188"/>
        <v>1.89E-2</v>
      </c>
      <c r="R28" s="2424"/>
      <c r="X28" s="2407">
        <f>ROUND(SUMPRODUCT(PRODUCT(1+N28:N$34)),4)</f>
        <v>1.0826</v>
      </c>
      <c r="Y28" s="2407">
        <f>ROUND(SUMPRODUCT(PRODUCT(1+O28:O$34)),4)</f>
        <v>1.0738000000000001</v>
      </c>
      <c r="Z28" s="2407">
        <f t="shared" si="0"/>
        <v>1.0738000000000001</v>
      </c>
      <c r="AA28" s="2407">
        <f>ROUND(SUMPRODUCT(PRODUCT(1+P28:P$34)),4)</f>
        <v>1.0855999999999999</v>
      </c>
      <c r="AB28" s="2407">
        <f>ROUND(SUMPRODUCT(PRODUCT(1+Q28:Q$34)),4)</f>
        <v>1.0837000000000001</v>
      </c>
      <c r="AD28" s="2408">
        <f>ROUND(AVERAGE(I28:I$35)/100,4)</f>
        <v>1.37E-2</v>
      </c>
      <c r="AE28" s="2408">
        <f>ROUND(AVERAGE(J28:J$35)/100,4)</f>
        <v>1.1900000000000001E-2</v>
      </c>
      <c r="AF28" s="2408">
        <f t="shared" si="1"/>
        <v>1.1900000000000001E-2</v>
      </c>
      <c r="AG28" s="2408">
        <f>ROUND(AVERAGE(K28:K$35)/100,4)</f>
        <v>1.4500000000000001E-2</v>
      </c>
      <c r="AH28" s="2408">
        <f>ROUND(AVERAGE(L28:L$35)/100,4)</f>
        <v>1.18E-2</v>
      </c>
    </row>
    <row r="29" spans="1:34">
      <c r="A29" s="2420" t="s">
        <v>150</v>
      </c>
      <c r="B29" s="2421">
        <f t="shared" ref="B29:C31" si="194">B28/(1+N28)</f>
        <v>327.65915576109415</v>
      </c>
      <c r="C29" s="2421">
        <f t="shared" si="194"/>
        <v>273.95905449510434</v>
      </c>
      <c r="D29" s="2421">
        <f t="shared" si="191"/>
        <v>273.95905449510434</v>
      </c>
      <c r="E29" s="2421">
        <f t="shared" ref="E29:F31" si="195">E28/(1+P28)</f>
        <v>451.01699911565294</v>
      </c>
      <c r="F29" s="2421">
        <f t="shared" si="195"/>
        <v>244.38119540681129</v>
      </c>
      <c r="G29" s="3420"/>
      <c r="H29" s="2446">
        <v>3</v>
      </c>
      <c r="I29" s="2446">
        <v>1.65</v>
      </c>
      <c r="J29" s="2446">
        <v>0.92</v>
      </c>
      <c r="K29" s="2446">
        <v>1.88</v>
      </c>
      <c r="L29" s="2447">
        <v>1.26</v>
      </c>
      <c r="N29" s="2423">
        <f t="shared" si="193"/>
        <v>1.6500000000000001E-2</v>
      </c>
      <c r="O29" s="2448">
        <f t="shared" si="188"/>
        <v>9.1999999999999998E-3</v>
      </c>
      <c r="P29" s="2448">
        <f t="shared" si="188"/>
        <v>1.8799999999999997E-2</v>
      </c>
      <c r="Q29" s="2448">
        <f t="shared" si="188"/>
        <v>1.26E-2</v>
      </c>
      <c r="R29" s="2424"/>
      <c r="S29" s="2423"/>
      <c r="T29" s="2408"/>
      <c r="U29" s="2408"/>
      <c r="V29" s="2408"/>
      <c r="X29" s="2407">
        <f>ROUND(SUMPRODUCT(PRODUCT(1+N29:N$34)),4)</f>
        <v>1.0651999999999999</v>
      </c>
      <c r="Y29" s="2407">
        <f>ROUND(SUMPRODUCT(PRODUCT(1+O29:O$34)),4)</f>
        <v>1.0621</v>
      </c>
      <c r="Z29" s="2407">
        <f t="shared" si="0"/>
        <v>1.0621</v>
      </c>
      <c r="AA29" s="2407">
        <f>ROUND(SUMPRODUCT(PRODUCT(1+P29:P$34)),4)</f>
        <v>1.0668</v>
      </c>
      <c r="AB29" s="2407">
        <f>ROUND(SUMPRODUCT(PRODUCT(1+Q29:Q$34)),4)</f>
        <v>1.0636000000000001</v>
      </c>
      <c r="AD29" s="2408">
        <f>ROUND(AVERAGE(I29:I$35)/100,4)</f>
        <v>1.3299999999999999E-2</v>
      </c>
      <c r="AE29" s="2408">
        <f>ROUND(AVERAGE(J29:J$35)/100,4)</f>
        <v>1.2E-2</v>
      </c>
      <c r="AF29" s="2408">
        <f t="shared" si="1"/>
        <v>1.2E-2</v>
      </c>
      <c r="AG29" s="2408">
        <f>ROUND(AVERAGE(K29:K$35)/100,4)</f>
        <v>1.4E-2</v>
      </c>
      <c r="AH29" s="2408">
        <f>ROUND(AVERAGE(L29:L$35)/100,4)</f>
        <v>1.0800000000000001E-2</v>
      </c>
    </row>
    <row r="30" spans="1:34">
      <c r="A30" s="2420" t="s">
        <v>149</v>
      </c>
      <c r="B30" s="2421">
        <f t="shared" si="194"/>
        <v>322.34053690220776</v>
      </c>
      <c r="C30" s="2421">
        <f t="shared" si="194"/>
        <v>271.46160770422546</v>
      </c>
      <c r="D30" s="2421">
        <f t="shared" si="191"/>
        <v>271.46160770422546</v>
      </c>
      <c r="E30" s="2421">
        <f t="shared" si="195"/>
        <v>442.69434542172456</v>
      </c>
      <c r="F30" s="2421">
        <f t="shared" si="195"/>
        <v>241.34030753190925</v>
      </c>
      <c r="G30" s="3420"/>
      <c r="H30" s="2433">
        <v>2</v>
      </c>
      <c r="I30" s="2433">
        <v>0.77</v>
      </c>
      <c r="J30" s="2433">
        <v>0.69</v>
      </c>
      <c r="K30" s="2433">
        <v>0.8</v>
      </c>
      <c r="L30" s="2434">
        <v>0.88</v>
      </c>
      <c r="N30" s="2423">
        <f t="shared" si="193"/>
        <v>7.7000000000000002E-3</v>
      </c>
      <c r="O30" s="2448">
        <f t="shared" si="188"/>
        <v>6.8999999999999999E-3</v>
      </c>
      <c r="P30" s="2448">
        <f t="shared" si="188"/>
        <v>8.0000000000000002E-3</v>
      </c>
      <c r="Q30" s="2448">
        <f t="shared" si="188"/>
        <v>8.8000000000000005E-3</v>
      </c>
      <c r="R30" s="2424"/>
      <c r="S30" s="2423"/>
      <c r="T30" s="2408"/>
      <c r="U30" s="2408"/>
      <c r="V30" s="2408"/>
      <c r="X30" s="2407">
        <f>ROUND(SUMPRODUCT(PRODUCT(1+N30:N$34)),4)</f>
        <v>1.048</v>
      </c>
      <c r="Y30" s="2407">
        <f>ROUND(SUMPRODUCT(PRODUCT(1+O30:O$34)),4)</f>
        <v>1.0524</v>
      </c>
      <c r="Z30" s="2407">
        <f t="shared" si="0"/>
        <v>1.0524</v>
      </c>
      <c r="AA30" s="2407">
        <f>ROUND(SUMPRODUCT(PRODUCT(1+P30:P$34)),4)</f>
        <v>1.0470999999999999</v>
      </c>
      <c r="AB30" s="2407">
        <f>ROUND(SUMPRODUCT(PRODUCT(1+Q30:Q$34)),4)</f>
        <v>1.0504</v>
      </c>
      <c r="AD30" s="2408">
        <f>ROUND(AVERAGE(I30:I$35)/100,4)</f>
        <v>1.2800000000000001E-2</v>
      </c>
      <c r="AE30" s="2408">
        <f>ROUND(AVERAGE(J30:J$35)/100,4)</f>
        <v>1.2500000000000001E-2</v>
      </c>
      <c r="AF30" s="2408">
        <f t="shared" si="1"/>
        <v>1.2500000000000001E-2</v>
      </c>
      <c r="AG30" s="2408">
        <f>ROUND(AVERAGE(K30:K$35)/100,4)</f>
        <v>1.32E-2</v>
      </c>
      <c r="AH30" s="2408">
        <f>ROUND(AVERAGE(L30:L$35)/100,4)</f>
        <v>1.0500000000000001E-2</v>
      </c>
    </row>
    <row r="31" spans="1:34">
      <c r="A31" s="2420" t="s">
        <v>148</v>
      </c>
      <c r="B31" s="2421">
        <f t="shared" si="194"/>
        <v>319.87748030386797</v>
      </c>
      <c r="C31" s="2421">
        <f t="shared" si="194"/>
        <v>269.60135833173649</v>
      </c>
      <c r="D31" s="2421">
        <f t="shared" si="191"/>
        <v>269.60135833173649</v>
      </c>
      <c r="E31" s="2421">
        <f t="shared" si="195"/>
        <v>439.18089823583784</v>
      </c>
      <c r="F31" s="2421">
        <f t="shared" si="195"/>
        <v>239.23503918706311</v>
      </c>
      <c r="G31" s="3421"/>
      <c r="H31" s="2422">
        <v>1</v>
      </c>
      <c r="I31" s="2422">
        <v>0.51</v>
      </c>
      <c r="J31" s="2422">
        <v>0.54</v>
      </c>
      <c r="K31" s="2422">
        <v>0.48</v>
      </c>
      <c r="L31" s="2428">
        <v>0.93</v>
      </c>
      <c r="N31" s="2439">
        <f t="shared" si="193"/>
        <v>5.1000000000000004E-3</v>
      </c>
      <c r="O31" s="2440">
        <f t="shared" si="188"/>
        <v>5.4000000000000003E-3</v>
      </c>
      <c r="P31" s="2440">
        <f t="shared" si="188"/>
        <v>4.7999999999999996E-3</v>
      </c>
      <c r="Q31" s="2440">
        <f t="shared" si="188"/>
        <v>9.300000000000001E-3</v>
      </c>
      <c r="R31" s="2424"/>
      <c r="S31" s="2439">
        <f>B31/B32-1</f>
        <v>5.9040261127922822E-3</v>
      </c>
      <c r="T31" s="2440">
        <f>C31/C32-1</f>
        <v>5.9752176557332781E-3</v>
      </c>
      <c r="U31" s="2440">
        <f>E31/E32-1</f>
        <v>4.9906138119859556E-3</v>
      </c>
      <c r="V31" s="2440">
        <f>F31/F32-1</f>
        <v>9.4305450930933787E-3</v>
      </c>
      <c r="X31" s="2407">
        <f>ROUND(SUMPRODUCT(PRODUCT(1+N31:N$34)),4)</f>
        <v>1.0399</v>
      </c>
      <c r="Y31" s="2407">
        <f>ROUND(SUMPRODUCT(PRODUCT(1+O31:O$34)),4)</f>
        <v>1.0451999999999999</v>
      </c>
      <c r="Z31" s="2407">
        <f t="shared" si="0"/>
        <v>1.0451999999999999</v>
      </c>
      <c r="AA31" s="2407">
        <f>ROUND(SUMPRODUCT(PRODUCT(1+P31:P$34)),4)</f>
        <v>1.0387999999999999</v>
      </c>
      <c r="AB31" s="2407">
        <f>ROUND(SUMPRODUCT(PRODUCT(1+Q31:Q$34)),4)</f>
        <v>1.0411999999999999</v>
      </c>
      <c r="AD31" s="2408">
        <f>ROUND(AVERAGE(I31:I$35)/100,4)</f>
        <v>1.38E-2</v>
      </c>
      <c r="AE31" s="2408">
        <f>ROUND(AVERAGE(J31:J$35)/100,4)</f>
        <v>1.3599999999999999E-2</v>
      </c>
      <c r="AF31" s="2408">
        <f t="shared" si="1"/>
        <v>1.3599999999999999E-2</v>
      </c>
      <c r="AG31" s="2408">
        <f>ROUND(AVERAGE(K31:K$35)/100,4)</f>
        <v>1.4200000000000001E-2</v>
      </c>
      <c r="AH31" s="2408">
        <f>ROUND(AVERAGE(L31:L$35)/100,4)</f>
        <v>1.0800000000000001E-2</v>
      </c>
    </row>
    <row r="32" spans="1:34" ht="13.5" thickBot="1">
      <c r="A32" s="2420" t="s">
        <v>147</v>
      </c>
      <c r="B32" s="2449">
        <v>318</v>
      </c>
      <c r="C32" s="2449">
        <v>268</v>
      </c>
      <c r="D32" s="2449">
        <f t="shared" si="191"/>
        <v>268</v>
      </c>
      <c r="E32" s="2449">
        <v>437</v>
      </c>
      <c r="F32" s="2450">
        <v>237</v>
      </c>
      <c r="G32" s="3419">
        <v>2014</v>
      </c>
      <c r="H32" s="2441">
        <v>4</v>
      </c>
      <c r="I32" s="2441">
        <v>0.21</v>
      </c>
      <c r="J32" s="2441">
        <v>0.41</v>
      </c>
      <c r="K32" s="2441">
        <v>0.12</v>
      </c>
      <c r="L32" s="2442">
        <v>0.89</v>
      </c>
      <c r="N32" s="2423">
        <f t="shared" si="193"/>
        <v>2.0999999999999999E-3</v>
      </c>
      <c r="O32" s="2408">
        <f t="shared" si="188"/>
        <v>4.0999999999999995E-3</v>
      </c>
      <c r="P32" s="2408">
        <f t="shared" si="188"/>
        <v>1.1999999999999999E-3</v>
      </c>
      <c r="Q32" s="2408">
        <f t="shared" si="188"/>
        <v>8.8999999999999999E-3</v>
      </c>
      <c r="R32" s="2424"/>
      <c r="S32" s="2437"/>
      <c r="T32" s="2438"/>
      <c r="U32" s="2438"/>
      <c r="V32" s="2438"/>
      <c r="X32" s="2407">
        <f>ROUND(SUMPRODUCT(PRODUCT(1+N32:N$34)),4)</f>
        <v>1.0347</v>
      </c>
      <c r="Y32" s="2407">
        <f>ROUND(SUMPRODUCT(PRODUCT(1+O32:O$34)),4)</f>
        <v>1.0395000000000001</v>
      </c>
      <c r="Z32" s="2407">
        <f t="shared" si="0"/>
        <v>1.0395000000000001</v>
      </c>
      <c r="AA32" s="2407">
        <f>ROUND(SUMPRODUCT(PRODUCT(1+P32:P$34)),4)</f>
        <v>1.0338000000000001</v>
      </c>
      <c r="AB32" s="2407">
        <f>ROUND(SUMPRODUCT(PRODUCT(1+Q32:Q$34)),4)</f>
        <v>1.0316000000000001</v>
      </c>
      <c r="AD32" s="2408">
        <f>ROUND(AVERAGE(I32:I$35)/100,4)</f>
        <v>1.6E-2</v>
      </c>
      <c r="AE32" s="2408">
        <f>ROUND(AVERAGE(J32:J$35)/100,4)</f>
        <v>1.5599999999999999E-2</v>
      </c>
      <c r="AF32" s="2408">
        <f t="shared" si="1"/>
        <v>1.5599999999999999E-2</v>
      </c>
      <c r="AG32" s="2408">
        <f>ROUND(AVERAGE(K32:K$35)/100,4)</f>
        <v>1.66E-2</v>
      </c>
      <c r="AH32" s="2408">
        <f>ROUND(AVERAGE(L32:L$35)/100,4)</f>
        <v>1.12E-2</v>
      </c>
    </row>
    <row r="33" spans="1:34">
      <c r="A33" s="2420" t="s">
        <v>146</v>
      </c>
      <c r="B33" s="2421">
        <f t="shared" ref="B33:C35" si="196">B32/(1+N32)</f>
        <v>317.33359944117353</v>
      </c>
      <c r="C33" s="2421">
        <f t="shared" si="196"/>
        <v>266.90568668459315</v>
      </c>
      <c r="D33" s="2421">
        <f t="shared" si="191"/>
        <v>266.90568668459315</v>
      </c>
      <c r="E33" s="2421">
        <f t="shared" ref="E33:F35" si="197">E32/(1+P32)</f>
        <v>436.47622852576905</v>
      </c>
      <c r="F33" s="2421">
        <f t="shared" si="197"/>
        <v>234.90930716622066</v>
      </c>
      <c r="G33" s="3420"/>
      <c r="H33" s="2451">
        <v>3</v>
      </c>
      <c r="I33" s="2451">
        <v>0.83</v>
      </c>
      <c r="J33" s="2451">
        <v>1.47</v>
      </c>
      <c r="K33" s="2451">
        <v>0.65</v>
      </c>
      <c r="L33" s="2452">
        <v>0.72</v>
      </c>
      <c r="N33" s="2423">
        <f t="shared" si="193"/>
        <v>8.3000000000000001E-3</v>
      </c>
      <c r="O33" s="2408">
        <f t="shared" si="188"/>
        <v>1.47E-2</v>
      </c>
      <c r="P33" s="2408">
        <f t="shared" si="188"/>
        <v>6.5000000000000006E-3</v>
      </c>
      <c r="Q33" s="2408">
        <f t="shared" si="188"/>
        <v>7.1999999999999998E-3</v>
      </c>
      <c r="R33" s="2424"/>
      <c r="S33" s="2423"/>
      <c r="T33" s="2408"/>
      <c r="U33" s="2408"/>
      <c r="V33" s="2408"/>
      <c r="X33" s="2407">
        <f>ROUND(SUMPRODUCT(PRODUCT(1+N33:N$34)),4)</f>
        <v>1.0325</v>
      </c>
      <c r="Y33" s="2407">
        <f>ROUND(SUMPRODUCT(PRODUCT(1+O33:O$34)),4)</f>
        <v>1.0353000000000001</v>
      </c>
      <c r="Z33" s="2407">
        <f t="shared" ref="Z33:Z34" si="198">Y33</f>
        <v>1.0353000000000001</v>
      </c>
      <c r="AA33" s="2407">
        <f>ROUND(SUMPRODUCT(PRODUCT(1+P33:P$34)),4)</f>
        <v>1.0326</v>
      </c>
      <c r="AB33" s="2407">
        <f>ROUND(SUMPRODUCT(PRODUCT(1+Q33:Q$34)),4)</f>
        <v>1.0225</v>
      </c>
      <c r="AD33" s="2408">
        <f>ROUND(AVERAGE(I33:I$35)/100,4)</f>
        <v>2.07E-2</v>
      </c>
      <c r="AE33" s="2408">
        <f>ROUND(AVERAGE(J33:J$35)/100,4)</f>
        <v>1.95E-2</v>
      </c>
      <c r="AF33" s="2408">
        <f t="shared" si="1"/>
        <v>1.95E-2</v>
      </c>
      <c r="AG33" s="2408">
        <f>ROUND(AVERAGE(K33:K$35)/100,4)</f>
        <v>2.1700000000000001E-2</v>
      </c>
      <c r="AH33" s="2408">
        <f>ROUND(AVERAGE(L33:L$35)/100,4)</f>
        <v>1.2E-2</v>
      </c>
    </row>
    <row r="34" spans="1:34" ht="13.5" thickBot="1">
      <c r="A34" s="2420" t="s">
        <v>145</v>
      </c>
      <c r="B34" s="2421">
        <f t="shared" si="196"/>
        <v>314.72141172386546</v>
      </c>
      <c r="C34" s="2421">
        <f t="shared" si="196"/>
        <v>263.03901319069001</v>
      </c>
      <c r="D34" s="2421">
        <f t="shared" si="191"/>
        <v>263.03901319069001</v>
      </c>
      <c r="E34" s="2421">
        <f t="shared" si="197"/>
        <v>433.65745506782821</v>
      </c>
      <c r="F34" s="2421">
        <f t="shared" si="197"/>
        <v>233.23005080045735</v>
      </c>
      <c r="G34" s="3420"/>
      <c r="H34" s="2441">
        <v>2</v>
      </c>
      <c r="I34" s="2441">
        <v>2.4</v>
      </c>
      <c r="J34" s="2441">
        <v>2.0299999999999998</v>
      </c>
      <c r="K34" s="2441">
        <v>2.59</v>
      </c>
      <c r="L34" s="2442">
        <v>1.52</v>
      </c>
      <c r="N34" s="2423">
        <f t="shared" si="193"/>
        <v>2.4E-2</v>
      </c>
      <c r="O34" s="2408">
        <f t="shared" si="188"/>
        <v>2.0299999999999999E-2</v>
      </c>
      <c r="P34" s="2408">
        <f t="shared" si="188"/>
        <v>2.5899999999999999E-2</v>
      </c>
      <c r="Q34" s="2408">
        <f t="shared" si="188"/>
        <v>1.52E-2</v>
      </c>
      <c r="R34" s="2424"/>
      <c r="S34" s="2423"/>
      <c r="T34" s="2408"/>
      <c r="U34" s="2408"/>
      <c r="V34" s="2408"/>
      <c r="X34" s="2407">
        <f>1+N34</f>
        <v>1.024</v>
      </c>
      <c r="Y34" s="2407">
        <f>1+O34</f>
        <v>1.0203</v>
      </c>
      <c r="Z34" s="2407">
        <f t="shared" si="198"/>
        <v>1.0203</v>
      </c>
      <c r="AA34" s="2407">
        <f>1+P34</f>
        <v>1.0259</v>
      </c>
      <c r="AB34" s="2407">
        <f>1+Q34</f>
        <v>1.0152000000000001</v>
      </c>
      <c r="AD34" s="2408">
        <f>ROUND(AVERAGE(I34:I$35)/100,4)</f>
        <v>2.69E-2</v>
      </c>
      <c r="AE34" s="2408">
        <f>ROUND(AVERAGE(J34:J$35)/100,4)</f>
        <v>2.1899999999999999E-2</v>
      </c>
      <c r="AF34" s="2408">
        <f t="shared" ref="AF34" si="199">AE34</f>
        <v>2.1899999999999999E-2</v>
      </c>
      <c r="AG34" s="2408">
        <f>ROUND(AVERAGE(K34:K$35)/100,4)</f>
        <v>2.9399999999999999E-2</v>
      </c>
      <c r="AH34" s="2408">
        <f>ROUND(AVERAGE(L34:L$35)/100,4)</f>
        <v>1.44E-2</v>
      </c>
    </row>
    <row r="35" spans="1:34" s="2457" customFormat="1" ht="13.5" thickBot="1">
      <c r="A35" s="2453" t="s">
        <v>144</v>
      </c>
      <c r="B35" s="2454">
        <f t="shared" si="196"/>
        <v>307.34512863658733</v>
      </c>
      <c r="C35" s="2454">
        <f t="shared" si="196"/>
        <v>257.80556031626975</v>
      </c>
      <c r="D35" s="2454">
        <f t="shared" si="191"/>
        <v>257.80556031626975</v>
      </c>
      <c r="E35" s="2454">
        <f t="shared" si="197"/>
        <v>422.70928459677179</v>
      </c>
      <c r="F35" s="2454">
        <f t="shared" si="197"/>
        <v>229.73803270336617</v>
      </c>
      <c r="G35" s="3421"/>
      <c r="H35" s="2455">
        <v>1</v>
      </c>
      <c r="I35" s="2455">
        <v>2.97</v>
      </c>
      <c r="J35" s="2455">
        <v>2.34</v>
      </c>
      <c r="K35" s="2455">
        <v>3.28</v>
      </c>
      <c r="L35" s="2456">
        <v>1.36</v>
      </c>
      <c r="N35" s="2458">
        <f t="shared" si="193"/>
        <v>2.9700000000000001E-2</v>
      </c>
      <c r="O35" s="2459">
        <f t="shared" si="188"/>
        <v>2.3399999999999997E-2</v>
      </c>
      <c r="P35" s="2459">
        <f t="shared" si="188"/>
        <v>3.2799999999999996E-2</v>
      </c>
      <c r="Q35" s="2459">
        <f t="shared" si="188"/>
        <v>1.3600000000000001E-2</v>
      </c>
      <c r="R35" s="2460"/>
      <c r="S35" s="2461">
        <f>B35/B36-1</f>
        <v>2.7910129219355539E-2</v>
      </c>
      <c r="T35" s="2462">
        <f>C35/C36-1</f>
        <v>2.3037937762975247E-2</v>
      </c>
      <c r="U35" s="2462">
        <f>E35/E36-1</f>
        <v>3.3519033243940788E-2</v>
      </c>
      <c r="V35" s="2462">
        <f>F35/F36-1</f>
        <v>1.2061818076502862E-2</v>
      </c>
      <c r="W35" s="2463" t="s">
        <v>1129</v>
      </c>
      <c r="X35" s="2464">
        <v>1</v>
      </c>
      <c r="Y35" s="2464">
        <v>1</v>
      </c>
      <c r="Z35" s="2464">
        <v>1</v>
      </c>
      <c r="AA35" s="2464">
        <v>1</v>
      </c>
      <c r="AB35" s="2464">
        <v>1</v>
      </c>
      <c r="AD35" s="2459">
        <f>I35/100</f>
        <v>2.9700000000000001E-2</v>
      </c>
      <c r="AE35" s="2459">
        <f>J35/100</f>
        <v>2.3399999999999997E-2</v>
      </c>
      <c r="AF35" s="2459">
        <f>AE35</f>
        <v>2.3399999999999997E-2</v>
      </c>
      <c r="AG35" s="2459">
        <f>K35/100</f>
        <v>3.2799999999999996E-2</v>
      </c>
      <c r="AH35" s="2459">
        <f>L35/100</f>
        <v>1.3600000000000001E-2</v>
      </c>
    </row>
    <row r="36" spans="1:34" ht="13.5" thickBot="1">
      <c r="A36" s="2420" t="s">
        <v>1130</v>
      </c>
      <c r="B36" s="2435">
        <v>299</v>
      </c>
      <c r="C36" s="2435">
        <v>252</v>
      </c>
      <c r="D36" s="2435">
        <f t="shared" si="191"/>
        <v>252</v>
      </c>
      <c r="E36" s="2435">
        <v>409</v>
      </c>
      <c r="F36" s="2436">
        <v>227</v>
      </c>
      <c r="G36" s="3426">
        <v>2013</v>
      </c>
      <c r="H36" s="2465">
        <v>4</v>
      </c>
      <c r="I36" s="2465">
        <v>1.83</v>
      </c>
      <c r="J36" s="2465">
        <v>1.68</v>
      </c>
      <c r="K36" s="2465">
        <v>1.97</v>
      </c>
      <c r="L36" s="2466">
        <v>0.87</v>
      </c>
      <c r="N36" s="2443">
        <f t="shared" si="193"/>
        <v>1.83E-2</v>
      </c>
      <c r="O36" s="2444">
        <f t="shared" si="188"/>
        <v>1.6799999999999999E-2</v>
      </c>
      <c r="P36" s="2444">
        <f t="shared" si="188"/>
        <v>1.9699999999999999E-2</v>
      </c>
      <c r="Q36" s="2444">
        <f t="shared" si="188"/>
        <v>8.6999999999999994E-3</v>
      </c>
      <c r="R36" s="2424"/>
      <c r="S36" s="2437"/>
      <c r="T36" s="2438"/>
      <c r="U36" s="2438"/>
      <c r="V36" s="2438"/>
      <c r="X36" s="2438"/>
      <c r="Y36" s="2438"/>
      <c r="Z36" s="2438"/>
    </row>
    <row r="37" spans="1:34">
      <c r="A37" s="2420" t="s">
        <v>1131</v>
      </c>
      <c r="B37" s="2421">
        <f t="shared" ref="B37:C39" si="200">B36/(1+N36)</f>
        <v>293.62663262299913</v>
      </c>
      <c r="C37" s="2421">
        <f t="shared" si="200"/>
        <v>247.83634933123525</v>
      </c>
      <c r="D37" s="2421">
        <f t="shared" si="191"/>
        <v>247.83634933123525</v>
      </c>
      <c r="E37" s="2421">
        <f t="shared" ref="E37:F39" si="201">E36/(1+P36)</f>
        <v>401.09836226341076</v>
      </c>
      <c r="F37" s="2421">
        <f t="shared" si="201"/>
        <v>225.04213343908003</v>
      </c>
      <c r="G37" s="3427"/>
      <c r="H37" s="2446">
        <v>3</v>
      </c>
      <c r="I37" s="2446">
        <v>1.86</v>
      </c>
      <c r="J37" s="2446">
        <v>1.72</v>
      </c>
      <c r="K37" s="2446">
        <v>1.98</v>
      </c>
      <c r="L37" s="2447">
        <v>0.88</v>
      </c>
      <c r="N37" s="2423">
        <f t="shared" si="193"/>
        <v>1.8600000000000002E-2</v>
      </c>
      <c r="O37" s="2448">
        <f t="shared" si="188"/>
        <v>1.72E-2</v>
      </c>
      <c r="P37" s="2448">
        <f t="shared" si="188"/>
        <v>1.9799999999999998E-2</v>
      </c>
      <c r="Q37" s="2448">
        <f t="shared" si="188"/>
        <v>8.8000000000000005E-3</v>
      </c>
      <c r="R37" s="2424"/>
      <c r="S37" s="2423"/>
      <c r="T37" s="2408"/>
      <c r="U37" s="2408"/>
      <c r="V37" s="2408"/>
    </row>
    <row r="38" spans="1:34">
      <c r="A38" s="2420" t="s">
        <v>1132</v>
      </c>
      <c r="B38" s="2421">
        <f t="shared" si="200"/>
        <v>288.2649053828776</v>
      </c>
      <c r="C38" s="2421">
        <f t="shared" si="200"/>
        <v>243.64564425013293</v>
      </c>
      <c r="D38" s="2421">
        <f t="shared" si="191"/>
        <v>243.64564425013293</v>
      </c>
      <c r="E38" s="2421">
        <f t="shared" si="201"/>
        <v>393.31080825986544</v>
      </c>
      <c r="F38" s="2421">
        <f t="shared" si="201"/>
        <v>223.07903790551154</v>
      </c>
      <c r="G38" s="3427"/>
      <c r="H38" s="2433">
        <v>2</v>
      </c>
      <c r="I38" s="2433">
        <v>2.04</v>
      </c>
      <c r="J38" s="2433">
        <v>2.33</v>
      </c>
      <c r="K38" s="2433">
        <v>2.0699999999999998</v>
      </c>
      <c r="L38" s="2434">
        <v>0.69</v>
      </c>
      <c r="N38" s="2423">
        <f t="shared" si="193"/>
        <v>2.0400000000000001E-2</v>
      </c>
      <c r="O38" s="2448">
        <f t="shared" si="188"/>
        <v>2.3300000000000001E-2</v>
      </c>
      <c r="P38" s="2448">
        <f t="shared" si="188"/>
        <v>2.07E-2</v>
      </c>
      <c r="Q38" s="2448">
        <f t="shared" si="188"/>
        <v>6.8999999999999999E-3</v>
      </c>
      <c r="R38" s="2424"/>
      <c r="S38" s="2423"/>
      <c r="T38" s="2408"/>
      <c r="U38" s="2408"/>
      <c r="V38" s="2408"/>
      <c r="X38" s="2467"/>
      <c r="Y38" s="2468"/>
    </row>
    <row r="39" spans="1:34">
      <c r="A39" s="2420" t="s">
        <v>1133</v>
      </c>
      <c r="B39" s="2421">
        <f t="shared" si="200"/>
        <v>282.50186729015837</v>
      </c>
      <c r="C39" s="2421">
        <f t="shared" si="200"/>
        <v>238.09796174155468</v>
      </c>
      <c r="D39" s="2421">
        <f t="shared" si="191"/>
        <v>238.09796174155468</v>
      </c>
      <c r="E39" s="2421">
        <f t="shared" si="201"/>
        <v>385.33438646014054</v>
      </c>
      <c r="F39" s="2421">
        <f t="shared" si="201"/>
        <v>221.55034055567739</v>
      </c>
      <c r="G39" s="3428"/>
      <c r="H39" s="2422">
        <v>1</v>
      </c>
      <c r="I39" s="2422">
        <v>1.67</v>
      </c>
      <c r="J39" s="2422">
        <v>1.31</v>
      </c>
      <c r="K39" s="2422">
        <v>1.85</v>
      </c>
      <c r="L39" s="2428">
        <v>0.96</v>
      </c>
      <c r="N39" s="2439">
        <f t="shared" si="193"/>
        <v>1.67E-2</v>
      </c>
      <c r="O39" s="2440">
        <f t="shared" si="193"/>
        <v>1.3100000000000001E-2</v>
      </c>
      <c r="P39" s="2440">
        <f t="shared" si="193"/>
        <v>1.8500000000000003E-2</v>
      </c>
      <c r="Q39" s="2440">
        <f t="shared" si="193"/>
        <v>9.5999999999999992E-3</v>
      </c>
      <c r="R39" s="2424"/>
      <c r="S39" s="2439">
        <f>B39/B40-1</f>
        <v>1.6193767230785472E-2</v>
      </c>
      <c r="T39" s="2440">
        <f>C39/C40-1</f>
        <v>1.7512657015190891E-2</v>
      </c>
      <c r="U39" s="2440">
        <f>E39/E40-1</f>
        <v>1.6713420739157048E-2</v>
      </c>
      <c r="V39" s="2440">
        <f>F39/F40-1</f>
        <v>7.0470025258062563E-3</v>
      </c>
      <c r="X39" s="2469"/>
      <c r="Y39" s="2408"/>
      <c r="Z39" s="2408"/>
    </row>
    <row r="40" spans="1:34" ht="13.5" thickBot="1">
      <c r="A40" s="2420" t="s">
        <v>1134</v>
      </c>
      <c r="B40" s="2470">
        <v>278</v>
      </c>
      <c r="C40" s="2470">
        <v>234</v>
      </c>
      <c r="D40" s="2470">
        <f t="shared" si="191"/>
        <v>234</v>
      </c>
      <c r="E40" s="2470">
        <v>379</v>
      </c>
      <c r="F40" s="2471">
        <v>220</v>
      </c>
      <c r="G40" s="3419">
        <v>2012</v>
      </c>
      <c r="H40" s="2441">
        <v>4</v>
      </c>
      <c r="I40" s="2441">
        <v>0.91</v>
      </c>
      <c r="J40" s="2441">
        <v>0.68</v>
      </c>
      <c r="K40" s="2441">
        <v>0.98</v>
      </c>
      <c r="L40" s="2442">
        <v>0.9</v>
      </c>
      <c r="N40" s="2423">
        <f t="shared" si="193"/>
        <v>9.1000000000000004E-3</v>
      </c>
      <c r="O40" s="2408">
        <f t="shared" si="193"/>
        <v>6.8000000000000005E-3</v>
      </c>
      <c r="P40" s="2408">
        <f t="shared" si="193"/>
        <v>9.7999999999999997E-3</v>
      </c>
      <c r="Q40" s="2408">
        <f t="shared" si="193"/>
        <v>9.0000000000000011E-3</v>
      </c>
      <c r="R40" s="2424"/>
      <c r="S40" s="2437"/>
      <c r="T40" s="2438"/>
      <c r="U40" s="2438"/>
      <c r="V40" s="2438"/>
      <c r="X40" s="2438"/>
      <c r="Y40" s="2438"/>
      <c r="Z40" s="2438"/>
    </row>
    <row r="41" spans="1:34">
      <c r="A41" s="2420" t="s">
        <v>1135</v>
      </c>
      <c r="B41" s="2421">
        <f>B40/(1+N40)</f>
        <v>275.49301357645425</v>
      </c>
      <c r="C41" s="2421">
        <f>C40/(1+O40)</f>
        <v>232.41954707985698</v>
      </c>
      <c r="D41" s="2421">
        <f t="shared" si="191"/>
        <v>232.41954707985698</v>
      </c>
      <c r="E41" s="2421">
        <f t="shared" ref="E41:F43" si="202">E40/(1+P40)</f>
        <v>375.32184591008121</v>
      </c>
      <c r="F41" s="2421">
        <f t="shared" si="202"/>
        <v>218.03766105054513</v>
      </c>
      <c r="G41" s="3420"/>
      <c r="H41" s="2446">
        <v>3</v>
      </c>
      <c r="I41" s="2446">
        <v>0.09</v>
      </c>
      <c r="J41" s="2446">
        <v>0.28999999999999998</v>
      </c>
      <c r="K41" s="2446">
        <v>-0.01</v>
      </c>
      <c r="L41" s="2447">
        <v>0.57999999999999996</v>
      </c>
      <c r="N41" s="2423">
        <f t="shared" si="193"/>
        <v>8.9999999999999998E-4</v>
      </c>
      <c r="O41" s="2408">
        <f t="shared" si="193"/>
        <v>2.8999999999999998E-3</v>
      </c>
      <c r="P41" s="2408">
        <f t="shared" si="193"/>
        <v>-1E-4</v>
      </c>
      <c r="Q41" s="2408">
        <f t="shared" si="193"/>
        <v>5.7999999999999996E-3</v>
      </c>
      <c r="R41" s="2424"/>
      <c r="S41" s="2423"/>
      <c r="T41" s="2408"/>
      <c r="U41" s="2408"/>
      <c r="V41" s="2408"/>
    </row>
    <row r="42" spans="1:34">
      <c r="A42" s="2420" t="s">
        <v>1136</v>
      </c>
      <c r="B42" s="2421">
        <f>B41/(1+N41)</f>
        <v>275.24529281292263</v>
      </c>
      <c r="C42" s="2421">
        <f>C41/(1+O41)</f>
        <v>231.74747938962707</v>
      </c>
      <c r="D42" s="2421">
        <f t="shared" si="191"/>
        <v>231.74747938962707</v>
      </c>
      <c r="E42" s="2421">
        <f t="shared" si="202"/>
        <v>375.35938184826603</v>
      </c>
      <c r="F42" s="2421">
        <f t="shared" si="202"/>
        <v>216.78033510692495</v>
      </c>
      <c r="G42" s="3420"/>
      <c r="H42" s="2433">
        <v>2</v>
      </c>
      <c r="I42" s="2433">
        <v>0.02</v>
      </c>
      <c r="J42" s="2433">
        <v>0.12</v>
      </c>
      <c r="K42" s="2433">
        <v>-0.08</v>
      </c>
      <c r="L42" s="2434">
        <v>1.24</v>
      </c>
      <c r="N42" s="2423">
        <f t="shared" si="193"/>
        <v>2.0000000000000001E-4</v>
      </c>
      <c r="O42" s="2408">
        <f t="shared" si="193"/>
        <v>1.1999999999999999E-3</v>
      </c>
      <c r="P42" s="2408">
        <f t="shared" si="193"/>
        <v>-8.0000000000000004E-4</v>
      </c>
      <c r="Q42" s="2408">
        <f t="shared" si="193"/>
        <v>1.24E-2</v>
      </c>
      <c r="R42" s="2424"/>
      <c r="S42" s="2423"/>
      <c r="T42" s="2408"/>
      <c r="U42" s="2408"/>
      <c r="V42" s="2408"/>
    </row>
    <row r="43" spans="1:34" ht="13.5" thickBot="1">
      <c r="A43" s="2420" t="s">
        <v>1137</v>
      </c>
      <c r="B43" s="2421">
        <f>B42/(1+N42)</f>
        <v>275.19025476197027</v>
      </c>
      <c r="C43" s="2472">
        <v>232</v>
      </c>
      <c r="D43" s="2472">
        <f t="shared" si="191"/>
        <v>232</v>
      </c>
      <c r="E43" s="2421">
        <f t="shared" si="202"/>
        <v>375.65990977608692</v>
      </c>
      <c r="F43" s="2421">
        <f t="shared" si="202"/>
        <v>214.12518283971252</v>
      </c>
      <c r="G43" s="3421"/>
      <c r="H43" s="2422">
        <v>1</v>
      </c>
      <c r="I43" s="2422">
        <v>0.02</v>
      </c>
      <c r="J43" s="2422">
        <v>0.13</v>
      </c>
      <c r="K43" s="2422">
        <v>-0.04</v>
      </c>
      <c r="L43" s="2428">
        <v>0.46</v>
      </c>
      <c r="N43" s="2423">
        <f t="shared" si="193"/>
        <v>2.0000000000000001E-4</v>
      </c>
      <c r="O43" s="2408">
        <f t="shared" si="193"/>
        <v>1.2999999999999999E-3</v>
      </c>
      <c r="P43" s="2408">
        <f t="shared" si="193"/>
        <v>-4.0000000000000002E-4</v>
      </c>
      <c r="Q43" s="2408">
        <f t="shared" si="193"/>
        <v>4.5999999999999999E-3</v>
      </c>
      <c r="R43" s="2424"/>
      <c r="S43" s="2439">
        <f>B43/B44-1</f>
        <v>6.9183549807361189E-4</v>
      </c>
      <c r="T43" s="2440">
        <f>C43/C44-1</f>
        <v>0</v>
      </c>
      <c r="U43" s="2440">
        <f>E43/E44-1</f>
        <v>-9.0449527636460303E-4</v>
      </c>
      <c r="V43" s="2440">
        <f>F43/F44-1</f>
        <v>5.2825485432512753E-3</v>
      </c>
      <c r="X43" s="2408"/>
      <c r="Y43" s="2408"/>
      <c r="Z43" s="2408"/>
    </row>
    <row r="44" spans="1:34" ht="13.5" thickBot="1">
      <c r="A44" s="2420" t="s">
        <v>1138</v>
      </c>
      <c r="B44" s="2435">
        <v>275</v>
      </c>
      <c r="C44" s="2435">
        <v>232</v>
      </c>
      <c r="D44" s="2435">
        <f t="shared" si="191"/>
        <v>232</v>
      </c>
      <c r="E44" s="2435">
        <v>376</v>
      </c>
      <c r="F44" s="2436">
        <v>213</v>
      </c>
      <c r="G44" s="3419">
        <v>2011</v>
      </c>
      <c r="H44" s="2441">
        <v>4</v>
      </c>
      <c r="I44" s="2441">
        <v>-0.2</v>
      </c>
      <c r="J44" s="2441">
        <v>0.04</v>
      </c>
      <c r="K44" s="2441">
        <v>-0.34</v>
      </c>
      <c r="L44" s="2442">
        <v>0.46</v>
      </c>
      <c r="N44" s="2443">
        <f t="shared" si="193"/>
        <v>-2E-3</v>
      </c>
      <c r="O44" s="2444">
        <f t="shared" si="193"/>
        <v>4.0000000000000002E-4</v>
      </c>
      <c r="P44" s="2444">
        <f t="shared" si="193"/>
        <v>-3.4000000000000002E-3</v>
      </c>
      <c r="Q44" s="2444">
        <f t="shared" si="193"/>
        <v>4.5999999999999999E-3</v>
      </c>
      <c r="R44" s="2424"/>
      <c r="S44" s="2437"/>
      <c r="T44" s="2438"/>
      <c r="U44" s="2438"/>
      <c r="V44" s="2438"/>
      <c r="X44" s="2438"/>
      <c r="Y44" s="2438"/>
      <c r="Z44" s="2438"/>
    </row>
    <row r="45" spans="1:34">
      <c r="A45" s="2420" t="s">
        <v>1139</v>
      </c>
      <c r="B45" s="2421">
        <f t="shared" ref="B45:C47" si="203">B44/(1+N44)</f>
        <v>275.55110220440883</v>
      </c>
      <c r="C45" s="2421">
        <f t="shared" si="203"/>
        <v>231.90723710515795</v>
      </c>
      <c r="D45" s="2421">
        <f t="shared" si="191"/>
        <v>231.90723710515795</v>
      </c>
      <c r="E45" s="2421">
        <f t="shared" ref="E45:F47" si="204">E44/(1+P44)</f>
        <v>377.28276138872161</v>
      </c>
      <c r="F45" s="2421">
        <f t="shared" si="204"/>
        <v>212.02468644236512</v>
      </c>
      <c r="G45" s="3420">
        <v>2011</v>
      </c>
      <c r="H45" s="2446">
        <v>3</v>
      </c>
      <c r="I45" s="2446">
        <v>0.13</v>
      </c>
      <c r="J45" s="2446">
        <v>0.75</v>
      </c>
      <c r="K45" s="2446">
        <v>-0.08</v>
      </c>
      <c r="L45" s="2447">
        <v>0.53</v>
      </c>
      <c r="N45" s="2423">
        <f t="shared" si="193"/>
        <v>1.2999999999999999E-3</v>
      </c>
      <c r="O45" s="2448">
        <f t="shared" si="193"/>
        <v>7.4999999999999997E-3</v>
      </c>
      <c r="P45" s="2448">
        <f t="shared" si="193"/>
        <v>-8.0000000000000004E-4</v>
      </c>
      <c r="Q45" s="2448">
        <f t="shared" si="193"/>
        <v>5.3E-3</v>
      </c>
      <c r="R45" s="2424"/>
      <c r="S45" s="2423"/>
      <c r="T45" s="2408"/>
      <c r="U45" s="2408"/>
      <c r="V45" s="2408"/>
    </row>
    <row r="46" spans="1:34">
      <c r="A46" s="2420" t="s">
        <v>1140</v>
      </c>
      <c r="B46" s="2421">
        <f t="shared" si="203"/>
        <v>275.19335084830601</v>
      </c>
      <c r="C46" s="2421">
        <f t="shared" si="203"/>
        <v>230.18088050139744</v>
      </c>
      <c r="D46" s="2421">
        <f t="shared" si="191"/>
        <v>230.18088050139744</v>
      </c>
      <c r="E46" s="2421">
        <f t="shared" si="204"/>
        <v>377.58482925212331</v>
      </c>
      <c r="F46" s="2421">
        <f t="shared" si="204"/>
        <v>210.90687997847917</v>
      </c>
      <c r="G46" s="3420">
        <v>2011</v>
      </c>
      <c r="H46" s="2433">
        <v>2</v>
      </c>
      <c r="I46" s="2433">
        <v>-0.4</v>
      </c>
      <c r="J46" s="2433">
        <v>0.17</v>
      </c>
      <c r="K46" s="2433">
        <v>-0.57999999999999996</v>
      </c>
      <c r="L46" s="2434">
        <v>-0.2</v>
      </c>
      <c r="N46" s="2423">
        <f t="shared" si="193"/>
        <v>-4.0000000000000001E-3</v>
      </c>
      <c r="O46" s="2448">
        <f t="shared" si="193"/>
        <v>1.7000000000000001E-3</v>
      </c>
      <c r="P46" s="2448">
        <f t="shared" si="193"/>
        <v>-5.7999999999999996E-3</v>
      </c>
      <c r="Q46" s="2448">
        <f t="shared" si="193"/>
        <v>-2E-3</v>
      </c>
      <c r="R46" s="2424"/>
      <c r="S46" s="2423"/>
      <c r="T46" s="2408"/>
      <c r="U46" s="2408"/>
      <c r="V46" s="2408"/>
    </row>
    <row r="47" spans="1:34" ht="13.5" thickBot="1">
      <c r="A47" s="2420" t="s">
        <v>1141</v>
      </c>
      <c r="B47" s="2421">
        <f t="shared" si="203"/>
        <v>276.29854502841971</v>
      </c>
      <c r="C47" s="2421">
        <f t="shared" si="203"/>
        <v>229.79023709833027</v>
      </c>
      <c r="D47" s="2421">
        <f t="shared" si="191"/>
        <v>229.79023709833027</v>
      </c>
      <c r="E47" s="2421">
        <f t="shared" si="204"/>
        <v>379.78759731655936</v>
      </c>
      <c r="F47" s="2421">
        <f t="shared" si="204"/>
        <v>211.32953905659235</v>
      </c>
      <c r="G47" s="3421">
        <v>2011</v>
      </c>
      <c r="H47" s="2422">
        <v>1</v>
      </c>
      <c r="I47" s="2422">
        <v>2.65</v>
      </c>
      <c r="J47" s="2422">
        <v>3.76</v>
      </c>
      <c r="K47" s="2422">
        <v>1.89</v>
      </c>
      <c r="L47" s="2428">
        <v>7.95</v>
      </c>
      <c r="N47" s="2439">
        <f t="shared" si="193"/>
        <v>2.6499999999999999E-2</v>
      </c>
      <c r="O47" s="2440">
        <f t="shared" si="193"/>
        <v>3.7599999999999995E-2</v>
      </c>
      <c r="P47" s="2440">
        <f t="shared" si="193"/>
        <v>1.89E-2</v>
      </c>
      <c r="Q47" s="2440">
        <f t="shared" si="193"/>
        <v>7.9500000000000001E-2</v>
      </c>
      <c r="R47" s="2424"/>
      <c r="S47" s="2439">
        <f>B47/B48-1</f>
        <v>2.713213765211786E-2</v>
      </c>
      <c r="T47" s="2440">
        <f>C47/C48-1</f>
        <v>3.9774828499231862E-2</v>
      </c>
      <c r="U47" s="2440">
        <f>E47/E48-1</f>
        <v>1.8197311840641772E-2</v>
      </c>
      <c r="V47" s="2440">
        <f>F47/F48-1</f>
        <v>7.8211933962205826E-2</v>
      </c>
      <c r="X47" s="2408"/>
      <c r="Y47" s="2408"/>
      <c r="Z47" s="2408"/>
    </row>
    <row r="48" spans="1:34" ht="13.5" thickBot="1">
      <c r="A48" s="2420" t="s">
        <v>1142</v>
      </c>
      <c r="B48" s="2435">
        <v>269</v>
      </c>
      <c r="C48" s="2435">
        <v>221</v>
      </c>
      <c r="D48" s="2435">
        <f t="shared" si="191"/>
        <v>221</v>
      </c>
      <c r="E48" s="2435">
        <v>373</v>
      </c>
      <c r="F48" s="2436">
        <v>196</v>
      </c>
      <c r="G48" s="3419">
        <v>2010</v>
      </c>
      <c r="H48" s="2441">
        <v>4</v>
      </c>
      <c r="I48" s="2441">
        <v>5.72</v>
      </c>
      <c r="J48" s="2441">
        <v>6.57</v>
      </c>
      <c r="K48" s="2441">
        <v>5.72</v>
      </c>
      <c r="L48" s="2442">
        <v>2.72</v>
      </c>
      <c r="N48" s="2423">
        <f t="shared" si="193"/>
        <v>5.7200000000000001E-2</v>
      </c>
      <c r="O48" s="2408">
        <f t="shared" si="193"/>
        <v>6.5700000000000008E-2</v>
      </c>
      <c r="P48" s="2408">
        <f t="shared" si="193"/>
        <v>5.7200000000000001E-2</v>
      </c>
      <c r="Q48" s="2408">
        <f t="shared" si="193"/>
        <v>2.7200000000000002E-2</v>
      </c>
      <c r="R48" s="2424"/>
      <c r="S48" s="2437"/>
      <c r="T48" s="2438"/>
      <c r="U48" s="2438"/>
      <c r="V48" s="2438"/>
      <c r="X48" s="2438"/>
      <c r="Y48" s="2438"/>
      <c r="Z48" s="2438"/>
    </row>
    <row r="49" spans="1:26">
      <c r="A49" s="2420" t="s">
        <v>1143</v>
      </c>
      <c r="B49" s="2421">
        <f t="shared" ref="B49:C51" si="205">B48/(1+N48)</f>
        <v>254.44570563753314</v>
      </c>
      <c r="C49" s="2421">
        <f t="shared" si="205"/>
        <v>207.37543398705074</v>
      </c>
      <c r="D49" s="2421">
        <f t="shared" si="191"/>
        <v>207.37543398705074</v>
      </c>
      <c r="E49" s="2421">
        <f t="shared" ref="E49:F51" si="206">E48/(1+P48)</f>
        <v>352.81876655315932</v>
      </c>
      <c r="F49" s="2421">
        <f t="shared" si="206"/>
        <v>190.809968847352</v>
      </c>
      <c r="G49" s="3420">
        <v>2010</v>
      </c>
      <c r="H49" s="2446">
        <v>3</v>
      </c>
      <c r="I49" s="2446">
        <v>4.7300000000000004</v>
      </c>
      <c r="J49" s="2446">
        <v>3.9</v>
      </c>
      <c r="K49" s="2446">
        <v>5.03</v>
      </c>
      <c r="L49" s="2447">
        <v>4.21</v>
      </c>
      <c r="N49" s="2423">
        <f t="shared" si="193"/>
        <v>4.7300000000000002E-2</v>
      </c>
      <c r="O49" s="2408">
        <f t="shared" si="193"/>
        <v>3.9E-2</v>
      </c>
      <c r="P49" s="2408">
        <f t="shared" si="193"/>
        <v>5.0300000000000004E-2</v>
      </c>
      <c r="Q49" s="2408">
        <f t="shared" si="193"/>
        <v>4.2099999999999999E-2</v>
      </c>
      <c r="R49" s="2424"/>
      <c r="S49" s="2423"/>
      <c r="T49" s="2408"/>
      <c r="U49" s="2408"/>
      <c r="V49" s="2408"/>
    </row>
    <row r="50" spans="1:26">
      <c r="A50" s="2420" t="s">
        <v>1144</v>
      </c>
      <c r="B50" s="2421">
        <f t="shared" si="205"/>
        <v>242.95398227588385</v>
      </c>
      <c r="C50" s="2421">
        <f t="shared" si="205"/>
        <v>199.59137053614126</v>
      </c>
      <c r="D50" s="2421">
        <f t="shared" si="191"/>
        <v>199.59137053614126</v>
      </c>
      <c r="E50" s="2421">
        <f t="shared" si="206"/>
        <v>335.92189522342125</v>
      </c>
      <c r="F50" s="2421">
        <f t="shared" si="206"/>
        <v>183.10139991109489</v>
      </c>
      <c r="G50" s="3420">
        <v>2010</v>
      </c>
      <c r="H50" s="2433">
        <v>2</v>
      </c>
      <c r="I50" s="2433">
        <v>4.6900000000000004</v>
      </c>
      <c r="J50" s="2433">
        <v>3.55</v>
      </c>
      <c r="K50" s="2433">
        <v>5.07</v>
      </c>
      <c r="L50" s="2434">
        <v>4.2300000000000004</v>
      </c>
      <c r="N50" s="2423">
        <f t="shared" si="193"/>
        <v>4.6900000000000004E-2</v>
      </c>
      <c r="O50" s="2408">
        <f t="shared" si="193"/>
        <v>3.5499999999999997E-2</v>
      </c>
      <c r="P50" s="2408">
        <f t="shared" si="193"/>
        <v>5.0700000000000002E-2</v>
      </c>
      <c r="Q50" s="2408">
        <f t="shared" si="193"/>
        <v>4.2300000000000004E-2</v>
      </c>
      <c r="R50" s="2424"/>
      <c r="S50" s="2423"/>
      <c r="T50" s="2408"/>
      <c r="U50" s="2408"/>
      <c r="V50" s="2408"/>
    </row>
    <row r="51" spans="1:26" ht="13.5" thickBot="1">
      <c r="A51" s="2420" t="s">
        <v>1145</v>
      </c>
      <c r="B51" s="2421">
        <f t="shared" si="205"/>
        <v>232.06990378821649</v>
      </c>
      <c r="C51" s="2421">
        <f t="shared" si="205"/>
        <v>192.74878854286936</v>
      </c>
      <c r="D51" s="2421">
        <f t="shared" si="191"/>
        <v>192.74878854286936</v>
      </c>
      <c r="E51" s="2421">
        <f t="shared" si="206"/>
        <v>319.71247284992984</v>
      </c>
      <c r="F51" s="2421">
        <f t="shared" si="206"/>
        <v>175.67053622862409</v>
      </c>
      <c r="G51" s="3421">
        <v>2010</v>
      </c>
      <c r="H51" s="2422">
        <v>1</v>
      </c>
      <c r="I51" s="2422">
        <v>5.4</v>
      </c>
      <c r="J51" s="2422">
        <v>3.2</v>
      </c>
      <c r="K51" s="2422">
        <v>6.16</v>
      </c>
      <c r="L51" s="2428">
        <v>4.51</v>
      </c>
      <c r="N51" s="2423">
        <f t="shared" si="193"/>
        <v>5.4000000000000006E-2</v>
      </c>
      <c r="O51" s="2408">
        <f t="shared" si="193"/>
        <v>3.2000000000000001E-2</v>
      </c>
      <c r="P51" s="2408">
        <f t="shared" si="193"/>
        <v>6.1600000000000002E-2</v>
      </c>
      <c r="Q51" s="2408">
        <f t="shared" si="193"/>
        <v>4.5100000000000001E-2</v>
      </c>
      <c r="R51" s="2424"/>
      <c r="S51" s="2439">
        <f>B51/B52-1</f>
        <v>5.4863199037347599E-2</v>
      </c>
      <c r="T51" s="2440">
        <f>C51/C52-1</f>
        <v>3.0742184721226584E-2</v>
      </c>
      <c r="U51" s="2440">
        <f>E51/E52-1</f>
        <v>6.2167683886810154E-2</v>
      </c>
      <c r="V51" s="2440">
        <f>F51/F52-1</f>
        <v>4.5657953741810031E-2</v>
      </c>
      <c r="X51" s="2408"/>
      <c r="Y51" s="2408"/>
      <c r="Z51" s="2408"/>
    </row>
    <row r="52" spans="1:26" ht="13.5" thickBot="1">
      <c r="A52" s="2420" t="s">
        <v>1146</v>
      </c>
      <c r="B52" s="2435">
        <v>220</v>
      </c>
      <c r="C52" s="2435">
        <v>187</v>
      </c>
      <c r="D52" s="2435">
        <f t="shared" si="191"/>
        <v>187</v>
      </c>
      <c r="E52" s="2435">
        <v>301</v>
      </c>
      <c r="F52" s="2436">
        <v>168</v>
      </c>
      <c r="G52" s="3419">
        <v>2009</v>
      </c>
      <c r="H52" s="2441">
        <v>4</v>
      </c>
      <c r="I52" s="2441">
        <v>2.2999999999999998</v>
      </c>
      <c r="J52" s="2441">
        <v>1.04</v>
      </c>
      <c r="K52" s="2441">
        <v>2.84</v>
      </c>
      <c r="L52" s="2442">
        <v>0.67</v>
      </c>
      <c r="N52" s="2443">
        <f t="shared" si="193"/>
        <v>2.3E-2</v>
      </c>
      <c r="O52" s="2444">
        <f t="shared" si="193"/>
        <v>1.04E-2</v>
      </c>
      <c r="P52" s="2444">
        <f t="shared" si="193"/>
        <v>2.8399999999999998E-2</v>
      </c>
      <c r="Q52" s="2444">
        <f t="shared" si="193"/>
        <v>6.7000000000000002E-3</v>
      </c>
      <c r="R52" s="2424"/>
      <c r="S52" s="2437"/>
      <c r="T52" s="2438"/>
      <c r="U52" s="2438"/>
      <c r="V52" s="2438"/>
      <c r="X52" s="2438"/>
      <c r="Y52" s="2438"/>
      <c r="Z52" s="2438"/>
    </row>
    <row r="53" spans="1:26">
      <c r="A53" s="2420" t="s">
        <v>1147</v>
      </c>
      <c r="B53" s="2421">
        <f t="shared" ref="B53:C55" si="207">B52/(1+N52)</f>
        <v>215.05376344086022</v>
      </c>
      <c r="C53" s="2421">
        <f t="shared" si="207"/>
        <v>185.0752177355503</v>
      </c>
      <c r="D53" s="2421">
        <f t="shared" si="191"/>
        <v>185.0752177355503</v>
      </c>
      <c r="E53" s="2421">
        <f t="shared" ref="E53:F55" si="208">E52/(1+P52)</f>
        <v>292.68767016725008</v>
      </c>
      <c r="F53" s="2421">
        <f t="shared" si="208"/>
        <v>166.88189132810174</v>
      </c>
      <c r="G53" s="3420">
        <v>2009</v>
      </c>
      <c r="H53" s="2446">
        <v>3</v>
      </c>
      <c r="I53" s="2446">
        <v>2.1</v>
      </c>
      <c r="J53" s="2446">
        <v>1.86</v>
      </c>
      <c r="K53" s="2446">
        <v>2.29</v>
      </c>
      <c r="L53" s="2447">
        <v>0.85</v>
      </c>
      <c r="N53" s="2423">
        <f t="shared" si="193"/>
        <v>2.1000000000000001E-2</v>
      </c>
      <c r="O53" s="2448">
        <f t="shared" si="193"/>
        <v>1.8600000000000002E-2</v>
      </c>
      <c r="P53" s="2448">
        <f t="shared" si="193"/>
        <v>2.29E-2</v>
      </c>
      <c r="Q53" s="2448">
        <f t="shared" si="193"/>
        <v>8.5000000000000006E-3</v>
      </c>
      <c r="R53" s="2424"/>
      <c r="S53" s="2423"/>
      <c r="T53" s="2408"/>
      <c r="U53" s="2408"/>
      <c r="V53" s="2408"/>
    </row>
    <row r="54" spans="1:26">
      <c r="A54" s="2420" t="s">
        <v>1148</v>
      </c>
      <c r="B54" s="2421">
        <f t="shared" si="207"/>
        <v>210.630522469011</v>
      </c>
      <c r="C54" s="2421">
        <f t="shared" si="207"/>
        <v>181.69567812247232</v>
      </c>
      <c r="D54" s="2421">
        <f t="shared" si="191"/>
        <v>181.69567812247232</v>
      </c>
      <c r="E54" s="2421">
        <f t="shared" si="208"/>
        <v>286.13517466736738</v>
      </c>
      <c r="F54" s="2421">
        <f t="shared" si="208"/>
        <v>165.47535084591149</v>
      </c>
      <c r="G54" s="3420">
        <v>2009</v>
      </c>
      <c r="H54" s="2433">
        <v>2</v>
      </c>
      <c r="I54" s="2433">
        <v>0.86</v>
      </c>
      <c r="J54" s="2433">
        <v>-1.1299999999999999</v>
      </c>
      <c r="K54" s="2433">
        <v>1.79</v>
      </c>
      <c r="L54" s="2434">
        <v>-2.0699999999999998</v>
      </c>
      <c r="N54" s="2423">
        <f t="shared" si="193"/>
        <v>8.6E-3</v>
      </c>
      <c r="O54" s="2448">
        <f t="shared" si="193"/>
        <v>-1.1299999999999999E-2</v>
      </c>
      <c r="P54" s="2448">
        <f t="shared" si="193"/>
        <v>1.7899999999999999E-2</v>
      </c>
      <c r="Q54" s="2448">
        <f t="shared" si="193"/>
        <v>-2.07E-2</v>
      </c>
      <c r="R54" s="2424"/>
      <c r="S54" s="2423"/>
      <c r="T54" s="2408"/>
      <c r="U54" s="2408"/>
      <c r="V54" s="2408"/>
    </row>
    <row r="55" spans="1:26">
      <c r="A55" s="2420" t="s">
        <v>1149</v>
      </c>
      <c r="B55" s="2421">
        <f t="shared" si="207"/>
        <v>208.83454537875372</v>
      </c>
      <c r="C55" s="2421">
        <f t="shared" si="207"/>
        <v>183.77230517090351</v>
      </c>
      <c r="D55" s="2421">
        <f t="shared" si="191"/>
        <v>183.77230517090351</v>
      </c>
      <c r="E55" s="2421">
        <f t="shared" si="208"/>
        <v>281.10342338870947</v>
      </c>
      <c r="F55" s="2421">
        <f t="shared" si="208"/>
        <v>168.97309388942256</v>
      </c>
      <c r="G55" s="3421">
        <v>2009</v>
      </c>
      <c r="H55" s="2422">
        <v>1</v>
      </c>
      <c r="I55" s="2422">
        <v>-2.64</v>
      </c>
      <c r="J55" s="2422">
        <v>-2.5299999999999998</v>
      </c>
      <c r="K55" s="2422">
        <v>-3.02</v>
      </c>
      <c r="L55" s="2428">
        <v>1.52</v>
      </c>
      <c r="N55" s="2439">
        <f t="shared" si="193"/>
        <v>-2.64E-2</v>
      </c>
      <c r="O55" s="2440">
        <f t="shared" si="193"/>
        <v>-2.53E-2</v>
      </c>
      <c r="P55" s="2440">
        <f t="shared" si="193"/>
        <v>-3.0200000000000001E-2</v>
      </c>
      <c r="Q55" s="2440">
        <f t="shared" si="193"/>
        <v>1.52E-2</v>
      </c>
      <c r="R55" s="2424"/>
      <c r="S55" s="2439">
        <f>B55/B56-1</f>
        <v>-2.4137638417038754E-2</v>
      </c>
      <c r="T55" s="2440">
        <f>C55/C56-1</f>
        <v>-2.248773845264096E-2</v>
      </c>
      <c r="U55" s="2440">
        <f>E55/E56-1</f>
        <v>-2.7323794502735366E-2</v>
      </c>
      <c r="V55" s="2440">
        <f>F55/F56-1</f>
        <v>1.7910204153148035E-2</v>
      </c>
      <c r="X55" s="2408"/>
      <c r="Y55" s="2408"/>
      <c r="Z55" s="2408"/>
    </row>
    <row r="56" spans="1:26" ht="13.5" thickBot="1">
      <c r="A56" s="2420" t="s">
        <v>1150</v>
      </c>
      <c r="B56" s="2470">
        <v>214</v>
      </c>
      <c r="C56" s="2470">
        <v>188</v>
      </c>
      <c r="D56" s="2470">
        <f t="shared" si="191"/>
        <v>188</v>
      </c>
      <c r="E56" s="2470">
        <v>289</v>
      </c>
      <c r="F56" s="2471">
        <v>166</v>
      </c>
      <c r="G56" s="3419">
        <v>2008</v>
      </c>
      <c r="H56" s="2441">
        <v>4</v>
      </c>
      <c r="I56" s="2441">
        <v>1.73</v>
      </c>
      <c r="J56" s="2441">
        <v>0.03</v>
      </c>
      <c r="K56" s="2441">
        <v>2.59</v>
      </c>
      <c r="L56" s="2442">
        <v>-1.66</v>
      </c>
      <c r="N56" s="2423">
        <f t="shared" si="193"/>
        <v>1.7299999999999999E-2</v>
      </c>
      <c r="O56" s="2408">
        <f t="shared" si="193"/>
        <v>2.9999999999999997E-4</v>
      </c>
      <c r="P56" s="2408">
        <f t="shared" si="193"/>
        <v>2.5899999999999999E-2</v>
      </c>
      <c r="Q56" s="2408">
        <f t="shared" si="193"/>
        <v>-1.66E-2</v>
      </c>
      <c r="R56" s="2424"/>
      <c r="S56" s="2437"/>
      <c r="T56" s="2438"/>
      <c r="U56" s="2438"/>
      <c r="V56" s="2438"/>
      <c r="X56" s="2438"/>
      <c r="Y56" s="2438"/>
      <c r="Z56" s="2438"/>
    </row>
    <row r="57" spans="1:26">
      <c r="A57" s="2420" t="s">
        <v>1151</v>
      </c>
      <c r="B57" s="2421">
        <f t="shared" ref="B57:C59" si="209">B56/(1+N56)</f>
        <v>210.36075887152265</v>
      </c>
      <c r="C57" s="2421">
        <f t="shared" si="209"/>
        <v>187.94361691492554</v>
      </c>
      <c r="D57" s="2421">
        <f t="shared" si="191"/>
        <v>187.94361691492554</v>
      </c>
      <c r="E57" s="2421">
        <f t="shared" ref="E57:F59" si="210">E56/(1+P56)</f>
        <v>281.70386977288234</v>
      </c>
      <c r="F57" s="2421">
        <f t="shared" si="210"/>
        <v>168.80211511083994</v>
      </c>
      <c r="G57" s="3420">
        <v>2008</v>
      </c>
      <c r="H57" s="2446">
        <v>3</v>
      </c>
      <c r="I57" s="2446">
        <v>1.96</v>
      </c>
      <c r="J57" s="2446">
        <v>2.36</v>
      </c>
      <c r="K57" s="2446">
        <v>1.82</v>
      </c>
      <c r="L57" s="2447">
        <v>2.2200000000000002</v>
      </c>
      <c r="N57" s="2423">
        <f t="shared" si="193"/>
        <v>1.9599999999999999E-2</v>
      </c>
      <c r="O57" s="2408">
        <f t="shared" si="193"/>
        <v>2.3599999999999999E-2</v>
      </c>
      <c r="P57" s="2408">
        <f t="shared" si="193"/>
        <v>1.8200000000000001E-2</v>
      </c>
      <c r="Q57" s="2408">
        <f t="shared" si="193"/>
        <v>2.2200000000000001E-2</v>
      </c>
      <c r="R57" s="2424"/>
      <c r="S57" s="2423"/>
      <c r="T57" s="2408"/>
      <c r="U57" s="2408"/>
      <c r="V57" s="2408"/>
    </row>
    <row r="58" spans="1:26">
      <c r="A58" s="2420" t="s">
        <v>1152</v>
      </c>
      <c r="B58" s="2421">
        <f t="shared" si="209"/>
        <v>206.31694671589116</v>
      </c>
      <c r="C58" s="2421">
        <f t="shared" si="209"/>
        <v>183.61041121036101</v>
      </c>
      <c r="D58" s="2421">
        <f t="shared" si="191"/>
        <v>183.61041121036101</v>
      </c>
      <c r="E58" s="2421">
        <f t="shared" si="210"/>
        <v>276.66850301795557</v>
      </c>
      <c r="F58" s="2421">
        <f t="shared" si="210"/>
        <v>165.1360938278614</v>
      </c>
      <c r="G58" s="3420">
        <v>2008</v>
      </c>
      <c r="H58" s="2433">
        <v>2</v>
      </c>
      <c r="I58" s="2433">
        <v>4.93</v>
      </c>
      <c r="J58" s="2433">
        <v>7.38</v>
      </c>
      <c r="K58" s="2433">
        <v>3.98</v>
      </c>
      <c r="L58" s="2434">
        <v>6.86</v>
      </c>
      <c r="N58" s="2423">
        <f t="shared" si="193"/>
        <v>4.9299999999999997E-2</v>
      </c>
      <c r="O58" s="2408">
        <f t="shared" si="193"/>
        <v>7.3800000000000004E-2</v>
      </c>
      <c r="P58" s="2408">
        <f t="shared" si="193"/>
        <v>3.9800000000000002E-2</v>
      </c>
      <c r="Q58" s="2408">
        <f t="shared" si="193"/>
        <v>6.8600000000000008E-2</v>
      </c>
      <c r="R58" s="2424"/>
      <c r="S58" s="2423"/>
      <c r="T58" s="2408"/>
      <c r="U58" s="2408"/>
      <c r="V58" s="2408"/>
    </row>
    <row r="59" spans="1:26" s="2476" customFormat="1" ht="13.5" thickBot="1">
      <c r="A59" s="2420" t="s">
        <v>1153</v>
      </c>
      <c r="B59" s="2473">
        <f t="shared" si="209"/>
        <v>196.62341248059772</v>
      </c>
      <c r="C59" s="2473">
        <f t="shared" si="209"/>
        <v>170.99125648199012</v>
      </c>
      <c r="D59" s="2473">
        <f t="shared" si="191"/>
        <v>170.99125648199012</v>
      </c>
      <c r="E59" s="2473">
        <f t="shared" si="210"/>
        <v>266.07857570490052</v>
      </c>
      <c r="F59" s="2473">
        <f t="shared" si="210"/>
        <v>154.53499328828505</v>
      </c>
      <c r="G59" s="3421">
        <v>2008</v>
      </c>
      <c r="H59" s="2474">
        <v>1</v>
      </c>
      <c r="I59" s="2474">
        <v>4.1399999999999997</v>
      </c>
      <c r="J59" s="2474">
        <v>3.45</v>
      </c>
      <c r="K59" s="2474">
        <v>4.95</v>
      </c>
      <c r="L59" s="2475">
        <v>4.82</v>
      </c>
      <c r="N59" s="2477">
        <f t="shared" si="193"/>
        <v>4.1399999999999999E-2</v>
      </c>
      <c r="O59" s="2478">
        <f t="shared" si="193"/>
        <v>3.4500000000000003E-2</v>
      </c>
      <c r="P59" s="2478">
        <f t="shared" si="193"/>
        <v>4.9500000000000002E-2</v>
      </c>
      <c r="Q59" s="2478">
        <f t="shared" si="193"/>
        <v>4.82E-2</v>
      </c>
      <c r="R59" s="2479"/>
      <c r="S59" s="2477">
        <f>B59/B60-1</f>
        <v>4.5869215322328349E-2</v>
      </c>
      <c r="T59" s="2478">
        <f>C59/C60-1</f>
        <v>3.6310645345394743E-2</v>
      </c>
      <c r="U59" s="2478">
        <f>E59/E60-1</f>
        <v>4.7553447657088688E-2</v>
      </c>
      <c r="V59" s="2478">
        <f>F59/F60-1</f>
        <v>4.4155360055980086E-2</v>
      </c>
      <c r="X59" s="2478"/>
      <c r="Y59" s="2478"/>
      <c r="Z59" s="2478"/>
    </row>
    <row r="60" spans="1:26" ht="13.5" thickBot="1">
      <c r="A60" s="2420" t="s">
        <v>1154</v>
      </c>
      <c r="B60" s="2435">
        <v>188</v>
      </c>
      <c r="C60" s="2435">
        <v>165</v>
      </c>
      <c r="D60" s="2435">
        <f t="shared" si="191"/>
        <v>165</v>
      </c>
      <c r="E60" s="2435">
        <v>254</v>
      </c>
      <c r="F60" s="2436">
        <v>148</v>
      </c>
      <c r="G60" s="3419">
        <v>2007</v>
      </c>
      <c r="H60" s="2480">
        <v>4</v>
      </c>
      <c r="I60" s="2480">
        <v>5.51</v>
      </c>
      <c r="J60" s="2480">
        <v>4.8899999999999997</v>
      </c>
      <c r="K60" s="2480">
        <v>6.43</v>
      </c>
      <c r="L60" s="2481">
        <v>5.36</v>
      </c>
      <c r="N60" s="2482">
        <f t="shared" ref="N60:O63" si="211">B60/B61-1</f>
        <v>4.1339718365245526E-2</v>
      </c>
      <c r="O60" s="2483">
        <f t="shared" si="211"/>
        <v>4.0324492593776018E-2</v>
      </c>
      <c r="P60" s="2483">
        <f t="shared" ref="P60:Q63" si="212">E60/E61-1</f>
        <v>6.1625555347990968E-2</v>
      </c>
      <c r="Q60" s="2483">
        <f t="shared" si="212"/>
        <v>4.6757569250590603E-2</v>
      </c>
      <c r="R60" s="2424"/>
      <c r="S60" s="2437"/>
      <c r="T60" s="2438"/>
      <c r="U60" s="2438"/>
      <c r="V60" s="2438"/>
      <c r="X60" s="2438"/>
      <c r="Y60" s="2438"/>
      <c r="Z60" s="2438"/>
    </row>
    <row r="61" spans="1:26">
      <c r="A61" s="2420" t="s">
        <v>1155</v>
      </c>
      <c r="B61" s="2421">
        <f t="shared" ref="B61:C63" si="213">B62+(B$60-B$64)*I61/SUM(I$60:I$63)</f>
        <v>180.5366651097618</v>
      </c>
      <c r="C61" s="2421">
        <f t="shared" si="213"/>
        <v>158.60435967302453</v>
      </c>
      <c r="D61" s="2421">
        <f t="shared" si="191"/>
        <v>158.60435967302453</v>
      </c>
      <c r="E61" s="2421">
        <f t="shared" ref="E61:F63" si="214">E62+(E$60-E$64)*K61/SUM(K$60:K$63)</f>
        <v>239.25573260785075</v>
      </c>
      <c r="F61" s="2421">
        <f t="shared" si="214"/>
        <v>141.38899430740037</v>
      </c>
      <c r="G61" s="3420">
        <v>2007</v>
      </c>
      <c r="H61" s="2446">
        <v>3</v>
      </c>
      <c r="I61" s="2446">
        <v>8.65</v>
      </c>
      <c r="J61" s="2446">
        <v>8.06</v>
      </c>
      <c r="K61" s="2446">
        <v>9.94</v>
      </c>
      <c r="L61" s="2447">
        <v>5.8</v>
      </c>
      <c r="N61" s="2482">
        <f t="shared" si="211"/>
        <v>6.940217571740015E-2</v>
      </c>
      <c r="O61" s="2483">
        <f t="shared" si="211"/>
        <v>7.1197482471153428E-2</v>
      </c>
      <c r="P61" s="2483">
        <f t="shared" si="212"/>
        <v>0.10529679922579582</v>
      </c>
      <c r="Q61" s="2483">
        <f t="shared" si="212"/>
        <v>5.3292245059512133E-2</v>
      </c>
      <c r="R61" s="2424"/>
      <c r="S61" s="2423"/>
      <c r="T61" s="2408"/>
      <c r="U61" s="2408"/>
      <c r="V61" s="2408"/>
      <c r="X61" s="2484"/>
      <c r="Y61" s="2484"/>
      <c r="Z61" s="2484"/>
    </row>
    <row r="62" spans="1:26">
      <c r="A62" s="2420" t="s">
        <v>1156</v>
      </c>
      <c r="B62" s="2421">
        <f t="shared" si="213"/>
        <v>168.82017748715555</v>
      </c>
      <c r="C62" s="2421">
        <f t="shared" si="213"/>
        <v>148.06267029972753</v>
      </c>
      <c r="D62" s="2421">
        <f t="shared" si="191"/>
        <v>148.06267029972753</v>
      </c>
      <c r="E62" s="2421">
        <f t="shared" si="214"/>
        <v>216.46288379323747</v>
      </c>
      <c r="F62" s="2421">
        <f t="shared" si="214"/>
        <v>134.23529411764704</v>
      </c>
      <c r="G62" s="3420">
        <v>2007</v>
      </c>
      <c r="H62" s="2433">
        <v>2</v>
      </c>
      <c r="I62" s="2433">
        <v>3.67</v>
      </c>
      <c r="J62" s="2433">
        <v>2.3199999999999998</v>
      </c>
      <c r="K62" s="2433">
        <v>5.0199999999999996</v>
      </c>
      <c r="L62" s="2434">
        <v>6.71</v>
      </c>
      <c r="N62" s="2482">
        <f t="shared" si="211"/>
        <v>3.0339138143848032E-2</v>
      </c>
      <c r="O62" s="2483">
        <f t="shared" si="211"/>
        <v>2.0922341588790472E-2</v>
      </c>
      <c r="P62" s="2483">
        <f t="shared" si="212"/>
        <v>5.6164796592717003E-2</v>
      </c>
      <c r="Q62" s="2483">
        <f t="shared" si="212"/>
        <v>6.5704536723887319E-2</v>
      </c>
      <c r="R62" s="2424"/>
      <c r="S62" s="2423"/>
      <c r="T62" s="2408"/>
      <c r="U62" s="2408"/>
      <c r="V62" s="2408"/>
      <c r="X62" s="2484"/>
      <c r="Y62" s="2484"/>
      <c r="Z62" s="2484"/>
    </row>
    <row r="63" spans="1:26">
      <c r="A63" s="2420" t="s">
        <v>1157</v>
      </c>
      <c r="B63" s="2421">
        <f t="shared" si="213"/>
        <v>163.84913591779542</v>
      </c>
      <c r="C63" s="2421">
        <f t="shared" si="213"/>
        <v>145.0283378746594</v>
      </c>
      <c r="D63" s="2421">
        <f t="shared" si="191"/>
        <v>145.0283378746594</v>
      </c>
      <c r="E63" s="2421">
        <f t="shared" si="214"/>
        <v>204.95180722891567</v>
      </c>
      <c r="F63" s="2421">
        <f t="shared" si="214"/>
        <v>125.95920303605313</v>
      </c>
      <c r="G63" s="3421">
        <v>2007</v>
      </c>
      <c r="H63" s="2422">
        <v>1</v>
      </c>
      <c r="I63" s="2422">
        <v>3.58</v>
      </c>
      <c r="J63" s="2422">
        <v>3.08</v>
      </c>
      <c r="K63" s="2422">
        <v>4.34</v>
      </c>
      <c r="L63" s="2428">
        <v>3.21</v>
      </c>
      <c r="N63" s="2485">
        <f t="shared" si="211"/>
        <v>3.0497710174814063E-2</v>
      </c>
      <c r="O63" s="2486">
        <f t="shared" si="211"/>
        <v>2.8569772160704998E-2</v>
      </c>
      <c r="P63" s="2486">
        <f t="shared" si="212"/>
        <v>5.1034908866234296E-2</v>
      </c>
      <c r="Q63" s="2486">
        <f t="shared" si="212"/>
        <v>3.245248390207478E-2</v>
      </c>
      <c r="R63" s="2424"/>
      <c r="S63" s="2439">
        <f>B63/B64-1</f>
        <v>3.0497710174814063E-2</v>
      </c>
      <c r="T63" s="2440">
        <f>C63/C64-1</f>
        <v>2.8569772160704998E-2</v>
      </c>
      <c r="U63" s="2440">
        <f>E63/E64-1</f>
        <v>5.1034908866234296E-2</v>
      </c>
      <c r="V63" s="2440">
        <f>F63/F64-1</f>
        <v>3.245248390207478E-2</v>
      </c>
      <c r="X63" s="2484"/>
      <c r="Y63" s="2484"/>
      <c r="Z63" s="2484"/>
    </row>
    <row r="64" spans="1:26" ht="13.5" thickBot="1">
      <c r="A64" s="2420" t="s">
        <v>1158</v>
      </c>
      <c r="B64" s="2449">
        <v>159</v>
      </c>
      <c r="C64" s="2449">
        <v>141</v>
      </c>
      <c r="D64" s="2449">
        <f t="shared" si="191"/>
        <v>141</v>
      </c>
      <c r="E64" s="2449">
        <v>195</v>
      </c>
      <c r="F64" s="2450">
        <v>122</v>
      </c>
      <c r="G64" s="3419">
        <v>2006</v>
      </c>
      <c r="H64" s="2441">
        <v>4</v>
      </c>
      <c r="I64" s="2441">
        <v>3.79</v>
      </c>
      <c r="J64" s="2441">
        <v>2.21</v>
      </c>
      <c r="K64" s="2441">
        <v>5.65</v>
      </c>
      <c r="L64" s="2442">
        <v>5.41</v>
      </c>
      <c r="N64" s="2482">
        <f t="shared" ref="N64:O67" si="215">I64/SUM(I$64:I$67)*(B$64/B$68-1)</f>
        <v>7.245466462748526E-2</v>
      </c>
      <c r="O64" s="2483">
        <f t="shared" si="215"/>
        <v>2.3237230038062766E-2</v>
      </c>
      <c r="P64" s="2483">
        <f t="shared" ref="P64:Q67" si="216">K64/SUM(K$64:K$67)*(E$64/E$68-1)</f>
        <v>0.16146893866323722</v>
      </c>
      <c r="Q64" s="2483">
        <f t="shared" si="216"/>
        <v>5.0755230321793784E-2</v>
      </c>
      <c r="R64" s="2424"/>
      <c r="S64" s="2437"/>
      <c r="T64" s="2438"/>
      <c r="U64" s="2438"/>
      <c r="V64" s="2438"/>
      <c r="X64" s="2484"/>
      <c r="Y64" s="2484"/>
      <c r="Z64" s="2484"/>
    </row>
    <row r="65" spans="1:26">
      <c r="A65" s="2420" t="s">
        <v>1159</v>
      </c>
      <c r="B65" s="2421">
        <f t="shared" ref="B65:C67" si="217">B66+(B$64-B$68)*I65/SUM(I$64:I$67)</f>
        <v>149.00125628140702</v>
      </c>
      <c r="C65" s="2421">
        <f t="shared" si="217"/>
        <v>137.95592286501378</v>
      </c>
      <c r="D65" s="2421">
        <f t="shared" si="191"/>
        <v>137.95592286501378</v>
      </c>
      <c r="E65" s="2421">
        <f t="shared" ref="E65:F67" si="218">E66+(E$64-E$68)*K65/SUM(K$64:K$67)</f>
        <v>169.97231450719823</v>
      </c>
      <c r="F65" s="2421">
        <f t="shared" si="218"/>
        <v>116.21390374331551</v>
      </c>
      <c r="G65" s="3420">
        <v>2006</v>
      </c>
      <c r="H65" s="2446">
        <v>3</v>
      </c>
      <c r="I65" s="2446">
        <v>0.92</v>
      </c>
      <c r="J65" s="2446">
        <v>1.08</v>
      </c>
      <c r="K65" s="2446">
        <v>0.73</v>
      </c>
      <c r="L65" s="2447">
        <v>1.08</v>
      </c>
      <c r="N65" s="2482">
        <f t="shared" si="215"/>
        <v>1.7587939698492462E-2</v>
      </c>
      <c r="O65" s="2483">
        <f t="shared" si="215"/>
        <v>1.1355750425840628E-2</v>
      </c>
      <c r="P65" s="2483">
        <f t="shared" si="216"/>
        <v>2.0862358446754544E-2</v>
      </c>
      <c r="Q65" s="2483">
        <f t="shared" si="216"/>
        <v>1.0132282578103011E-2</v>
      </c>
      <c r="R65" s="2424"/>
      <c r="S65" s="2423"/>
      <c r="T65" s="2408"/>
      <c r="U65" s="2408"/>
      <c r="V65" s="2408"/>
      <c r="X65" s="2484"/>
      <c r="Y65" s="2484"/>
      <c r="Z65" s="2484"/>
    </row>
    <row r="66" spans="1:26">
      <c r="A66" s="2420" t="s">
        <v>1160</v>
      </c>
      <c r="B66" s="2421">
        <f t="shared" si="217"/>
        <v>146.57412060301507</v>
      </c>
      <c r="C66" s="2421">
        <f t="shared" si="217"/>
        <v>136.46831955922866</v>
      </c>
      <c r="D66" s="2421">
        <f t="shared" si="191"/>
        <v>136.46831955922866</v>
      </c>
      <c r="E66" s="2421">
        <f t="shared" si="218"/>
        <v>166.73864894795128</v>
      </c>
      <c r="F66" s="2421">
        <f t="shared" si="218"/>
        <v>115.05882352941177</v>
      </c>
      <c r="G66" s="3420">
        <v>2006</v>
      </c>
      <c r="H66" s="2433">
        <v>2</v>
      </c>
      <c r="I66" s="2433">
        <v>0.96</v>
      </c>
      <c r="J66" s="2433">
        <v>0.25</v>
      </c>
      <c r="K66" s="2433">
        <v>1.9</v>
      </c>
      <c r="L66" s="2434">
        <v>0.95</v>
      </c>
      <c r="N66" s="2482">
        <f t="shared" si="215"/>
        <v>1.8352632728861701E-2</v>
      </c>
      <c r="O66" s="2483">
        <f t="shared" si="215"/>
        <v>2.6286459319075526E-3</v>
      </c>
      <c r="P66" s="2483">
        <f t="shared" si="216"/>
        <v>5.4299289107991269E-2</v>
      </c>
      <c r="Q66" s="2483">
        <f t="shared" si="216"/>
        <v>8.9126559714794995E-3</v>
      </c>
      <c r="R66" s="2424"/>
      <c r="S66" s="2423"/>
      <c r="T66" s="2408"/>
      <c r="U66" s="2408"/>
      <c r="V66" s="2408"/>
      <c r="X66" s="2484"/>
      <c r="Y66" s="2484"/>
      <c r="Z66" s="2484"/>
    </row>
    <row r="67" spans="1:26">
      <c r="A67" s="2420" t="s">
        <v>1161</v>
      </c>
      <c r="B67" s="2421">
        <f t="shared" si="217"/>
        <v>144.04145728643215</v>
      </c>
      <c r="C67" s="2421">
        <f t="shared" si="217"/>
        <v>136.12396694214877</v>
      </c>
      <c r="D67" s="2421">
        <f t="shared" si="191"/>
        <v>136.12396694214877</v>
      </c>
      <c r="E67" s="2421">
        <f t="shared" si="218"/>
        <v>158.32225913621264</v>
      </c>
      <c r="F67" s="2421">
        <f t="shared" si="218"/>
        <v>114.04278074866311</v>
      </c>
      <c r="G67" s="3421">
        <v>2006</v>
      </c>
      <c r="H67" s="2422">
        <v>1</v>
      </c>
      <c r="I67" s="2422">
        <v>2.29</v>
      </c>
      <c r="J67" s="2422">
        <v>3.72</v>
      </c>
      <c r="K67" s="2422">
        <v>0.75</v>
      </c>
      <c r="L67" s="2428">
        <v>0.04</v>
      </c>
      <c r="N67" s="2485">
        <f t="shared" si="215"/>
        <v>4.3778675988638847E-2</v>
      </c>
      <c r="O67" s="2486">
        <f t="shared" si="215"/>
        <v>3.9114251466784385E-2</v>
      </c>
      <c r="P67" s="2486">
        <f t="shared" si="216"/>
        <v>2.1433929911049188E-2</v>
      </c>
      <c r="Q67" s="2486">
        <f t="shared" si="216"/>
        <v>3.7526972511492629E-4</v>
      </c>
      <c r="R67" s="2424"/>
      <c r="S67" s="2439">
        <f>B67/B68-1</f>
        <v>4.3778675988638716E-2</v>
      </c>
      <c r="T67" s="2440">
        <f>C67/C68-1</f>
        <v>3.91142514667846E-2</v>
      </c>
      <c r="U67" s="2440">
        <f>E67/E68-1</f>
        <v>2.143392991104931E-2</v>
      </c>
      <c r="V67" s="2440">
        <f>F67/F68-1</f>
        <v>3.7526972511492396E-4</v>
      </c>
      <c r="X67" s="2484"/>
      <c r="Y67" s="2484"/>
      <c r="Z67" s="2484"/>
    </row>
    <row r="68" spans="1:26" ht="13.5" thickBot="1">
      <c r="A68" s="2420" t="s">
        <v>1162</v>
      </c>
      <c r="B68" s="2449">
        <v>138</v>
      </c>
      <c r="C68" s="2449">
        <v>131</v>
      </c>
      <c r="D68" s="2449">
        <f t="shared" si="191"/>
        <v>131</v>
      </c>
      <c r="E68" s="2449">
        <v>155</v>
      </c>
      <c r="F68" s="2450">
        <v>114</v>
      </c>
      <c r="G68" s="3419">
        <v>2005</v>
      </c>
      <c r="H68" s="2441">
        <v>4</v>
      </c>
      <c r="I68" s="2441">
        <v>3.29</v>
      </c>
      <c r="J68" s="2441">
        <v>1.44</v>
      </c>
      <c r="K68" s="2441">
        <v>0.66</v>
      </c>
      <c r="L68" s="2442">
        <v>7.78</v>
      </c>
      <c r="N68" s="2482">
        <f t="shared" ref="N68:O71" si="219">I68/SUM(I$68:I$71)*(B$68/B$72-1)</f>
        <v>9.9404603216919935E-2</v>
      </c>
      <c r="O68" s="2483">
        <f t="shared" si="219"/>
        <v>4.7636550760861554E-2</v>
      </c>
      <c r="P68" s="2483">
        <f t="shared" ref="P68:Q71" si="220">K68/SUM(K$68:K$71)*(E$68/E$72-1)</f>
        <v>8.3756345177664976E-2</v>
      </c>
      <c r="Q68" s="2483">
        <f t="shared" si="220"/>
        <v>5.2148766661559584E-2</v>
      </c>
      <c r="R68" s="2424"/>
      <c r="S68" s="2437"/>
      <c r="T68" s="2438"/>
      <c r="U68" s="2438"/>
      <c r="V68" s="2438"/>
      <c r="X68" s="2484"/>
      <c r="Y68" s="2484"/>
      <c r="Z68" s="2484"/>
    </row>
    <row r="69" spans="1:26">
      <c r="A69" s="2420" t="s">
        <v>1163</v>
      </c>
      <c r="B69" s="2421">
        <f t="shared" ref="B69:C71" si="221">B70+(B$68-B$72)*I69/SUM(I$68:I$71)</f>
        <v>125.9720430107527</v>
      </c>
      <c r="C69" s="2421">
        <f t="shared" si="221"/>
        <v>125.1883408071749</v>
      </c>
      <c r="D69" s="2421">
        <f t="shared" si="191"/>
        <v>125.1883408071749</v>
      </c>
      <c r="E69" s="2421">
        <f t="shared" ref="E69:F71" si="222">E70+(E$68-E$72)*K69/SUM(K$68:K$71)</f>
        <v>144.61421319796952</v>
      </c>
      <c r="F69" s="2421">
        <f t="shared" si="222"/>
        <v>108.42008196721311</v>
      </c>
      <c r="G69" s="3420">
        <v>2005</v>
      </c>
      <c r="H69" s="2446">
        <v>3</v>
      </c>
      <c r="I69" s="2446">
        <v>0.46</v>
      </c>
      <c r="J69" s="2446">
        <v>0.32</v>
      </c>
      <c r="K69" s="2446">
        <v>0.42</v>
      </c>
      <c r="L69" s="2447">
        <v>0.64</v>
      </c>
      <c r="N69" s="2482">
        <f t="shared" si="219"/>
        <v>1.3898515951301874E-2</v>
      </c>
      <c r="O69" s="2483">
        <f t="shared" si="219"/>
        <v>1.0585900169080346E-2</v>
      </c>
      <c r="P69" s="2483">
        <f t="shared" si="220"/>
        <v>5.3299492385786795E-2</v>
      </c>
      <c r="Q69" s="2483">
        <f t="shared" si="220"/>
        <v>4.2898728359123568E-3</v>
      </c>
      <c r="R69" s="2424"/>
      <c r="S69" s="2423"/>
      <c r="T69" s="2408"/>
      <c r="U69" s="2408"/>
      <c r="V69" s="2408"/>
      <c r="X69" s="2484"/>
      <c r="Y69" s="2484"/>
      <c r="Z69" s="2484"/>
    </row>
    <row r="70" spans="1:26">
      <c r="A70" s="2420" t="s">
        <v>1164</v>
      </c>
      <c r="B70" s="2421">
        <f t="shared" si="221"/>
        <v>124.29032258064517</v>
      </c>
      <c r="C70" s="2421">
        <f t="shared" si="221"/>
        <v>123.8968609865471</v>
      </c>
      <c r="D70" s="2421">
        <f t="shared" si="191"/>
        <v>123.8968609865471</v>
      </c>
      <c r="E70" s="2421">
        <f t="shared" si="222"/>
        <v>138.00507614213197</v>
      </c>
      <c r="F70" s="2421">
        <f t="shared" si="222"/>
        <v>107.96106557377048</v>
      </c>
      <c r="G70" s="3420">
        <v>2005</v>
      </c>
      <c r="H70" s="2433">
        <v>2</v>
      </c>
      <c r="I70" s="2433">
        <v>0.47</v>
      </c>
      <c r="J70" s="2433">
        <v>0.1</v>
      </c>
      <c r="K70" s="2433">
        <v>0.52</v>
      </c>
      <c r="L70" s="2434">
        <v>0.79</v>
      </c>
      <c r="N70" s="2482">
        <f t="shared" si="219"/>
        <v>1.420065760241713E-2</v>
      </c>
      <c r="O70" s="2483">
        <f t="shared" si="219"/>
        <v>3.3080938028376083E-3</v>
      </c>
      <c r="P70" s="2483">
        <f t="shared" si="220"/>
        <v>6.598984771573603E-2</v>
      </c>
      <c r="Q70" s="2483">
        <f t="shared" si="220"/>
        <v>5.2953117818293153E-3</v>
      </c>
      <c r="R70" s="2424"/>
      <c r="S70" s="2423"/>
      <c r="T70" s="2408"/>
      <c r="U70" s="2408"/>
      <c r="V70" s="2408"/>
      <c r="X70" s="2484"/>
      <c r="Y70" s="2484"/>
      <c r="Z70" s="2484"/>
    </row>
    <row r="71" spans="1:26">
      <c r="A71" s="2420" t="s">
        <v>1165</v>
      </c>
      <c r="B71" s="2421">
        <f t="shared" si="221"/>
        <v>122.57204301075269</v>
      </c>
      <c r="C71" s="2421">
        <f t="shared" si="221"/>
        <v>123.4932735426009</v>
      </c>
      <c r="D71" s="2421">
        <f t="shared" si="191"/>
        <v>123.4932735426009</v>
      </c>
      <c r="E71" s="2421">
        <f t="shared" si="222"/>
        <v>129.82233502538071</v>
      </c>
      <c r="F71" s="2421">
        <f t="shared" si="222"/>
        <v>107.39446721311475</v>
      </c>
      <c r="G71" s="3421">
        <v>2005</v>
      </c>
      <c r="H71" s="2422">
        <v>1</v>
      </c>
      <c r="I71" s="2422">
        <v>0.43</v>
      </c>
      <c r="J71" s="2422">
        <v>0.37</v>
      </c>
      <c r="K71" s="2422">
        <v>0.37</v>
      </c>
      <c r="L71" s="2428">
        <v>0.55000000000000004</v>
      </c>
      <c r="N71" s="2485">
        <f t="shared" si="219"/>
        <v>1.2992090997956099E-2</v>
      </c>
      <c r="O71" s="2486">
        <f t="shared" si="219"/>
        <v>1.2239947070499151E-2</v>
      </c>
      <c r="P71" s="2486">
        <f t="shared" si="220"/>
        <v>4.6954314720812178E-2</v>
      </c>
      <c r="Q71" s="2486">
        <f t="shared" si="220"/>
        <v>3.6866094683621815E-3</v>
      </c>
      <c r="R71" s="2424"/>
      <c r="S71" s="2439">
        <f>B71/B72-1</f>
        <v>1.2992090997956174E-2</v>
      </c>
      <c r="T71" s="2440">
        <f>C71/C72-1</f>
        <v>1.2239947070499246E-2</v>
      </c>
      <c r="U71" s="2440">
        <f>E71/E72-1</f>
        <v>4.695431472081224E-2</v>
      </c>
      <c r="V71" s="2440">
        <f>F71/F72-1</f>
        <v>3.6866094683620787E-3</v>
      </c>
      <c r="X71" s="2484"/>
      <c r="Y71" s="2484"/>
      <c r="Z71" s="2484"/>
    </row>
    <row r="72" spans="1:26" ht="13.5" thickBot="1">
      <c r="A72" s="2420" t="s">
        <v>1166</v>
      </c>
      <c r="B72" s="2470">
        <v>121</v>
      </c>
      <c r="C72" s="2470">
        <v>122</v>
      </c>
      <c r="D72" s="2470">
        <f t="shared" si="191"/>
        <v>122</v>
      </c>
      <c r="E72" s="2470">
        <v>124</v>
      </c>
      <c r="F72" s="2471">
        <v>107</v>
      </c>
      <c r="G72" s="3419">
        <v>2004</v>
      </c>
      <c r="H72" s="2441">
        <v>4</v>
      </c>
      <c r="I72" s="2441">
        <v>0.33</v>
      </c>
      <c r="J72" s="2441">
        <v>0.5</v>
      </c>
      <c r="K72" s="2441">
        <v>0.5</v>
      </c>
      <c r="L72" s="2442">
        <v>0</v>
      </c>
      <c r="N72" s="2482">
        <f t="shared" ref="N72:O75" si="223">I72/SUM(I$72:I$75)*(B$72/B$76-1)</f>
        <v>1.3391770148526898E-2</v>
      </c>
      <c r="O72" s="2483">
        <f t="shared" si="223"/>
        <v>1.063264221158958E-2</v>
      </c>
      <c r="P72" s="2483">
        <f t="shared" ref="P72:Q75" si="224">K72/SUM(K$72:K$75)*(E$72/E$76-1)</f>
        <v>2.2244466688911134E-2</v>
      </c>
      <c r="Q72" s="2483">
        <f t="shared" si="224"/>
        <v>0</v>
      </c>
      <c r="R72" s="2424"/>
      <c r="S72" s="2437"/>
      <c r="T72" s="2438"/>
      <c r="U72" s="2438"/>
      <c r="V72" s="2438"/>
      <c r="X72" s="2484"/>
      <c r="Y72" s="2484"/>
      <c r="Z72" s="2484"/>
    </row>
    <row r="73" spans="1:26">
      <c r="A73" s="2420" t="s">
        <v>1167</v>
      </c>
      <c r="B73" s="2421">
        <f t="shared" ref="B73:C75" si="225">B74+(B$72-B$76)*I73/SUM(I$72:I$75)</f>
        <v>119.51351351351352</v>
      </c>
      <c r="C73" s="2421">
        <f t="shared" si="225"/>
        <v>120.7878787878788</v>
      </c>
      <c r="D73" s="2421">
        <f t="shared" si="191"/>
        <v>120.7878787878788</v>
      </c>
      <c r="E73" s="2421">
        <f t="shared" ref="E73:F75" si="226">E74+(E$72-E$76)*K73/SUM(K$72:K$75)</f>
        <v>121.5975975975976</v>
      </c>
      <c r="F73" s="2421">
        <f t="shared" si="226"/>
        <v>107</v>
      </c>
      <c r="G73" s="3420">
        <v>2004</v>
      </c>
      <c r="H73" s="2446">
        <v>3</v>
      </c>
      <c r="I73" s="2446">
        <v>0.56000000000000005</v>
      </c>
      <c r="J73" s="2446">
        <v>0.8</v>
      </c>
      <c r="K73" s="2446">
        <v>0.83</v>
      </c>
      <c r="L73" s="2447">
        <v>0.06</v>
      </c>
      <c r="N73" s="2482">
        <f t="shared" si="223"/>
        <v>2.2725428130833527E-2</v>
      </c>
      <c r="O73" s="2483">
        <f t="shared" si="223"/>
        <v>1.7012227538543329E-2</v>
      </c>
      <c r="P73" s="2483">
        <f t="shared" si="224"/>
        <v>3.6925814703592477E-2</v>
      </c>
      <c r="Q73" s="2483">
        <f t="shared" si="224"/>
        <v>2.8846153846153744E-2</v>
      </c>
      <c r="R73" s="2424"/>
      <c r="S73" s="2423"/>
      <c r="T73" s="2408"/>
      <c r="U73" s="2408"/>
      <c r="V73" s="2408"/>
      <c r="X73" s="2484"/>
      <c r="Y73" s="2484"/>
      <c r="Z73" s="2484"/>
    </row>
    <row r="74" spans="1:26">
      <c r="A74" s="2420" t="s">
        <v>1168</v>
      </c>
      <c r="B74" s="2421">
        <f t="shared" si="225"/>
        <v>116.99099099099099</v>
      </c>
      <c r="C74" s="2421">
        <f t="shared" si="225"/>
        <v>118.84848484848486</v>
      </c>
      <c r="D74" s="2421">
        <f t="shared" si="191"/>
        <v>118.84848484848486</v>
      </c>
      <c r="E74" s="2421">
        <f t="shared" si="226"/>
        <v>117.60960960960961</v>
      </c>
      <c r="F74" s="2421">
        <f t="shared" si="226"/>
        <v>104</v>
      </c>
      <c r="G74" s="3420">
        <v>2004</v>
      </c>
      <c r="H74" s="2433">
        <v>2</v>
      </c>
      <c r="I74" s="2433">
        <v>1</v>
      </c>
      <c r="J74" s="2433">
        <v>1.5</v>
      </c>
      <c r="K74" s="2433">
        <v>1.5</v>
      </c>
      <c r="L74" s="2434">
        <v>0</v>
      </c>
      <c r="N74" s="2482">
        <f t="shared" si="223"/>
        <v>4.0581121662202721E-2</v>
      </c>
      <c r="O74" s="2483">
        <f t="shared" si="223"/>
        <v>3.1897926634768738E-2</v>
      </c>
      <c r="P74" s="2483">
        <f t="shared" si="224"/>
        <v>6.6733400066733395E-2</v>
      </c>
      <c r="Q74" s="2483">
        <f t="shared" si="224"/>
        <v>0</v>
      </c>
      <c r="R74" s="2424"/>
      <c r="S74" s="2423"/>
      <c r="T74" s="2408"/>
      <c r="U74" s="2408"/>
      <c r="V74" s="2408"/>
      <c r="X74" s="2484"/>
      <c r="Y74" s="2484"/>
      <c r="Z74" s="2484"/>
    </row>
    <row r="75" spans="1:26" s="2476" customFormat="1" ht="13.5" thickBot="1">
      <c r="A75" s="2420" t="s">
        <v>1169</v>
      </c>
      <c r="B75" s="2473">
        <f t="shared" si="225"/>
        <v>112.48648648648648</v>
      </c>
      <c r="C75" s="2473">
        <f t="shared" si="225"/>
        <v>115.21212121212122</v>
      </c>
      <c r="D75" s="2473">
        <f t="shared" si="191"/>
        <v>115.21212121212122</v>
      </c>
      <c r="E75" s="2473">
        <f t="shared" si="226"/>
        <v>110.4024024024024</v>
      </c>
      <c r="F75" s="2473">
        <f t="shared" si="226"/>
        <v>104</v>
      </c>
      <c r="G75" s="3421">
        <v>2004</v>
      </c>
      <c r="H75" s="2474">
        <v>1</v>
      </c>
      <c r="I75" s="2474">
        <v>0.33</v>
      </c>
      <c r="J75" s="2474">
        <v>0.5</v>
      </c>
      <c r="K75" s="2474">
        <v>0.5</v>
      </c>
      <c r="L75" s="2475">
        <v>0</v>
      </c>
      <c r="N75" s="2487">
        <f t="shared" si="223"/>
        <v>1.3391770148526898E-2</v>
      </c>
      <c r="O75" s="2488">
        <f t="shared" si="223"/>
        <v>1.063264221158958E-2</v>
      </c>
      <c r="P75" s="2488">
        <f t="shared" si="224"/>
        <v>2.2244466688911134E-2</v>
      </c>
      <c r="Q75" s="2488">
        <f t="shared" si="224"/>
        <v>0</v>
      </c>
      <c r="R75" s="2479"/>
      <c r="S75" s="2477">
        <f>B75/B76-1</f>
        <v>1.3391770148526883E-2</v>
      </c>
      <c r="T75" s="2478">
        <f>C75/C76-1</f>
        <v>1.063264221158966E-2</v>
      </c>
      <c r="U75" s="2478">
        <f>E75/E76-1</f>
        <v>2.2244466688911224E-2</v>
      </c>
      <c r="V75" s="2478">
        <f>F75/F76-1</f>
        <v>0</v>
      </c>
      <c r="X75" s="2489"/>
      <c r="Y75" s="2489"/>
      <c r="Z75" s="2489"/>
    </row>
    <row r="76" spans="1:26" ht="13.5" thickBot="1">
      <c r="A76" s="2420" t="s">
        <v>1170</v>
      </c>
      <c r="B76" s="2490">
        <v>111</v>
      </c>
      <c r="C76" s="2490">
        <v>114</v>
      </c>
      <c r="D76" s="2490">
        <f t="shared" si="191"/>
        <v>114</v>
      </c>
      <c r="E76" s="2490">
        <v>108</v>
      </c>
      <c r="F76" s="2491">
        <v>104</v>
      </c>
      <c r="G76" s="3419">
        <v>2003</v>
      </c>
      <c r="H76" s="2480">
        <v>4</v>
      </c>
      <c r="I76" s="2492"/>
      <c r="J76" s="2492"/>
      <c r="K76" s="2492"/>
      <c r="L76" s="2492"/>
      <c r="N76" s="2493"/>
      <c r="O76" s="2492"/>
      <c r="P76" s="2492"/>
      <c r="Q76" s="2492"/>
      <c r="S76" s="2493"/>
      <c r="T76" s="2492"/>
      <c r="U76" s="2492"/>
      <c r="V76" s="2492"/>
      <c r="X76" s="2484"/>
      <c r="Y76" s="2484"/>
      <c r="Z76" s="2484"/>
    </row>
    <row r="77" spans="1:26">
      <c r="A77" s="2420" t="s">
        <v>1171</v>
      </c>
      <c r="B77" s="2494">
        <f t="shared" ref="B77:C79" si="227">B78+(B$76-B$80)/4</f>
        <v>109.75</v>
      </c>
      <c r="C77" s="2494">
        <f t="shared" si="227"/>
        <v>112.25</v>
      </c>
      <c r="D77" s="2494">
        <f t="shared" si="191"/>
        <v>112.25</v>
      </c>
      <c r="E77" s="2494">
        <f t="shared" ref="E77:F79" si="228">E78+(E$76-E$80)/4</f>
        <v>107.25</v>
      </c>
      <c r="F77" s="2494">
        <f t="shared" si="228"/>
        <v>103.5</v>
      </c>
      <c r="G77" s="3420">
        <v>2003</v>
      </c>
      <c r="H77" s="2446">
        <v>3</v>
      </c>
      <c r="I77" s="2492"/>
      <c r="J77" s="2492"/>
      <c r="K77" s="2492"/>
      <c r="L77" s="2492"/>
      <c r="X77" s="2484"/>
      <c r="Y77" s="2484"/>
      <c r="Z77" s="2484"/>
    </row>
    <row r="78" spans="1:26">
      <c r="A78" s="2420" t="s">
        <v>1172</v>
      </c>
      <c r="B78" s="2494">
        <f t="shared" si="227"/>
        <v>108.5</v>
      </c>
      <c r="C78" s="2494">
        <f t="shared" si="227"/>
        <v>110.5</v>
      </c>
      <c r="D78" s="2494">
        <f t="shared" si="191"/>
        <v>110.5</v>
      </c>
      <c r="E78" s="2494">
        <f t="shared" si="228"/>
        <v>106.5</v>
      </c>
      <c r="F78" s="2494">
        <f t="shared" si="228"/>
        <v>103</v>
      </c>
      <c r="G78" s="3420">
        <v>2003</v>
      </c>
      <c r="H78" s="2433">
        <v>2</v>
      </c>
      <c r="I78" s="2492"/>
      <c r="J78" s="2492"/>
      <c r="K78" s="2492"/>
      <c r="L78" s="2492"/>
      <c r="X78" s="2484"/>
      <c r="Y78" s="2484"/>
      <c r="Z78" s="2484"/>
    </row>
    <row r="79" spans="1:26" ht="13.5" thickBot="1">
      <c r="A79" s="2420" t="s">
        <v>1173</v>
      </c>
      <c r="B79" s="2494">
        <f t="shared" si="227"/>
        <v>107.25</v>
      </c>
      <c r="C79" s="2494">
        <f t="shared" si="227"/>
        <v>108.75</v>
      </c>
      <c r="D79" s="2494">
        <f t="shared" si="191"/>
        <v>108.75</v>
      </c>
      <c r="E79" s="2494">
        <f t="shared" si="228"/>
        <v>105.75</v>
      </c>
      <c r="F79" s="2494">
        <f t="shared" si="228"/>
        <v>102.5</v>
      </c>
      <c r="G79" s="3421">
        <v>2003</v>
      </c>
      <c r="H79" s="2495">
        <v>1</v>
      </c>
      <c r="I79" s="2492"/>
      <c r="J79" s="2492"/>
      <c r="K79" s="2492"/>
      <c r="L79" s="2492"/>
      <c r="S79" s="2423"/>
      <c r="T79" s="2408"/>
      <c r="U79" s="2408"/>
      <c r="X79" s="2484"/>
      <c r="Y79" s="2484"/>
      <c r="Z79" s="2484"/>
    </row>
    <row r="80" spans="1:26" ht="13.5" thickBot="1">
      <c r="A80" s="2420" t="s">
        <v>1174</v>
      </c>
      <c r="B80" s="2496">
        <v>106</v>
      </c>
      <c r="C80" s="2496">
        <v>107</v>
      </c>
      <c r="D80" s="2496">
        <f t="shared" si="191"/>
        <v>107</v>
      </c>
      <c r="E80" s="2496">
        <v>105</v>
      </c>
      <c r="F80" s="2497">
        <v>102</v>
      </c>
      <c r="G80" s="3419">
        <v>2002</v>
      </c>
      <c r="H80" s="2441">
        <v>4</v>
      </c>
      <c r="I80" s="2492"/>
      <c r="J80" s="2492"/>
      <c r="K80" s="2492"/>
      <c r="L80" s="2492"/>
      <c r="N80" s="2493"/>
      <c r="O80" s="2492"/>
      <c r="P80" s="2492"/>
      <c r="Q80" s="2492"/>
      <c r="S80" s="2493"/>
      <c r="T80" s="2492"/>
      <c r="U80" s="2492"/>
      <c r="V80" s="2492"/>
      <c r="X80" s="2484"/>
      <c r="Y80" s="2484"/>
      <c r="Z80" s="2484"/>
    </row>
    <row r="81" spans="1:26">
      <c r="A81" s="2420" t="s">
        <v>1175</v>
      </c>
      <c r="B81" s="2494">
        <f t="shared" ref="B81:C83" si="229">B82+(B$80-B$84)/4</f>
        <v>105</v>
      </c>
      <c r="C81" s="2494">
        <f t="shared" si="229"/>
        <v>106</v>
      </c>
      <c r="D81" s="2494">
        <f t="shared" si="191"/>
        <v>106</v>
      </c>
      <c r="E81" s="2494">
        <f t="shared" ref="E81:F83" si="230">E82+(E$80-E$84)/4</f>
        <v>104.5</v>
      </c>
      <c r="F81" s="2494">
        <f t="shared" si="230"/>
        <v>101.5</v>
      </c>
      <c r="G81" s="3420">
        <v>2002</v>
      </c>
      <c r="H81" s="2446">
        <v>3</v>
      </c>
      <c r="I81" s="2492"/>
      <c r="J81" s="2492"/>
      <c r="K81" s="2492"/>
      <c r="L81" s="2492"/>
      <c r="X81" s="2484"/>
      <c r="Y81" s="2484"/>
      <c r="Z81" s="2484"/>
    </row>
    <row r="82" spans="1:26">
      <c r="A82" s="2420" t="s">
        <v>1176</v>
      </c>
      <c r="B82" s="2494">
        <f t="shared" si="229"/>
        <v>104</v>
      </c>
      <c r="C82" s="2494">
        <f t="shared" si="229"/>
        <v>105</v>
      </c>
      <c r="D82" s="2494">
        <f t="shared" si="191"/>
        <v>105</v>
      </c>
      <c r="E82" s="2494">
        <f t="shared" si="230"/>
        <v>104</v>
      </c>
      <c r="F82" s="2494">
        <f t="shared" si="230"/>
        <v>101</v>
      </c>
      <c r="G82" s="3420">
        <v>2002</v>
      </c>
      <c r="H82" s="2433">
        <v>2</v>
      </c>
      <c r="I82" s="2492"/>
      <c r="J82" s="2492"/>
      <c r="K82" s="2492"/>
      <c r="L82" s="2492"/>
      <c r="X82" s="2484"/>
      <c r="Y82" s="2484"/>
      <c r="Z82" s="2484"/>
    </row>
    <row r="83" spans="1:26" s="2457" customFormat="1" ht="13.5" thickBot="1">
      <c r="A83" s="2453" t="s">
        <v>1177</v>
      </c>
      <c r="B83" s="2460">
        <f t="shared" si="229"/>
        <v>103</v>
      </c>
      <c r="C83" s="2460">
        <f t="shared" si="229"/>
        <v>104</v>
      </c>
      <c r="D83" s="2460">
        <f t="shared" si="191"/>
        <v>104</v>
      </c>
      <c r="E83" s="2460">
        <f t="shared" si="230"/>
        <v>103.5</v>
      </c>
      <c r="F83" s="2460">
        <f t="shared" si="230"/>
        <v>100.5</v>
      </c>
      <c r="G83" s="3421">
        <v>2002</v>
      </c>
      <c r="H83" s="2498">
        <v>1</v>
      </c>
      <c r="I83" s="2499"/>
      <c r="J83" s="2499"/>
      <c r="K83" s="2499"/>
      <c r="L83" s="2499"/>
      <c r="N83" s="2500"/>
      <c r="S83" s="2500"/>
      <c r="X83" s="2501"/>
      <c r="Y83" s="2501"/>
      <c r="Z83" s="2501"/>
    </row>
    <row r="84" spans="1:26" ht="13.5" thickBot="1">
      <c r="B84" s="2502">
        <v>102</v>
      </c>
      <c r="C84" s="2503">
        <v>103</v>
      </c>
      <c r="D84" s="2503">
        <f t="shared" si="191"/>
        <v>103</v>
      </c>
      <c r="E84" s="2503">
        <v>103</v>
      </c>
      <c r="F84" s="2504">
        <v>100</v>
      </c>
      <c r="I84" s="2492"/>
      <c r="J84" s="2492"/>
      <c r="K84" s="2492"/>
      <c r="L84" s="2492"/>
      <c r="N84" s="2493"/>
      <c r="O84" s="2492"/>
      <c r="P84" s="2492"/>
      <c r="Q84" s="2492"/>
      <c r="S84" s="2493"/>
      <c r="T84" s="2492"/>
      <c r="U84" s="2492"/>
      <c r="V84" s="2492"/>
      <c r="X84" s="2438"/>
      <c r="Y84" s="2438"/>
      <c r="Z84" s="2438"/>
    </row>
    <row r="86" spans="1:26" s="2506" customFormat="1">
      <c r="A86" s="2505" t="s">
        <v>1178</v>
      </c>
      <c r="G86" s="2507"/>
      <c r="N86" s="2507"/>
      <c r="S86" s="2507"/>
    </row>
    <row r="87" spans="1:26" s="2506" customFormat="1">
      <c r="A87" s="2506" t="s">
        <v>1179</v>
      </c>
      <c r="G87" s="2507"/>
      <c r="N87" s="2507"/>
      <c r="S87" s="2507"/>
    </row>
    <row r="88" spans="1:26" s="2506" customFormat="1">
      <c r="A88" s="2506" t="s">
        <v>1180</v>
      </c>
      <c r="G88" s="2507"/>
      <c r="I88" s="2508"/>
      <c r="J88" s="2508"/>
      <c r="K88" s="2508"/>
      <c r="L88" s="2508"/>
      <c r="N88" s="2509"/>
      <c r="O88" s="2508"/>
      <c r="P88" s="2508"/>
      <c r="Q88" s="2508"/>
      <c r="S88" s="2509"/>
      <c r="T88" s="2508"/>
      <c r="U88" s="2508"/>
      <c r="V88" s="2508"/>
    </row>
    <row r="89" spans="1:26" s="2506" customFormat="1">
      <c r="A89" s="2506" t="s">
        <v>1181</v>
      </c>
      <c r="G89" s="2507"/>
      <c r="N89" s="2507"/>
      <c r="S89" s="2507"/>
    </row>
    <row r="96" spans="1:26" ht="13.5" thickBot="1"/>
    <row r="97" spans="7:22">
      <c r="G97" s="2407"/>
      <c r="S97" s="2510" t="s">
        <v>1182</v>
      </c>
      <c r="T97" s="2511" t="s">
        <v>1183</v>
      </c>
      <c r="U97" s="2511" t="s">
        <v>1184</v>
      </c>
      <c r="V97" s="2511" t="s">
        <v>1185</v>
      </c>
    </row>
    <row r="98" spans="7:22">
      <c r="G98" s="2407"/>
      <c r="N98" s="2437"/>
      <c r="O98" s="2438"/>
      <c r="P98" s="2438"/>
      <c r="Q98" s="2438"/>
      <c r="S98" s="2512">
        <v>2006</v>
      </c>
      <c r="T98" s="2513">
        <v>15.1</v>
      </c>
      <c r="U98" s="2513">
        <v>7.43</v>
      </c>
      <c r="V98" s="2513">
        <v>26.26</v>
      </c>
    </row>
    <row r="99" spans="7:22">
      <c r="G99" s="2407"/>
      <c r="N99" s="2437"/>
      <c r="O99" s="2438"/>
      <c r="P99" s="2438"/>
      <c r="Q99" s="2438"/>
      <c r="S99" s="2514">
        <v>2005</v>
      </c>
      <c r="T99" s="2515">
        <v>13.9</v>
      </c>
      <c r="U99" s="2515">
        <v>7.49</v>
      </c>
      <c r="V99" s="2515">
        <v>24.92</v>
      </c>
    </row>
    <row r="100" spans="7:22">
      <c r="G100" s="2407"/>
      <c r="N100" s="2437"/>
      <c r="O100" s="2438"/>
      <c r="P100" s="2438"/>
      <c r="Q100" s="2438"/>
      <c r="S100" s="2512">
        <v>2004</v>
      </c>
      <c r="T100" s="2513">
        <v>9.48</v>
      </c>
      <c r="U100" s="2513">
        <v>7.2</v>
      </c>
      <c r="V100" s="2513">
        <v>14.68</v>
      </c>
    </row>
    <row r="101" spans="7:22">
      <c r="G101" s="2407"/>
      <c r="N101" s="2437"/>
      <c r="O101" s="2438"/>
      <c r="P101" s="2438"/>
      <c r="Q101" s="2438"/>
      <c r="S101" s="2514">
        <v>2003</v>
      </c>
      <c r="T101" s="2515">
        <v>4.5</v>
      </c>
      <c r="U101" s="2515">
        <v>6.12</v>
      </c>
      <c r="V101" s="2515">
        <v>2.34</v>
      </c>
    </row>
    <row r="102" spans="7:22" ht="13.5" thickBot="1">
      <c r="G102" s="2407"/>
      <c r="N102" s="2437"/>
      <c r="O102" s="2438"/>
      <c r="P102" s="2438"/>
      <c r="Q102" s="2438"/>
      <c r="S102" s="2516">
        <v>2002</v>
      </c>
      <c r="T102" s="2517">
        <v>3.59</v>
      </c>
      <c r="U102" s="2517">
        <v>4.54</v>
      </c>
      <c r="V102" s="2517">
        <v>2.5499999999999998</v>
      </c>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row>
    <row r="112" spans="7:22">
      <c r="G112" s="2407"/>
      <c r="N112" s="2437"/>
      <c r="O112" s="2438"/>
      <c r="P112" s="2438"/>
      <c r="Q112" s="2438"/>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row r="117" spans="7:19">
      <c r="G117" s="2407"/>
      <c r="N117" s="2437"/>
      <c r="O117" s="2438"/>
      <c r="P117" s="2438"/>
      <c r="Q117" s="2438"/>
      <c r="S117" s="2407"/>
    </row>
    <row r="118" spans="7:19">
      <c r="G118" s="2407"/>
      <c r="N118" s="2437"/>
      <c r="O118" s="2438"/>
      <c r="P118" s="2438"/>
      <c r="Q118" s="2438"/>
      <c r="S118" s="2407"/>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2823</v>
      </c>
      <c r="C1" s="3433" t="s">
        <v>2824</v>
      </c>
      <c r="D1" s="3434"/>
      <c r="E1" s="3434"/>
      <c r="F1" s="3434"/>
      <c r="G1" s="3434"/>
      <c r="H1" s="3434"/>
      <c r="I1" s="3434"/>
      <c r="J1" s="3434"/>
      <c r="K1" s="3434"/>
      <c r="L1" s="3434"/>
      <c r="M1" s="3434"/>
      <c r="N1" s="3434"/>
      <c r="O1" s="3434"/>
      <c r="P1" s="3434"/>
      <c r="Q1" s="3434"/>
      <c r="R1" s="3434"/>
      <c r="S1" s="3435"/>
      <c r="T1" s="1113" t="s">
        <v>2825</v>
      </c>
    </row>
    <row r="2" spans="1:45" s="662" customFormat="1">
      <c r="A2" s="1114"/>
      <c r="B2" s="658" t="s">
        <v>2826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6"/>
      <c r="G4" s="1476"/>
      <c r="H4" s="1476"/>
      <c r="I4" s="1476"/>
      <c r="J4" s="1476"/>
      <c r="K4" s="1476"/>
      <c r="L4" s="1476"/>
      <c r="M4" s="1477"/>
      <c r="N4" s="1477"/>
      <c r="O4" s="1476"/>
      <c r="P4" s="1476"/>
      <c r="Q4" s="1476"/>
      <c r="R4" s="1476"/>
      <c r="S4" s="1478"/>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505" t="s">
        <v>2827</v>
      </c>
      <c r="C5" s="1125"/>
      <c r="D5" s="1126"/>
      <c r="E5" s="1126"/>
      <c r="F5" s="1479"/>
      <c r="G5" s="1479"/>
      <c r="H5" s="1479"/>
      <c r="I5" s="1479"/>
      <c r="J5" s="1479"/>
      <c r="K5" s="1479"/>
      <c r="L5" s="1480"/>
      <c r="M5" s="1481"/>
      <c r="N5" s="1481"/>
      <c r="O5" s="1479"/>
      <c r="P5" s="1479"/>
      <c r="Q5" s="1479"/>
      <c r="R5" s="1479"/>
      <c r="S5" s="1482"/>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506" t="s">
        <v>2828</v>
      </c>
      <c r="C7" s="1034"/>
      <c r="D7" s="1028"/>
      <c r="E7" s="1028"/>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506" t="s">
        <v>2829</v>
      </c>
      <c r="C9" s="1034"/>
      <c r="D9" s="1028"/>
      <c r="E9" s="1028"/>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505" t="s">
        <v>2830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505" t="s">
        <v>2831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505" t="s">
        <v>2832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1" t="s">
        <v>2833</v>
      </c>
      <c r="B17" s="2362" t="s">
        <v>2834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3" t="s">
        <v>2835</v>
      </c>
      <c r="E19" s="1523"/>
      <c r="F19" s="1523"/>
      <c r="G19" s="1523"/>
      <c r="H19" s="1189"/>
      <c r="I19" s="163"/>
      <c r="J19" s="163"/>
      <c r="K19" s="163"/>
      <c r="L19" s="163"/>
      <c r="M19" s="163"/>
      <c r="N19" s="163"/>
      <c r="O19" s="163"/>
      <c r="P19" s="163"/>
      <c r="Q19" s="163"/>
      <c r="R19" s="726"/>
      <c r="S19" s="133"/>
    </row>
    <row r="20" spans="1:45" ht="16.5" thickBot="1">
      <c r="A20" s="670" t="s">
        <v>2836</v>
      </c>
      <c r="B20" s="299" t="e">
        <f ca="1">IF(D20="——",S22,S22-F20)</f>
        <v>#REF!</v>
      </c>
      <c r="C20" s="163"/>
      <c r="D20" s="2364"/>
      <c r="E20" s="1524"/>
      <c r="F20" s="1113" t="e">
        <f ca="1">SUMIF(INDIRECT("'"&amp;H20&amp;"'"&amp;"!A:A"),"承租人权益价值",INDIRECT("'"&amp;H20&amp;"'"&amp;"!c:c"))</f>
        <v>#REF!</v>
      </c>
      <c r="G20" s="1113" t="s">
        <v>2837</v>
      </c>
      <c r="H20" s="2365"/>
      <c r="I20" s="163"/>
      <c r="J20" s="163"/>
      <c r="K20" s="163"/>
      <c r="L20" s="163"/>
      <c r="M20" s="163"/>
      <c r="N20" s="163"/>
      <c r="O20" s="163"/>
      <c r="P20" s="163"/>
      <c r="Q20" s="163"/>
      <c r="R20" s="726"/>
      <c r="S20" s="133"/>
    </row>
    <row r="21" spans="1:45" ht="15.75">
      <c r="A21" s="670" t="s">
        <v>2838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2839</v>
      </c>
      <c r="B22" s="24">
        <f>SUM(B24:B10000)</f>
        <v>100</v>
      </c>
      <c r="C22" s="3430" t="s">
        <v>33</v>
      </c>
      <c r="D22" s="3431"/>
      <c r="E22" s="3431"/>
      <c r="F22" s="3431"/>
      <c r="G22" s="3431"/>
      <c r="H22" s="3431"/>
      <c r="I22" s="3431"/>
      <c r="J22" s="3431"/>
      <c r="K22" s="3431"/>
      <c r="L22" s="3431"/>
      <c r="M22" s="3431"/>
      <c r="N22" s="3431"/>
      <c r="O22" s="3431"/>
      <c r="P22" s="3431"/>
      <c r="Q22" s="3432"/>
      <c r="R22" s="671">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v>100</v>
      </c>
      <c r="C24" s="3038">
        <v>1</v>
      </c>
      <c r="D24" s="3039"/>
      <c r="E24" s="3038">
        <v>1</v>
      </c>
      <c r="F24" s="3039"/>
      <c r="G24" s="3038">
        <v>1</v>
      </c>
      <c r="H24" s="3039"/>
      <c r="I24" s="3038">
        <v>1</v>
      </c>
      <c r="J24" s="3039"/>
      <c r="K24" s="3038">
        <v>1</v>
      </c>
      <c r="L24" s="3039"/>
      <c r="M24" s="3038">
        <v>1</v>
      </c>
      <c r="N24" s="3039"/>
      <c r="O24" s="3038">
        <v>1</v>
      </c>
      <c r="P24" s="3039"/>
      <c r="Q24" s="3038">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39151</v>
      </c>
      <c r="C2" s="2" t="s">
        <v>133</v>
      </c>
      <c r="D2" s="204"/>
      <c r="E2" s="204"/>
      <c r="F2" s="204"/>
      <c r="G2" s="204"/>
    </row>
    <row r="3" spans="1:7" s="205" customFormat="1" ht="18" customHeight="1" thickBot="1">
      <c r="A3" s="208" t="s">
        <v>85</v>
      </c>
      <c r="B3" s="209">
        <f ca="1">ROUND(B2*10000/'数据-汇总表'!E3,0)</f>
        <v>3319</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75</v>
      </c>
      <c r="F9" s="226"/>
      <c r="G9" s="231"/>
    </row>
    <row r="10" spans="1:7" s="219" customFormat="1" ht="13.5" customHeight="1">
      <c r="A10" s="886" t="s">
        <v>801</v>
      </c>
      <c r="B10" s="229" t="s">
        <v>94</v>
      </c>
      <c r="C10" s="230">
        <f>ROUND(D10*E10/10000,0)</f>
        <v>885</v>
      </c>
      <c r="D10" s="953">
        <f>'数据-汇总表'!E6</f>
        <v>117964.09999999983</v>
      </c>
      <c r="E10" s="230">
        <f>'数据-取费表'!B28</f>
        <v>75</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2359</v>
      </c>
      <c r="D19" s="957">
        <f>'数据-汇总表'!E3</f>
        <v>117964.09999999983</v>
      </c>
      <c r="E19" s="216">
        <f>'数据-取费表'!B31</f>
        <v>200</v>
      </c>
      <c r="F19" s="236"/>
      <c r="G19" s="1" t="s">
        <v>1042</v>
      </c>
    </row>
    <row r="20" spans="1:7" s="219" customFormat="1" ht="13.5" customHeight="1">
      <c r="A20" s="884" t="s">
        <v>1025</v>
      </c>
      <c r="B20" s="215" t="s">
        <v>104</v>
      </c>
      <c r="C20" s="237">
        <f>ROUND((C5+C19)*F20,0)</f>
        <v>459</v>
      </c>
      <c r="D20" s="237"/>
      <c r="E20" s="237"/>
      <c r="F20" s="238">
        <f>'数据-取费表'!B37</f>
        <v>0.02</v>
      </c>
      <c r="G20" s="1198" t="s">
        <v>1036</v>
      </c>
    </row>
    <row r="21" spans="1:7" s="219" customFormat="1" ht="13.5" customHeight="1">
      <c r="A21" s="884" t="s">
        <v>1027</v>
      </c>
      <c r="B21" s="215" t="s">
        <v>105</v>
      </c>
      <c r="C21" s="240">
        <f>F21</f>
        <v>0.03</v>
      </c>
      <c r="D21" s="241" t="s">
        <v>126</v>
      </c>
      <c r="E21" s="237"/>
      <c r="F21" s="238">
        <f>'数据-取费表'!B38</f>
        <v>0.03</v>
      </c>
      <c r="G21" s="239" t="s">
        <v>106</v>
      </c>
    </row>
    <row r="22" spans="1:7" s="219" customFormat="1" ht="13.5" customHeight="1">
      <c r="A22" s="884" t="s">
        <v>786</v>
      </c>
      <c r="B22" s="215" t="s">
        <v>107</v>
      </c>
      <c r="C22" s="1263">
        <f ca="1">ROUND(SUM(C23:C25),0)</f>
        <v>906</v>
      </c>
      <c r="D22" s="240">
        <f ca="1">C26</f>
        <v>5.9999999999999995E-4</v>
      </c>
      <c r="E22" s="241" t="s">
        <v>126</v>
      </c>
      <c r="F22" s="242">
        <f ca="1">'数据-取费表'!B40</f>
        <v>4.3499999999999997E-2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805</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92</v>
      </c>
      <c r="D24" s="243"/>
      <c r="E24" s="243"/>
      <c r="F24" s="244"/>
      <c r="G24" s="245" t="s">
        <v>109</v>
      </c>
    </row>
    <row r="25" spans="1:7" s="219" customFormat="1" ht="24">
      <c r="A25" s="887" t="s">
        <v>793</v>
      </c>
      <c r="B25" s="220" t="s">
        <v>1026</v>
      </c>
      <c r="C25" s="1264">
        <f ca="1">ROUND(IF('数据-取费表'!B22&lt;=1,C20*F22*'数据-取费表'!B23/2,C20*(POWER((1+F22),'数据-取费表'!B23/2)-1)),0)</f>
        <v>9</v>
      </c>
      <c r="D25" s="243"/>
      <c r="E25" s="246"/>
      <c r="F25" s="244"/>
      <c r="G25" s="247" t="s">
        <v>110</v>
      </c>
    </row>
    <row r="26" spans="1:7" s="219" customFormat="1">
      <c r="A26" s="887" t="s">
        <v>795</v>
      </c>
      <c r="B26" s="220" t="s">
        <v>1028</v>
      </c>
      <c r="C26" s="243">
        <f ca="1">ROUND(IF('数据-取费表'!B22&lt;=1,F21*F22*'数据-取费表'!B23/2,F21*(POWER((1+F22),'数据-取费表'!B23/2)-1)),4)</f>
        <v>5.9999999999999995E-4</v>
      </c>
      <c r="D26" s="243"/>
      <c r="E26" s="246"/>
      <c r="F26" s="244"/>
      <c r="G26" s="248"/>
    </row>
    <row r="27" spans="1:7" s="219" customFormat="1" ht="24.75">
      <c r="A27" s="884" t="s">
        <v>787</v>
      </c>
      <c r="B27" s="249" t="s">
        <v>112</v>
      </c>
      <c r="C27" s="250">
        <f>C28</f>
        <v>949</v>
      </c>
      <c r="D27" s="240">
        <f>C29</f>
        <v>1.1999999999999999E-3</v>
      </c>
      <c r="E27" s="241" t="s">
        <v>126</v>
      </c>
      <c r="F27" s="251">
        <f>'数据-取费表'!Q16</f>
        <v>0.09</v>
      </c>
      <c r="G27" s="252" t="s">
        <v>1037</v>
      </c>
    </row>
    <row r="28" spans="1:7" s="219" customFormat="1" ht="13.5" customHeight="1">
      <c r="A28" s="887" t="s">
        <v>794</v>
      </c>
      <c r="B28" s="253" t="s">
        <v>1030</v>
      </c>
      <c r="C28" s="254">
        <f>ROUND((C5+C19+C20)*F27*'数据-取费表'!B21/'数据-取费表'!B20,0)</f>
        <v>949</v>
      </c>
      <c r="D28" s="240"/>
      <c r="E28" s="241"/>
      <c r="F28" s="251"/>
      <c r="G28" s="252"/>
    </row>
    <row r="29" spans="1:7" s="219" customFormat="1" ht="13.5" customHeight="1">
      <c r="A29" s="887" t="s">
        <v>792</v>
      </c>
      <c r="B29" s="253" t="s">
        <v>1031</v>
      </c>
      <c r="C29" s="243">
        <f>ROUND(C21*F27*'数据-取费表'!B21/'数据-取费表'!B20,4)</f>
        <v>1.1999999999999999E-3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27636</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9294</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8239</v>
      </c>
      <c r="D34" s="222"/>
      <c r="E34" s="225"/>
      <c r="F34" s="262">
        <f>IF('数据-取费表'!B24=0,1,'数据-取费表'!N16)</f>
        <v>0.20300000000000001</v>
      </c>
      <c r="G34" s="224" t="s">
        <v>116</v>
      </c>
    </row>
    <row r="35" spans="1:7" ht="13.5" customHeight="1">
      <c r="A35" s="887" t="s">
        <v>796</v>
      </c>
      <c r="B35" s="220" t="s">
        <v>60</v>
      </c>
      <c r="C35" s="225">
        <f>ROUND(C34*F35,0)</f>
        <v>247</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205</v>
      </c>
      <c r="D36" s="225"/>
      <c r="E36" s="225"/>
      <c r="F36" s="264">
        <f>'数据-取费表'!B34</f>
        <v>0.05</v>
      </c>
      <c r="G36" s="265" t="s">
        <v>62</v>
      </c>
    </row>
    <row r="37" spans="1:7" s="263" customFormat="1" ht="13.5" customHeight="1">
      <c r="A37" s="887" t="s">
        <v>798</v>
      </c>
      <c r="B37" s="220" t="s">
        <v>118</v>
      </c>
      <c r="C37" s="254">
        <f>ROUND(E37*D37*F34/10000,0)</f>
        <v>479</v>
      </c>
      <c r="D37" s="222">
        <f>'数据-汇总表'!E3</f>
        <v>117964.09999999983</v>
      </c>
      <c r="E37" s="254">
        <f>'数据-取费表'!B35</f>
        <v>200</v>
      </c>
      <c r="F37" s="264"/>
      <c r="G37" s="266" t="s">
        <v>119</v>
      </c>
    </row>
    <row r="38" spans="1:7" ht="13.5" customHeight="1">
      <c r="A38" s="887" t="s">
        <v>799</v>
      </c>
      <c r="B38" s="220" t="s">
        <v>63</v>
      </c>
      <c r="C38" s="225">
        <f>ROUND(C34*F38,0)</f>
        <v>124</v>
      </c>
      <c r="D38" s="225"/>
      <c r="E38" s="225"/>
      <c r="F38" s="264">
        <f>'数据-取费表'!B36</f>
        <v>1.4999999999999999E-2</v>
      </c>
      <c r="G38" s="224" t="s">
        <v>117</v>
      </c>
    </row>
    <row r="39" spans="1:7" s="219" customFormat="1" ht="13.5" customHeight="1">
      <c r="A39" s="884" t="s">
        <v>783</v>
      </c>
      <c r="B39" s="215" t="s">
        <v>104</v>
      </c>
      <c r="C39" s="237">
        <f>ROUND(C33*F20,0)</f>
        <v>186</v>
      </c>
      <c r="D39" s="237"/>
      <c r="E39" s="237"/>
      <c r="F39" s="238"/>
      <c r="G39" s="1198" t="s">
        <v>1039</v>
      </c>
    </row>
    <row r="40" spans="1:7" s="219" customFormat="1" ht="13.5" customHeight="1">
      <c r="A40" s="884" t="s">
        <v>784</v>
      </c>
      <c r="B40" s="215" t="s">
        <v>105</v>
      </c>
      <c r="C40" s="267">
        <f>F21</f>
        <v>0.03</v>
      </c>
      <c r="D40" s="241" t="s">
        <v>129</v>
      </c>
      <c r="E40" s="237"/>
      <c r="F40" s="238"/>
      <c r="G40" s="239" t="s">
        <v>120</v>
      </c>
    </row>
    <row r="41" spans="1:7" s="219" customFormat="1" ht="13.5" customHeight="1">
      <c r="A41" s="884" t="s">
        <v>785</v>
      </c>
      <c r="B41" s="215" t="s">
        <v>107</v>
      </c>
      <c r="C41" s="237">
        <f ca="1">ROUND(SUM(C42:C43),0)</f>
        <v>184</v>
      </c>
      <c r="D41" s="240">
        <f ca="1">C44</f>
        <v>5.9999999999999995E-4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180</v>
      </c>
      <c r="D42" s="243"/>
      <c r="E42" s="243"/>
      <c r="F42" s="244"/>
      <c r="G42" s="3288" t="s">
        <v>121</v>
      </c>
    </row>
    <row r="43" spans="1:7" ht="13.5" customHeight="1">
      <c r="A43" s="887" t="s">
        <v>792</v>
      </c>
      <c r="B43" s="220" t="s">
        <v>1032</v>
      </c>
      <c r="C43" s="243">
        <f ca="1">ROUND(IF('数据-取费表'!B22&lt;=1,C39*F22*'数据-取费表'!B21/2,C39*(POWER((1+F22),'数据-取费表'!B21/2)-1)),0)</f>
        <v>4</v>
      </c>
      <c r="D43" s="243"/>
      <c r="E43" s="243"/>
      <c r="F43" s="244"/>
      <c r="G43" s="3289"/>
    </row>
    <row r="44" spans="1:7" ht="13.5" customHeight="1">
      <c r="A44" s="887" t="s">
        <v>793</v>
      </c>
      <c r="B44" s="220" t="s">
        <v>1034</v>
      </c>
      <c r="C44" s="243">
        <f ca="1">ROUND(IF('数据-取费表'!B22&lt;=1,C40*F22*'数据-取费表'!B21/2,C40*(POWER((1+F22),'数据-取费表'!B21/2)-1)),4)</f>
        <v>5.9999999999999995E-4</v>
      </c>
      <c r="D44" s="243"/>
      <c r="E44" s="243"/>
      <c r="F44" s="244"/>
      <c r="G44" s="3290"/>
    </row>
    <row r="45" spans="1:7" s="219" customFormat="1" ht="13.5" customHeight="1">
      <c r="A45" s="884" t="s">
        <v>786</v>
      </c>
      <c r="B45" s="249" t="s">
        <v>112</v>
      </c>
      <c r="C45" s="250">
        <f>C46</f>
        <v>853</v>
      </c>
      <c r="D45" s="240">
        <f>C47</f>
        <v>2.7000000000000001E-3</v>
      </c>
      <c r="E45" s="241" t="s">
        <v>129</v>
      </c>
      <c r="F45" s="251"/>
      <c r="G45" s="252" t="s">
        <v>1040</v>
      </c>
    </row>
    <row r="46" spans="1:7" s="219" customFormat="1" ht="13.5" customHeight="1">
      <c r="A46" s="887" t="s">
        <v>794</v>
      </c>
      <c r="B46" s="253" t="s">
        <v>1033</v>
      </c>
      <c r="C46" s="254">
        <f>ROUND((C33+C39)*F27,0)</f>
        <v>853</v>
      </c>
      <c r="D46" s="268"/>
      <c r="E46" s="241"/>
      <c r="F46" s="251"/>
      <c r="G46" s="252"/>
    </row>
    <row r="47" spans="1:7" s="219" customFormat="1" ht="13.5" customHeight="1">
      <c r="A47" s="887" t="s">
        <v>792</v>
      </c>
      <c r="B47" s="253" t="s">
        <v>1035</v>
      </c>
      <c r="C47" s="243">
        <f>ROUND(C40*F27,4)</f>
        <v>2.7000000000000001E-3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11515</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 ca="1">ROUND(C49*F50,0)</f>
        <v>11515</v>
      </c>
      <c r="D51" s="237"/>
      <c r="E51" s="237"/>
      <c r="F51" s="269"/>
      <c r="G51" s="239" t="s">
        <v>64</v>
      </c>
    </row>
    <row r="52" spans="1:7" s="213" customFormat="1" ht="16.5" thickBot="1">
      <c r="A52" s="270" t="s">
        <v>65</v>
      </c>
      <c r="B52" s="271"/>
      <c r="C52" s="272">
        <f ca="1">C31+C51</f>
        <v>39151</v>
      </c>
      <c r="D52" s="271"/>
      <c r="E52" s="271"/>
      <c r="F52" s="271"/>
      <c r="G52" s="273"/>
    </row>
    <row r="55" spans="1:7" ht="15">
      <c r="B55" s="275" t="s">
        <v>66</v>
      </c>
      <c r="C55" s="276"/>
    </row>
    <row r="56" spans="1:7">
      <c r="B56" s="278" t="s">
        <v>67</v>
      </c>
      <c r="C56" s="279">
        <f ca="1">ROUND(C51/C52,3)</f>
        <v>0.29399999999999998</v>
      </c>
    </row>
    <row r="57" spans="1:7">
      <c r="B57" s="278" t="s">
        <v>68</v>
      </c>
      <c r="C57" s="280">
        <f ca="1">1-C56</f>
        <v>0.70599999999999996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36" t="s">
        <v>156</v>
      </c>
      <c r="B1" s="3436"/>
      <c r="C1" s="3436"/>
      <c r="D1" s="3436"/>
      <c r="E1" s="3436"/>
      <c r="F1" s="3436"/>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37" t="s">
        <v>169</v>
      </c>
      <c r="B2" s="3437"/>
      <c r="C2" s="3437"/>
      <c r="D2" s="3437"/>
      <c r="E2" s="3437"/>
      <c r="F2" s="3437"/>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38"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39"/>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36" t="s">
        <v>839</v>
      </c>
      <c r="B1" s="3436"/>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44478</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9">
        <v>43941</v>
      </c>
      <c r="D13" s="3050">
        <v>3.85</v>
      </c>
      <c r="E13" s="3050">
        <v>3.85</v>
      </c>
      <c r="F13" s="3050">
        <v>3.85</v>
      </c>
      <c r="G13" s="3050">
        <v>3.85</v>
      </c>
      <c r="H13" s="3050">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5"/>
      <c r="C14" s="3046">
        <v>43881</v>
      </c>
      <c r="D14" s="3045">
        <v>4.05</v>
      </c>
      <c r="E14" s="3045">
        <v>4.05</v>
      </c>
      <c r="F14" s="3045">
        <v>4.05</v>
      </c>
      <c r="G14" s="3045">
        <v>4.05</v>
      </c>
      <c r="H14" s="3045">
        <v>4.75</v>
      </c>
      <c r="I14" s="3045"/>
      <c r="J14" s="3045"/>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5"/>
      <c r="C15" s="3046">
        <v>43789</v>
      </c>
      <c r="D15" s="3045">
        <v>4.1500000000000004</v>
      </c>
      <c r="E15" s="3045">
        <v>4.1500000000000004</v>
      </c>
      <c r="F15" s="3045">
        <v>4.1500000000000004</v>
      </c>
      <c r="G15" s="3045">
        <v>4.1500000000000004</v>
      </c>
      <c r="H15" s="3045">
        <v>4.8</v>
      </c>
      <c r="I15" s="3045"/>
      <c r="J15" s="3045"/>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5"/>
      <c r="C16" s="3046">
        <v>43728</v>
      </c>
      <c r="D16" s="3045">
        <v>4.2</v>
      </c>
      <c r="E16" s="3045">
        <v>4.2</v>
      </c>
      <c r="F16" s="3045">
        <v>4.2</v>
      </c>
      <c r="G16" s="3045">
        <v>4.2</v>
      </c>
      <c r="H16" s="3045">
        <v>4.8499999999999996</v>
      </c>
      <c r="I16" s="3045"/>
      <c r="J16" s="3045"/>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4" t="s">
        <v>3050</v>
      </c>
      <c r="C17" s="3047">
        <v>43697</v>
      </c>
      <c r="D17" s="3048">
        <v>4.25</v>
      </c>
      <c r="E17" s="3048">
        <v>4.25</v>
      </c>
      <c r="F17" s="3048">
        <v>4.25</v>
      </c>
      <c r="G17" s="3048">
        <v>4.25</v>
      </c>
      <c r="H17" s="3048">
        <v>4.8499999999999996</v>
      </c>
      <c r="I17" s="3048"/>
      <c r="J17" s="3048"/>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5"/>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1"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19" t="str">
        <f>IF(项目基本情况!B9="房地产市场价值","估价结果一览表","结果表-2")</f>
        <v>结果表-2</v>
      </c>
      <c r="B1" s="3119"/>
      <c r="C1" s="3119"/>
      <c r="D1" s="3119"/>
      <c r="E1" s="3119"/>
      <c r="F1" s="3119"/>
      <c r="G1" s="3119"/>
      <c r="H1" s="3119"/>
      <c r="I1" s="3119"/>
    </row>
    <row r="2" spans="1:9" ht="30" customHeight="1" thickTop="1">
      <c r="A2" s="3120" t="s">
        <v>1606</v>
      </c>
      <c r="B2" s="3120" t="s">
        <v>1607</v>
      </c>
      <c r="C2" s="3120" t="s">
        <v>1608</v>
      </c>
      <c r="D2" s="3120" t="str">
        <f>结果表!D116</f>
        <v>出让国有建设用地使用权价值</v>
      </c>
      <c r="E2" s="3120"/>
      <c r="F2" s="3120" t="str">
        <f>结果表!F116</f>
        <v>在建建筑物价值</v>
      </c>
      <c r="G2" s="3120"/>
      <c r="H2" s="3120" t="str">
        <f>IF(项目基本情况!B9="房地产市场价值","房地产市场价值","房地产价值")</f>
        <v>房地产价值</v>
      </c>
      <c r="I2" s="3120"/>
    </row>
    <row r="3" spans="1:9" ht="15">
      <c r="A3" s="3114"/>
      <c r="B3" s="3114"/>
      <c r="C3" s="3114"/>
      <c r="D3" s="962" t="s">
        <v>1603</v>
      </c>
      <c r="E3" s="962" t="s">
        <v>1609</v>
      </c>
      <c r="F3" s="962" t="s">
        <v>1603</v>
      </c>
      <c r="G3" s="962" t="s">
        <v>1604</v>
      </c>
      <c r="H3" s="962" t="s">
        <v>1603</v>
      </c>
      <c r="I3" s="962" t="s">
        <v>1604</v>
      </c>
    </row>
    <row r="4" spans="1:9" ht="15">
      <c r="A4" s="1689" t="str">
        <f>项目基本情况!S2</f>
        <v>房地产</v>
      </c>
      <c r="B4" s="962">
        <f>项目基本情况!C17</f>
        <v>117964.09999999983</v>
      </c>
      <c r="C4" s="962">
        <f>项目基本情况!C18</f>
        <v>42598.89</v>
      </c>
      <c r="D4" s="962">
        <f>结果表!D118</f>
        <v>0</v>
      </c>
      <c r="E4" s="962">
        <f>结果表!E118</f>
        <v>0</v>
      </c>
      <c r="F4" s="962">
        <f>结果表!F118</f>
        <v>0</v>
      </c>
      <c r="G4" s="962">
        <f>结果表!G118</f>
        <v>0</v>
      </c>
      <c r="H4" s="962">
        <f ca="1">结果表!H118</f>
        <v>138209</v>
      </c>
      <c r="I4" s="962">
        <f ca="1">结果表!I118</f>
        <v>11716</v>
      </c>
    </row>
    <row r="5" spans="1:9" ht="30" customHeight="1">
      <c r="A5" s="3114" t="s">
        <v>1605</v>
      </c>
      <c r="B5" s="3114"/>
      <c r="C5" s="3114"/>
      <c r="D5" s="3115" t="str">
        <f>结果表!D119</f>
        <v>零元整</v>
      </c>
      <c r="E5" s="3115"/>
      <c r="F5" s="3115" t="str">
        <f>结果表!F119</f>
        <v>零元整</v>
      </c>
      <c r="G5" s="3115"/>
      <c r="H5" s="3115" t="str">
        <f ca="1">结果表!H119</f>
        <v>壹拾叁亿捌仟贰佰零玖万元整</v>
      </c>
      <c r="I5" s="3115"/>
    </row>
    <row r="6" spans="1:9" ht="15.75">
      <c r="A6" s="3113" t="str">
        <f>结果表!A120</f>
        <v>估价师知悉的法定优先受偿款</v>
      </c>
      <c r="B6" s="3113"/>
      <c r="C6" s="3113"/>
      <c r="D6" s="3113">
        <f>结果表!D120</f>
        <v>0</v>
      </c>
      <c r="E6" s="3113"/>
      <c r="F6" s="3113"/>
      <c r="G6" s="3113"/>
      <c r="H6" s="3113"/>
      <c r="I6" s="3113"/>
    </row>
    <row r="7" spans="1:9" ht="15">
      <c r="A7" s="3114" t="s">
        <v>1605</v>
      </c>
      <c r="B7" s="3114"/>
      <c r="C7" s="3114"/>
      <c r="D7" s="3116" t="str">
        <f>结果表!D121</f>
        <v>零元整</v>
      </c>
      <c r="E7" s="3117"/>
      <c r="F7" s="3117"/>
      <c r="G7" s="3117"/>
      <c r="H7" s="3117"/>
      <c r="I7" s="3118"/>
    </row>
    <row r="8" spans="1:9" ht="15.75">
      <c r="A8" s="3113" t="str">
        <f>结果表!A122</f>
        <v>房地产抵押价值</v>
      </c>
      <c r="B8" s="3113"/>
      <c r="C8" s="3113"/>
      <c r="D8" s="3113">
        <f ca="1">结果表!D122</f>
        <v>138209</v>
      </c>
      <c r="E8" s="3113"/>
      <c r="F8" s="3113"/>
      <c r="G8" s="3113"/>
      <c r="H8" s="3113"/>
      <c r="I8" s="3113"/>
    </row>
    <row r="9" spans="1:9" ht="15">
      <c r="A9" s="3114" t="s">
        <v>1605</v>
      </c>
      <c r="B9" s="3114"/>
      <c r="C9" s="3114"/>
      <c r="D9" s="3115" t="str">
        <f ca="1">结果表!D123</f>
        <v>壹拾叁亿捌仟贰佰零玖万元整</v>
      </c>
      <c r="E9" s="3115"/>
      <c r="F9" s="3115"/>
      <c r="G9" s="3115"/>
      <c r="H9" s="3115"/>
      <c r="I9" s="3115"/>
    </row>
    <row r="10" spans="1:9" ht="15.75">
      <c r="A10" s="3113" t="str">
        <f>结果表!A124</f>
        <v/>
      </c>
      <c r="B10" s="3113"/>
      <c r="C10" s="3113"/>
      <c r="D10" s="3113" t="str">
        <f>结果表!D124</f>
        <v>——</v>
      </c>
      <c r="E10" s="3113"/>
      <c r="F10" s="3113"/>
      <c r="G10" s="3113"/>
      <c r="H10" s="3113"/>
      <c r="I10" s="3113"/>
    </row>
    <row r="11" spans="1:9" ht="15">
      <c r="A11" s="3114" t="s">
        <v>1605</v>
      </c>
      <c r="B11" s="3114"/>
      <c r="C11" s="3114"/>
      <c r="D11" s="3115" t="e">
        <f>结果表!D125</f>
        <v>#VALUE!</v>
      </c>
      <c r="E11" s="3115"/>
      <c r="F11" s="3115"/>
      <c r="G11" s="3115"/>
      <c r="H11" s="3115"/>
      <c r="I11" s="3115"/>
    </row>
    <row r="12" spans="1:9" ht="15.75">
      <c r="A12" s="3113" t="str">
        <f>结果表!A126</f>
        <v/>
      </c>
      <c r="B12" s="3113"/>
      <c r="C12" s="3113"/>
      <c r="D12" s="3113" t="str">
        <f>结果表!D126</f>
        <v>——</v>
      </c>
      <c r="E12" s="3113"/>
      <c r="F12" s="3113"/>
      <c r="G12" s="3113"/>
      <c r="H12" s="3113"/>
      <c r="I12" s="3113"/>
    </row>
    <row r="13" spans="1:9" ht="15.75" thickBot="1">
      <c r="A13" s="3110" t="s">
        <v>1605</v>
      </c>
      <c r="B13" s="3110"/>
      <c r="C13" s="3110"/>
      <c r="D13" s="3111" t="e">
        <f>结果表!D127</f>
        <v>#VALUE!</v>
      </c>
      <c r="E13" s="3111"/>
      <c r="F13" s="3111"/>
      <c r="G13" s="3111"/>
      <c r="H13" s="3111"/>
      <c r="I13" s="3111"/>
    </row>
    <row r="14" spans="1:9" ht="15" thickTop="1">
      <c r="A14" s="3112" t="s">
        <v>1610</v>
      </c>
      <c r="B14" s="3112"/>
      <c r="C14" s="3112"/>
      <c r="D14" s="3112"/>
      <c r="E14" s="3112"/>
      <c r="F14" s="3112"/>
      <c r="G14" s="3112"/>
      <c r="H14" s="3112"/>
      <c r="I14" s="3112"/>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4686</v>
      </c>
      <c r="D1" s="1545" t="s">
        <v>4746</v>
      </c>
      <c r="E1" s="1546" t="s">
        <v>1352</v>
      </c>
      <c r="F1" s="1192">
        <f ca="1">J53</f>
        <v>37.589999999999996</v>
      </c>
      <c r="G1" s="1561">
        <f>MATCH(C1,'数据-取费表'!A6:A16,0)+5</f>
        <v>12</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832</v>
      </c>
      <c r="C2" s="1570" t="s">
        <v>1481</v>
      </c>
      <c r="D2" s="1570"/>
      <c r="E2" s="1571"/>
      <c r="F2" s="1572"/>
      <c r="G2" s="2932"/>
      <c r="H2" s="2921"/>
      <c r="I2" s="2921"/>
      <c r="J2" s="2921"/>
      <c r="K2" s="2922"/>
      <c r="L2" s="2921"/>
      <c r="M2" s="2921"/>
    </row>
    <row r="3" spans="1:37" ht="18" customHeight="1" thickBot="1">
      <c r="A3" s="1573" t="s">
        <v>1482</v>
      </c>
      <c r="B3" s="1574">
        <f ca="1">IF(ISERROR(B2*10000/F43),0,ROUND(B2*10000/F43,0))</f>
        <v>12159</v>
      </c>
      <c r="C3" s="1570" t="s">
        <v>1483</v>
      </c>
      <c r="D3" s="1570"/>
      <c r="E3" s="1571"/>
      <c r="F3" s="1572"/>
      <c r="G3" s="2932"/>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1">
        <f ca="1">C6+C10+C12</f>
        <v>42</v>
      </c>
      <c r="D5" s="1547" t="s">
        <v>1367</v>
      </c>
      <c r="E5" s="1202"/>
      <c r="F5" s="1203"/>
      <c r="G5" s="1567"/>
      <c r="H5" s="304">
        <v>1</v>
      </c>
      <c r="I5" s="305" t="s">
        <v>1366</v>
      </c>
      <c r="J5" s="1201">
        <f ca="1">J6+J10+J12</f>
        <v>0</v>
      </c>
      <c r="K5" s="1547" t="s">
        <v>1367</v>
      </c>
      <c r="L5" s="1202"/>
      <c r="M5" s="1203"/>
    </row>
    <row r="6" spans="1:37" ht="18" customHeight="1">
      <c r="A6" s="1200" t="s">
        <v>1003</v>
      </c>
      <c r="B6" s="3346" t="s">
        <v>1368</v>
      </c>
      <c r="C6" s="1205">
        <f ca="1">ROUND(F6*F8*F7*(1-F9)/10000,0)</f>
        <v>42</v>
      </c>
      <c r="D6" s="159" t="s">
        <v>2849</v>
      </c>
      <c r="E6" s="307" t="s">
        <v>1370</v>
      </c>
      <c r="F6" s="308">
        <f ca="1">INDIRECT("'数据-取费表'!u"&amp;$G$1)</f>
        <v>2</v>
      </c>
      <c r="G6" s="1567"/>
      <c r="H6" s="1200" t="s">
        <v>1003</v>
      </c>
      <c r="I6" s="3346" t="s">
        <v>1368</v>
      </c>
      <c r="J6" s="306">
        <f ca="1">ROUND(M6*M8*M7*(1-M9)/10000,0)</f>
        <v>0</v>
      </c>
      <c r="K6" s="159" t="s">
        <v>2848</v>
      </c>
      <c r="L6" s="307" t="s">
        <v>1370</v>
      </c>
      <c r="M6" s="308">
        <f ca="1">INDIRECT("'数据-取费表'!z"&amp;$G$1)</f>
        <v>0</v>
      </c>
    </row>
    <row r="7" spans="1:37" ht="18" customHeight="1">
      <c r="A7" s="1204"/>
      <c r="B7" s="3347"/>
      <c r="C7" s="1206"/>
      <c r="D7" s="312"/>
      <c r="E7" s="3085" t="s">
        <v>1371</v>
      </c>
      <c r="F7" s="308">
        <f ca="1">IF(INDIRECT("'数据-取费表'!ah"&amp;$G$1)="",INDIRECT("'数据-取费表'!k"&amp;$G$1),INDIRECT("'数据-取费表'!ah"&amp;$G$1))</f>
        <v>684.26</v>
      </c>
      <c r="G7" s="1567"/>
      <c r="H7" s="309"/>
      <c r="I7" s="3347"/>
      <c r="J7" s="311"/>
      <c r="K7" s="312"/>
      <c r="L7" s="307" t="s">
        <v>1371</v>
      </c>
      <c r="M7" s="308">
        <f ca="1">F7</f>
        <v>684.26</v>
      </c>
    </row>
    <row r="8" spans="1:37" ht="18" customHeight="1">
      <c r="A8" s="309"/>
      <c r="B8" s="3347"/>
      <c r="C8" s="311"/>
      <c r="D8" s="312"/>
      <c r="E8" s="307" t="s">
        <v>1372</v>
      </c>
      <c r="F8" s="308">
        <f ca="1">INDIRECT("'数据-取费表'!ai"&amp;$G$1)</f>
        <v>365</v>
      </c>
      <c r="G8" s="1567"/>
      <c r="H8" s="309"/>
      <c r="I8" s="3347"/>
      <c r="J8" s="311"/>
      <c r="K8" s="312"/>
      <c r="L8" s="307" t="s">
        <v>1372</v>
      </c>
      <c r="M8" s="308">
        <f ca="1">INDIRECT("'数据-取费表'!ai"&amp;$G$1)</f>
        <v>365</v>
      </c>
    </row>
    <row r="9" spans="1:37" ht="18" customHeight="1">
      <c r="A9" s="309"/>
      <c r="B9" s="3348"/>
      <c r="C9" s="311"/>
      <c r="D9" s="312"/>
      <c r="E9" s="307" t="s">
        <v>1373</v>
      </c>
      <c r="F9" s="317">
        <f ca="1">INDIRECT("'数据-取费表'!w"&amp;$G$1)</f>
        <v>0.15</v>
      </c>
      <c r="G9" s="1567"/>
      <c r="H9" s="309"/>
      <c r="I9" s="3348"/>
      <c r="J9" s="311"/>
      <c r="K9" s="312"/>
      <c r="L9" s="318" t="s">
        <v>1373</v>
      </c>
      <c r="M9" s="319">
        <f ca="1">INDIRECT("'数据-取费表'!ab"&amp;$G$1)</f>
        <v>0</v>
      </c>
    </row>
    <row r="10" spans="1:37" ht="18" customHeight="1">
      <c r="A10" s="1200" t="s">
        <v>1007</v>
      </c>
      <c r="B10" s="1548" t="s">
        <v>1374</v>
      </c>
      <c r="C10" s="321">
        <f ca="1">ROUND(IF(F10="押一",C6/12*F11,IF(F10="押二",C6/12*2*F11,IF(F10="押三",C6/12*3*F11,C11*F11))),0)</f>
        <v>0</v>
      </c>
      <c r="D10" s="1549" t="s">
        <v>2857</v>
      </c>
      <c r="E10" s="318" t="s">
        <v>1375</v>
      </c>
      <c r="F10" s="1275" t="s">
        <v>4747</v>
      </c>
      <c r="G10" s="1567"/>
      <c r="H10" s="1200" t="s">
        <v>1007</v>
      </c>
      <c r="I10" s="1548" t="s">
        <v>1374</v>
      </c>
      <c r="J10" s="306">
        <f ca="1">ROUND(IF(M10="押一",J6/12*M11,IF(M10="押二",J6/12*2*M11,IF(M10="押三",J6/12*3*M11,J11*M11))),0)</f>
        <v>0</v>
      </c>
      <c r="K10" s="1549" t="s">
        <v>2856</v>
      </c>
      <c r="L10" s="318" t="s">
        <v>1375</v>
      </c>
      <c r="M10" s="1275" t="s">
        <v>1376</v>
      </c>
    </row>
    <row r="11" spans="1:37" ht="18" customHeight="1">
      <c r="A11" s="313"/>
      <c r="B11" s="1550" t="s">
        <v>1353</v>
      </c>
      <c r="C11" s="1089"/>
      <c r="D11" s="1551"/>
      <c r="E11" s="318" t="s">
        <v>1377</v>
      </c>
      <c r="F11" s="319">
        <f ca="1">'数据-取费表'!B39</f>
        <v>1.4999999999999999E-2</v>
      </c>
      <c r="G11" s="1567"/>
      <c r="H11" s="1208"/>
      <c r="I11" s="1550" t="s">
        <v>1353</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401</v>
      </c>
      <c r="D13" s="3077" t="s">
        <v>1380</v>
      </c>
      <c r="E13" s="3077" t="s">
        <v>1381</v>
      </c>
      <c r="F13" s="1241">
        <f ca="1">INDIRECT("'数据-取费表'!y"&amp;$G$1)</f>
        <v>1</v>
      </c>
      <c r="G13" s="1567"/>
      <c r="H13" s="1238">
        <v>2</v>
      </c>
      <c r="I13" s="1239" t="s">
        <v>1379</v>
      </c>
      <c r="J13" s="1199">
        <f ca="1">ROUND(J14*J15,0)</f>
        <v>0</v>
      </c>
      <c r="K13" s="1246" t="s">
        <v>1380</v>
      </c>
      <c r="L13" s="1575"/>
      <c r="M13" s="1576"/>
    </row>
    <row r="14" spans="1:37" ht="18" customHeight="1">
      <c r="A14" s="1112" t="s">
        <v>1002</v>
      </c>
      <c r="B14" s="307" t="s">
        <v>1382</v>
      </c>
      <c r="C14" s="323">
        <f ca="1">INDIRECT("'数据-取费表'!m"&amp;$G$1)+INDIRECT("'数据-取费表'!t"&amp;$G$1)</f>
        <v>274</v>
      </c>
      <c r="D14" s="3081" t="s">
        <v>1383</v>
      </c>
      <c r="E14" s="3079"/>
      <c r="F14" s="324"/>
      <c r="G14" s="1567"/>
      <c r="H14" s="1112" t="s">
        <v>1003</v>
      </c>
      <c r="I14" s="307" t="s">
        <v>1384</v>
      </c>
      <c r="J14" s="24">
        <f ca="1">C29</f>
        <v>401</v>
      </c>
      <c r="K14" s="3084"/>
      <c r="L14" s="915"/>
      <c r="M14" s="916"/>
    </row>
    <row r="15" spans="1:37" s="1580" customFormat="1" ht="18" customHeight="1" thickBot="1">
      <c r="A15" s="1112" t="s">
        <v>1004</v>
      </c>
      <c r="B15" s="307" t="s">
        <v>1385</v>
      </c>
      <c r="C15" s="24">
        <f ca="1">ROUND(C14*F15,0)</f>
        <v>8</v>
      </c>
      <c r="D15" s="3078" t="s">
        <v>1386</v>
      </c>
      <c r="E15" s="3078" t="s">
        <v>1387</v>
      </c>
      <c r="F15" s="326">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7"/>
      <c r="H16" s="1238" t="s">
        <v>998</v>
      </c>
      <c r="I16" s="1239" t="s">
        <v>1389</v>
      </c>
      <c r="J16" s="315">
        <f ca="1">ROUND(J17+J22+J23+J24,0)</f>
        <v>0</v>
      </c>
      <c r="K16" s="1246" t="s">
        <v>1390</v>
      </c>
      <c r="L16" s="3082"/>
      <c r="M16" s="1203"/>
    </row>
    <row r="17" spans="1:37" s="1580" customFormat="1" ht="18" customHeight="1">
      <c r="A17" s="1112" t="s">
        <v>1355</v>
      </c>
      <c r="B17" s="307" t="s">
        <v>1391</v>
      </c>
      <c r="C17" s="24">
        <f ca="1">ROUND(F17*(F43+INDIRECT("'数据-取费表'!S"&amp;$G$1))/10000,0)</f>
        <v>14</v>
      </c>
      <c r="D17" s="307" t="s">
        <v>1392</v>
      </c>
      <c r="E17" s="307" t="s">
        <v>1393</v>
      </c>
      <c r="F17" s="26">
        <f>'数据-取费表'!B35</f>
        <v>200</v>
      </c>
      <c r="G17" s="1579"/>
      <c r="H17" s="1112" t="s">
        <v>1003</v>
      </c>
      <c r="I17" s="307" t="s">
        <v>1394</v>
      </c>
      <c r="J17" s="2531">
        <f ca="1">ROUND(IF(AND(项目基本情况!B11="自然人",项目基本情况!B10="北京市"),J6*M17/(1+'数据-取费表'!C42),J18+J19+J20),0)</f>
        <v>0</v>
      </c>
      <c r="K17" s="3081" t="s">
        <v>1395</v>
      </c>
      <c r="L17" s="3080" t="s">
        <v>1396</v>
      </c>
      <c r="M17" s="2530">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4</v>
      </c>
      <c r="D18" s="307" t="s">
        <v>1386</v>
      </c>
      <c r="E18" s="307" t="s">
        <v>1387</v>
      </c>
      <c r="F18" s="327">
        <f>'数据-取费表'!B36</f>
        <v>1.4999999999999999E-2</v>
      </c>
      <c r="G18" s="1579"/>
      <c r="H18" s="1112" t="s">
        <v>1002</v>
      </c>
      <c r="I18" s="307" t="s">
        <v>1398</v>
      </c>
      <c r="J18" s="24">
        <f ca="1">ROUND(J6*M18/(1+'数据-取费表'!C42),2)</f>
        <v>0</v>
      </c>
      <c r="K18" s="3080"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300</v>
      </c>
      <c r="D19" s="135" t="s">
        <v>1401</v>
      </c>
      <c r="E19" s="3087"/>
      <c r="F19" s="26"/>
      <c r="G19" s="1567"/>
      <c r="H19" s="1112" t="s">
        <v>1004</v>
      </c>
      <c r="I19" s="307" t="s">
        <v>1402</v>
      </c>
      <c r="J19" s="24">
        <f ca="1">IF(K19="按租金收入计税",ROUND(J6*M19/(1+'数据-取费表'!C42),2),ROUND(C29*M19*0.7,2))</f>
        <v>0</v>
      </c>
      <c r="K19" s="1553" t="s">
        <v>4748</v>
      </c>
      <c r="L19" s="307" t="s">
        <v>1387</v>
      </c>
      <c r="M19" s="327">
        <f>IF(K19="按租金收入计税",'数据-取费表'!B51,'数据-取费表'!B50)</f>
        <v>0.12</v>
      </c>
    </row>
    <row r="20" spans="1:37" s="1580" customFormat="1" ht="18" customHeight="1">
      <c r="A20" s="1112" t="s">
        <v>1007</v>
      </c>
      <c r="B20" s="307" t="s">
        <v>1404</v>
      </c>
      <c r="C20" s="24">
        <f ca="1">ROUND(C19*F20,0)</f>
        <v>6</v>
      </c>
      <c r="D20" s="328" t="s">
        <v>1405</v>
      </c>
      <c r="E20" s="307" t="s">
        <v>1387</v>
      </c>
      <c r="F20" s="327">
        <f>'数据-取费表'!B37</f>
        <v>0.02</v>
      </c>
      <c r="G20" s="1579"/>
      <c r="H20" s="1112" t="s">
        <v>1354</v>
      </c>
      <c r="I20" s="159" t="s">
        <v>1406</v>
      </c>
      <c r="J20" s="25">
        <f ca="1">ROUND(M20*M21/10000,2)</f>
        <v>0.15</v>
      </c>
      <c r="K20" s="329" t="s">
        <v>1407</v>
      </c>
      <c r="L20" s="307" t="s">
        <v>1408</v>
      </c>
      <c r="M20" s="330">
        <f>'数据-取费表'!B52</f>
        <v>6</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18</v>
      </c>
      <c r="D21" s="328" t="s">
        <v>1410</v>
      </c>
      <c r="E21" s="307" t="s">
        <v>1411</v>
      </c>
      <c r="F21" s="327">
        <f>'数据-取费表'!B38</f>
        <v>0.03</v>
      </c>
      <c r="G21" s="1579"/>
      <c r="H21" s="331"/>
      <c r="I21" s="316"/>
      <c r="J21" s="29"/>
      <c r="K21" s="332"/>
      <c r="L21" s="307" t="s">
        <v>1412</v>
      </c>
      <c r="M21" s="308">
        <f ca="1">INDIRECT("'数据-取费表'!r"&amp;$G$1)</f>
        <v>247.1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3087"/>
      <c r="F22" s="26"/>
      <c r="G22" s="1567"/>
      <c r="H22" s="1112" t="s">
        <v>1007</v>
      </c>
      <c r="I22" s="307" t="s">
        <v>1414</v>
      </c>
      <c r="J22" s="24">
        <f ca="1">ROUND(J14*M22,1)</f>
        <v>0</v>
      </c>
      <c r="K22" s="3080" t="s">
        <v>1415</v>
      </c>
      <c r="L22" s="307" t="s">
        <v>1387</v>
      </c>
      <c r="M22" s="333">
        <f ca="1">INDIRECT("'数据-取费表'!Ak"&amp;$G$1)</f>
        <v>0</v>
      </c>
    </row>
    <row r="23" spans="1:37" s="1580" customFormat="1" ht="18" customHeight="1">
      <c r="A23" s="1112" t="s">
        <v>1002</v>
      </c>
      <c r="B23" s="307" t="s">
        <v>1416</v>
      </c>
      <c r="C23" s="24">
        <f ca="1">IF('数据-取费表'!B22&lt;=1,ROUND(C19*F24*F23/2,0)+ROUND(C20*F24*F23/2,0),ROUND(C19*(POWER((1+F24),F23/2)-1),0)+ROUND(C20*(POWER((1+F24),F23/2)-1),0))</f>
        <v>13</v>
      </c>
      <c r="D23" s="334" t="str">
        <f>IF(F23&lt;=1,"(建造成本+管理费用)×利率×(建设周期÷2)","(建造成本+管理费用)×((1+利率)^(建设周期÷2)-1)")</f>
        <v>(建造成本+管理费用)×((1+利率)^(建设周期÷2)-1)</v>
      </c>
      <c r="E23" s="307" t="s">
        <v>1417</v>
      </c>
      <c r="F23" s="330">
        <f>'数据-取费表'!B20</f>
        <v>2</v>
      </c>
      <c r="G23" s="1579"/>
      <c r="H23" s="1112" t="s">
        <v>1043</v>
      </c>
      <c r="I23" s="307" t="s">
        <v>1418</v>
      </c>
      <c r="J23" s="24">
        <f ca="1">ROUND(J13*M23,1)</f>
        <v>0</v>
      </c>
      <c r="K23" s="3080"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9"/>
      <c r="H24" s="1248" t="s">
        <v>1358</v>
      </c>
      <c r="I24" s="1249" t="s">
        <v>1404</v>
      </c>
      <c r="J24" s="1250">
        <f ca="1">ROUND(J5*M24,1)</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7" t="s">
        <v>1426</v>
      </c>
      <c r="C25" s="24"/>
      <c r="D25" s="135" t="s">
        <v>1427</v>
      </c>
      <c r="E25" s="3087"/>
      <c r="F25" s="26"/>
      <c r="G25" s="1567"/>
      <c r="H25" s="1238" t="s">
        <v>999</v>
      </c>
      <c r="I25" s="1253" t="s">
        <v>1428</v>
      </c>
      <c r="J25" s="315">
        <f ca="1">J5-J16</f>
        <v>0</v>
      </c>
      <c r="K25" s="1254" t="s">
        <v>1429</v>
      </c>
      <c r="L25" s="1255"/>
      <c r="M25" s="1256"/>
    </row>
    <row r="26" spans="1:37">
      <c r="A26" s="1112" t="s">
        <v>1002</v>
      </c>
      <c r="B26" s="307" t="s">
        <v>1430</v>
      </c>
      <c r="C26" s="24">
        <f ca="1">ROUND((C19+C20)*F26,0)</f>
        <v>46</v>
      </c>
      <c r="D26" s="328" t="s">
        <v>1431</v>
      </c>
      <c r="E26" s="318" t="s">
        <v>1432</v>
      </c>
      <c r="F26" s="317">
        <f ca="1">INDIRECT("'数据-取费表'!q"&amp;$G$1)</f>
        <v>0.15</v>
      </c>
      <c r="G26" s="1567"/>
      <c r="H26" s="304" t="s">
        <v>1000</v>
      </c>
      <c r="I26" s="305" t="s">
        <v>1433</v>
      </c>
      <c r="J26" s="306">
        <f ca="1">IF(J5&lt;&gt;0,ROUND(J25*(1-((1+M28)/(1+M26))^M27)/(M26-M28),0),0)</f>
        <v>0</v>
      </c>
      <c r="K26" s="329" t="s">
        <v>1434</v>
      </c>
      <c r="L26" s="307" t="s">
        <v>1435</v>
      </c>
      <c r="M26" s="317">
        <f ca="1">INDIRECT("'数据-取费表'!I"&amp;$G$1)</f>
        <v>5.5E-2</v>
      </c>
    </row>
    <row r="27" spans="1:37" ht="18" customHeight="1">
      <c r="A27" s="1112" t="s">
        <v>1004</v>
      </c>
      <c r="B27" s="307" t="s">
        <v>1436</v>
      </c>
      <c r="C27" s="24">
        <f ca="1">ROUND(F21*F26,4)</f>
        <v>4.4999999999999997E-3</v>
      </c>
      <c r="D27" s="328" t="s">
        <v>1437</v>
      </c>
      <c r="E27" s="3078"/>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401</v>
      </c>
      <c r="D29" s="1251"/>
      <c r="E29" s="1249"/>
      <c r="F29" s="1252"/>
      <c r="G29" s="1579"/>
      <c r="H29" s="339" t="s">
        <v>1001</v>
      </c>
      <c r="I29" s="340" t="s">
        <v>1444</v>
      </c>
      <c r="J29" s="341">
        <f ca="1">ROUND(J26/(1+F40)^F41,0)</f>
        <v>0</v>
      </c>
      <c r="K29" s="342" t="s">
        <v>1445</v>
      </c>
      <c r="L29" s="343"/>
      <c r="M29" s="344">
        <f ca="1">INDIRECT("'数据-取费表'!k"&amp;$G$1)</f>
        <v>684.26</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7</v>
      </c>
      <c r="D30" s="1246" t="s">
        <v>1390</v>
      </c>
      <c r="E30" s="3082"/>
      <c r="F30" s="1203"/>
      <c r="G30" s="1567"/>
      <c r="H30" s="2923"/>
      <c r="I30" s="1581"/>
      <c r="J30" s="1582"/>
      <c r="K30" s="2698"/>
      <c r="L30" s="2924"/>
      <c r="M30" s="2925"/>
    </row>
    <row r="31" spans="1:37" ht="18" customHeight="1">
      <c r="A31" s="1112" t="s">
        <v>1003</v>
      </c>
      <c r="B31" s="307" t="s">
        <v>1394</v>
      </c>
      <c r="C31" s="2531">
        <f ca="1">ROUND(IF(AND(项目基本情况!B11="自然人",项目基本情况!B10="北京市"),C6*F31/(1+'数据-取费表'!C42),C32+C33+C34),0)</f>
        <v>7</v>
      </c>
      <c r="D31" s="3081" t="s">
        <v>1395</v>
      </c>
      <c r="E31" s="3080" t="s">
        <v>1446</v>
      </c>
      <c r="F31" s="2530">
        <f ca="1">IF(项目基本情况!B11="企业","——",IF('数据-取费表'!B10="住宅",IF(F6*F7*F8/12/(1+'数据-取费表'!F30)&gt;100000,4%,2.5%),IF(F6*F7*F8/12/(1+'数据-取费表'!F30)&gt;100000,12%,7%)))</f>
        <v>7.0000000000000007E-2</v>
      </c>
      <c r="G31" s="1567"/>
      <c r="H31" s="3036" t="s">
        <v>3047</v>
      </c>
      <c r="I31" s="1581"/>
      <c r="J31" s="1582"/>
      <c r="K31" s="2698"/>
      <c r="L31" s="2924"/>
      <c r="M31" s="2925"/>
    </row>
    <row r="32" spans="1:37" ht="18" customHeight="1">
      <c r="A32" s="1112" t="s">
        <v>1002</v>
      </c>
      <c r="B32" s="307" t="s">
        <v>1398</v>
      </c>
      <c r="C32" s="24">
        <f ca="1">IF(项目基本情况!B11="自然人","——",ROUND(C6*F32/(1+'数据-取费表'!C42),2))</f>
        <v>2.2400000000000002</v>
      </c>
      <c r="D32" s="3080" t="s">
        <v>1399</v>
      </c>
      <c r="E32" s="307" t="s">
        <v>1387</v>
      </c>
      <c r="F32" s="336">
        <f>'数据-取费表'!B41</f>
        <v>5.6000000000000001E-2</v>
      </c>
      <c r="G32" s="1567"/>
      <c r="H32" s="2923"/>
      <c r="I32" s="1581"/>
      <c r="J32" s="1582"/>
      <c r="K32" s="2698"/>
      <c r="L32" s="2924"/>
      <c r="M32" s="2925"/>
    </row>
    <row r="33" spans="1:18" ht="18" customHeight="1">
      <c r="A33" s="1112" t="s">
        <v>1004</v>
      </c>
      <c r="B33" s="307" t="s">
        <v>1402</v>
      </c>
      <c r="C33" s="24">
        <f ca="1">IF(项目基本情况!B11="自然人","——",IF(D33="按租金收入计税",ROUND(C6*F33/(1+'数据-取费表'!C42),2),IF(D33="按房产原值计税",ROUND(C29*F33*0.7,2),INDIRECT("'数据-取费表'!Aj"&amp;$G$1))))</f>
        <v>4.8</v>
      </c>
      <c r="D33" s="1553" t="s">
        <v>4748</v>
      </c>
      <c r="E33" s="307" t="s">
        <v>1387</v>
      </c>
      <c r="F33" s="327">
        <f>IF(D33="按票据","——",IF(D33="按租金收入计税",'数据-取费表'!B51,'数据-取费表'!B50))</f>
        <v>0.12</v>
      </c>
      <c r="G33" s="1567"/>
      <c r="H33" s="2926"/>
      <c r="I33" s="1581"/>
      <c r="J33" s="1582"/>
      <c r="K33" s="2927"/>
      <c r="L33" s="2926"/>
      <c r="M33" s="2926"/>
    </row>
    <row r="34" spans="1:18" ht="18" customHeight="1">
      <c r="A34" s="1200" t="s">
        <v>1354</v>
      </c>
      <c r="B34" s="159" t="s">
        <v>1406</v>
      </c>
      <c r="C34" s="25">
        <f ca="1">IF(项目基本情况!B11="自然人","——",ROUND(F34*F35/10000,2))</f>
        <v>0.15</v>
      </c>
      <c r="D34" s="329" t="s">
        <v>1407</v>
      </c>
      <c r="E34" s="307" t="s">
        <v>1408</v>
      </c>
      <c r="F34" s="330">
        <f>'数据-取费表'!B52</f>
        <v>6</v>
      </c>
      <c r="G34" s="1567"/>
      <c r="H34" s="2923"/>
      <c r="I34" s="1581"/>
      <c r="J34" s="1582"/>
      <c r="K34" s="2928"/>
      <c r="L34" s="2929"/>
      <c r="M34" s="2929"/>
    </row>
    <row r="35" spans="1:18" ht="18" customHeight="1">
      <c r="A35" s="1262"/>
      <c r="B35" s="1260"/>
      <c r="C35" s="29"/>
      <c r="D35" s="332"/>
      <c r="E35" s="307" t="s">
        <v>1412</v>
      </c>
      <c r="F35" s="308">
        <f ca="1">INDIRECT("'数据-取费表'!r"&amp;$G$1)</f>
        <v>247.1</v>
      </c>
      <c r="G35" s="1567"/>
      <c r="H35" s="2923"/>
      <c r="I35" s="1581"/>
      <c r="J35" s="1582"/>
      <c r="K35" s="2927"/>
      <c r="L35" s="2926"/>
      <c r="M35" s="2926"/>
    </row>
    <row r="36" spans="1:18" ht="18" customHeight="1">
      <c r="A36" s="1261" t="s">
        <v>1007</v>
      </c>
      <c r="B36" s="307" t="s">
        <v>1414</v>
      </c>
      <c r="C36" s="24">
        <f ca="1">ROUND(C29*F36,1)</f>
        <v>0</v>
      </c>
      <c r="D36" s="3080" t="s">
        <v>1447</v>
      </c>
      <c r="E36" s="307" t="s">
        <v>1387</v>
      </c>
      <c r="F36" s="333">
        <f ca="1">INDIRECT("'数据-取费表'!Ak"&amp;$G$1)</f>
        <v>0</v>
      </c>
      <c r="G36" s="1567"/>
      <c r="H36" s="2926"/>
      <c r="I36" s="1581"/>
      <c r="J36" s="1582"/>
      <c r="K36" s="2767"/>
      <c r="L36" s="2926"/>
      <c r="M36" s="2926"/>
    </row>
    <row r="37" spans="1:18" ht="18" customHeight="1">
      <c r="A37" s="1112" t="s">
        <v>1043</v>
      </c>
      <c r="B37" s="307" t="s">
        <v>1418</v>
      </c>
      <c r="C37" s="24">
        <f ca="1">ROUND(C13*F37,1)</f>
        <v>0</v>
      </c>
      <c r="D37" s="3080" t="s">
        <v>1419</v>
      </c>
      <c r="E37" s="307" t="s">
        <v>1420</v>
      </c>
      <c r="F37" s="335">
        <f ca="1">INDIRECT("'数据-取费表'!Al"&amp;$G$1)</f>
        <v>0</v>
      </c>
      <c r="G37" s="1567"/>
      <c r="H37" s="2926"/>
      <c r="I37" s="1581"/>
      <c r="J37" s="1582"/>
      <c r="K37" s="2767"/>
      <c r="L37" s="2926"/>
      <c r="M37" s="2926"/>
    </row>
    <row r="38" spans="1:18" ht="18" customHeight="1" thickBot="1">
      <c r="A38" s="1248" t="s">
        <v>1358</v>
      </c>
      <c r="B38" s="1249" t="s">
        <v>1404</v>
      </c>
      <c r="C38" s="1250">
        <f ca="1">ROUND(C5*F38,1)</f>
        <v>0</v>
      </c>
      <c r="D38" s="1251" t="s">
        <v>1424</v>
      </c>
      <c r="E38" s="1249" t="s">
        <v>1420</v>
      </c>
      <c r="F38" s="1245">
        <f ca="1">INDIRECT("'数据-取费表'!Am"&amp;$G$1)</f>
        <v>0</v>
      </c>
      <c r="G38" s="1567"/>
      <c r="H38" s="2926"/>
      <c r="I38" s="1581"/>
      <c r="J38" s="1582"/>
      <c r="K38" s="2930"/>
      <c r="L38" s="2926"/>
      <c r="M38" s="2926"/>
    </row>
    <row r="39" spans="1:18" ht="24.6" customHeight="1" thickTop="1">
      <c r="A39" s="1238" t="s">
        <v>999</v>
      </c>
      <c r="B39" s="1253" t="s">
        <v>1448</v>
      </c>
      <c r="C39" s="315">
        <f ca="1">C5-C30</f>
        <v>35</v>
      </c>
      <c r="D39" s="1254" t="s">
        <v>1449</v>
      </c>
      <c r="E39" s="1255"/>
      <c r="F39" s="1256"/>
      <c r="G39" s="1567"/>
      <c r="H39" s="2926"/>
      <c r="I39" s="1581"/>
      <c r="J39" s="1582"/>
      <c r="K39" s="2930"/>
      <c r="L39" s="2926"/>
      <c r="M39" s="2926"/>
    </row>
    <row r="40" spans="1:18" ht="18" customHeight="1">
      <c r="A40" s="304" t="s">
        <v>1000</v>
      </c>
      <c r="B40" s="305" t="s">
        <v>1450</v>
      </c>
      <c r="C40" s="306">
        <f ca="1">ROUND(C39*(1-((1+F42)/(1+F40))^F41)/(F40-F42),0)</f>
        <v>832</v>
      </c>
      <c r="D40" s="329" t="s">
        <v>1434</v>
      </c>
      <c r="E40" s="307" t="s">
        <v>1435</v>
      </c>
      <c r="F40" s="317">
        <f ca="1">INDIRECT("'数据-取费表'!I"&amp;$G$1)</f>
        <v>5.5E-2</v>
      </c>
      <c r="G40" s="1567"/>
      <c r="H40" s="1644"/>
      <c r="I40" s="1581"/>
      <c r="J40" s="1582"/>
      <c r="K40" s="2930"/>
      <c r="L40" s="1644"/>
      <c r="M40" s="1644"/>
    </row>
    <row r="41" spans="1:18" ht="18" customHeight="1">
      <c r="A41" s="309"/>
      <c r="B41" s="310"/>
      <c r="C41" s="311"/>
      <c r="D41" s="337" t="s">
        <v>1451</v>
      </c>
      <c r="E41" s="307" t="s">
        <v>1439</v>
      </c>
      <c r="F41" s="338">
        <f ca="1">IF(INDIRECT("'数据-取费表'!af"&amp;$G$1)=0,INDIRECT("'数据-取费表'!ae"&amp;$G$1),INDIRECT("'数据-取费表'!af"&amp;$G$1))</f>
        <v>37.589999999999996</v>
      </c>
      <c r="G41" s="1567"/>
      <c r="H41" s="1352"/>
      <c r="I41" s="1581"/>
      <c r="J41" s="1582"/>
      <c r="K41" s="2767"/>
      <c r="L41" s="1352"/>
      <c r="M41" s="1352"/>
    </row>
    <row r="42" spans="1:18" ht="18" customHeight="1">
      <c r="A42" s="313"/>
      <c r="B42" s="314"/>
      <c r="C42" s="315"/>
      <c r="D42" s="332"/>
      <c r="E42" s="307" t="s">
        <v>1442</v>
      </c>
      <c r="F42" s="317">
        <f ca="1">INDIRECT("'数据-取费表'!v"&amp;$G$1)</f>
        <v>0.03</v>
      </c>
      <c r="G42" s="1567"/>
      <c r="H42" s="1352"/>
      <c r="I42" s="1581"/>
      <c r="J42" s="1582"/>
      <c r="K42" s="2767"/>
      <c r="L42" s="1352"/>
      <c r="M42" s="1352"/>
    </row>
    <row r="43" spans="1:18" ht="18" customHeight="1" thickBot="1">
      <c r="A43" s="339" t="s">
        <v>1001</v>
      </c>
      <c r="B43" s="340" t="s">
        <v>1452</v>
      </c>
      <c r="C43" s="341">
        <f ca="1">ROUND(C40*10000/F43,0)</f>
        <v>12159</v>
      </c>
      <c r="D43" s="342" t="s">
        <v>1453</v>
      </c>
      <c r="E43" s="343" t="s">
        <v>1454</v>
      </c>
      <c r="F43" s="344">
        <f ca="1">INDIRECT("'数据-取费表'!k"&amp;$G$1)</f>
        <v>684.26</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1" t="s">
        <v>1484</v>
      </c>
      <c r="P45" s="1644"/>
      <c r="Q45" s="1644"/>
      <c r="R45" s="1644"/>
    </row>
    <row r="46" spans="1:18" s="1567" customFormat="1" ht="13.5" thickBot="1">
      <c r="A46" s="1587" t="s">
        <v>1485</v>
      </c>
      <c r="C46" s="1588">
        <f ca="1">C68-C40</f>
        <v>-1368</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t="s">
        <v>4695</v>
      </c>
      <c r="K47" s="1599" t="s">
        <v>1492</v>
      </c>
      <c r="L47" s="1600">
        <f ca="1">INDIRECT("'数据-取费表'!d"&amp;$G$1)</f>
        <v>40</v>
      </c>
      <c r="M47" s="1563" t="str">
        <f>IF(ISNUMBER(FIND("住宅",C1)),"住宅","非住宅")</f>
        <v>非住宅</v>
      </c>
      <c r="O47" s="1601" t="s">
        <v>1008</v>
      </c>
      <c r="P47" s="1602" t="s">
        <v>1493</v>
      </c>
      <c r="Q47" s="1603">
        <f ca="1">C40+J29</f>
        <v>832</v>
      </c>
      <c r="R47" s="1603" t="s">
        <v>1494</v>
      </c>
    </row>
    <row r="48" spans="1:18" s="1567" customFormat="1" ht="28.5" thickBot="1">
      <c r="A48" s="1269" t="s">
        <v>1103</v>
      </c>
      <c r="B48" s="305" t="s">
        <v>1366</v>
      </c>
      <c r="C48" s="3086">
        <f ca="1">C49+C53+C55</f>
        <v>0</v>
      </c>
      <c r="D48" s="1271"/>
      <c r="E48" s="1272"/>
      <c r="F48" s="1092"/>
      <c r="G48" s="730"/>
      <c r="H48" s="731"/>
      <c r="I48" s="1604" t="s">
        <v>1495</v>
      </c>
      <c r="J48" s="1605" t="s">
        <v>4749</v>
      </c>
      <c r="K48" s="1606" t="s">
        <v>1496</v>
      </c>
      <c r="L48" s="1607">
        <f ca="1">INDIRECT("'数据-取费表'!f"&amp;$G$1)</f>
        <v>38.69</v>
      </c>
      <c r="O48" s="1601" t="s">
        <v>1009</v>
      </c>
      <c r="P48" s="1602" t="s">
        <v>1497</v>
      </c>
      <c r="Q48" s="1603" t="str">
        <f ca="1">J60</f>
        <v>0</v>
      </c>
      <c r="R48" s="1603" t="s">
        <v>1498</v>
      </c>
    </row>
    <row r="49" spans="1:18" s="1567" customFormat="1" ht="13.5" thickBot="1">
      <c r="A49" s="1105" t="s">
        <v>1104</v>
      </c>
      <c r="B49" s="1554" t="s">
        <v>1455</v>
      </c>
      <c r="C49" s="1273">
        <f ca="1">ROUND(F49*F51*F50*(1-F52)/10000,0)</f>
        <v>0</v>
      </c>
      <c r="D49" s="1185" t="s">
        <v>2848</v>
      </c>
      <c r="E49" s="1555" t="s">
        <v>1456</v>
      </c>
      <c r="F49" s="1190"/>
      <c r="G49" s="1608"/>
      <c r="H49" s="731"/>
      <c r="I49" s="1604" t="s">
        <v>1499</v>
      </c>
      <c r="J49" s="1609">
        <v>2023</v>
      </c>
      <c r="K49" s="1606" t="s">
        <v>1500</v>
      </c>
      <c r="L49" s="1610"/>
      <c r="O49" s="1611" t="s">
        <v>1010</v>
      </c>
      <c r="P49" s="1602" t="s">
        <v>1501</v>
      </c>
      <c r="Q49" s="1603">
        <f ca="1">C29</f>
        <v>401</v>
      </c>
      <c r="R49" s="1603" t="s">
        <v>1494</v>
      </c>
    </row>
    <row r="50" spans="1:18" s="1567" customFormat="1" ht="13.5" thickBot="1">
      <c r="A50" s="1106"/>
      <c r="B50" s="1109"/>
      <c r="C50" s="1277"/>
      <c r="D50" s="1083"/>
      <c r="E50" s="1186" t="s">
        <v>1371</v>
      </c>
      <c r="F50" s="1187">
        <f ca="1">F7</f>
        <v>684.26</v>
      </c>
      <c r="H50" s="731"/>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8">
        <f ca="1">F8</f>
        <v>365</v>
      </c>
      <c r="I51" s="1615" t="s">
        <v>1505</v>
      </c>
      <c r="J51" s="1616">
        <f>IF(J49="",J50,J49+J50-YEAR('数据-取费表'!B2))</f>
        <v>62</v>
      </c>
      <c r="K51" s="1617" t="s">
        <v>1506</v>
      </c>
      <c r="L51" s="1618">
        <f ca="1">ROUND(-PV(INDIRECT("'数据-取费表'!h"&amp;$G$1),J51,(C39-C13*C76),0),0)</f>
        <v>17</v>
      </c>
      <c r="M51" s="1619"/>
      <c r="O51" s="1611" t="s">
        <v>1012</v>
      </c>
      <c r="P51" s="1602" t="s">
        <v>1507</v>
      </c>
      <c r="Q51" s="1614">
        <f>J52</f>
        <v>0.09</v>
      </c>
      <c r="R51" s="1603"/>
    </row>
    <row r="52" spans="1:18" s="1567" customFormat="1" ht="13.5" thickBot="1">
      <c r="A52" s="1107"/>
      <c r="B52" s="1109"/>
      <c r="C52" s="1110"/>
      <c r="D52" s="1083"/>
      <c r="E52" s="1111" t="s">
        <v>1373</v>
      </c>
      <c r="F52" s="1184"/>
      <c r="I52" s="1620" t="s">
        <v>1508</v>
      </c>
      <c r="J52" s="1621">
        <v>0.09</v>
      </c>
      <c r="K52" s="1620" t="s">
        <v>1509</v>
      </c>
      <c r="L52" s="1621"/>
      <c r="O52" s="1611" t="s">
        <v>1013</v>
      </c>
      <c r="P52" s="1602" t="s">
        <v>1510</v>
      </c>
      <c r="Q52" s="1603">
        <f ca="1">J53</f>
        <v>37.589999999999996</v>
      </c>
      <c r="R52" s="1603" t="s">
        <v>1511</v>
      </c>
    </row>
    <row r="53" spans="1:18" s="1567" customFormat="1" ht="24.75" thickBot="1">
      <c r="A53" s="1313" t="s">
        <v>1105</v>
      </c>
      <c r="B53" s="1556" t="s">
        <v>1374</v>
      </c>
      <c r="C53" s="321">
        <f ca="1">ROUND(IF(F53="押一",C49/12*F11,IF(F53="押二",C49/12*2*F11,IF(F53="押三",C49/12*3*F11,C54*F11))),0)</f>
        <v>0</v>
      </c>
      <c r="D53" s="1549" t="s">
        <v>2856</v>
      </c>
      <c r="E53" s="318" t="s">
        <v>1375</v>
      </c>
      <c r="F53" s="1275"/>
      <c r="I53" s="1622" t="s">
        <v>1512</v>
      </c>
      <c r="J53" s="2383">
        <f ca="1">IF(M47="住宅",IF(D1="——",MAX(J51,L48),MAX(J51,L48-'数据-取费表'!B24)),IF(D1="——",MIN(J51,L48),MIN(J51,L48-'数据-取费表'!B24)))</f>
        <v>37.589999999999996</v>
      </c>
      <c r="K53" s="3344" t="s">
        <v>1513</v>
      </c>
      <c r="L53" s="3345"/>
      <c r="O53" s="1601" t="s">
        <v>1014</v>
      </c>
      <c r="P53" s="1602" t="s">
        <v>1514</v>
      </c>
      <c r="Q53" s="1603">
        <f ca="1">Q47+Q48</f>
        <v>832</v>
      </c>
      <c r="R53" s="1603" t="s">
        <v>1015</v>
      </c>
    </row>
    <row r="54" spans="1:18" s="1567" customFormat="1" ht="13.5" thickBot="1">
      <c r="A54" s="1314"/>
      <c r="B54" s="1550" t="s">
        <v>1353</v>
      </c>
      <c r="C54" s="1089"/>
      <c r="D54" s="1549"/>
      <c r="E54" s="3083"/>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3083"/>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7">
        <v>2</v>
      </c>
      <c r="B56" s="1088" t="s">
        <v>1379</v>
      </c>
      <c r="C56" s="237">
        <f ca="1">C13</f>
        <v>401</v>
      </c>
      <c r="D56" s="1630"/>
      <c r="E56" s="1631"/>
      <c r="F56" s="1623"/>
      <c r="I56" s="1632" t="s">
        <v>1519</v>
      </c>
      <c r="J56" s="1633" t="s">
        <v>4539</v>
      </c>
      <c r="K56" s="1604" t="s">
        <v>1520</v>
      </c>
      <c r="L56" s="1607" t="str">
        <f ca="1">IF(L48&lt;J51,"——",L48-J53)</f>
        <v>——</v>
      </c>
      <c r="O56" s="1601" t="s">
        <v>1008</v>
      </c>
      <c r="P56" s="1602" t="s">
        <v>1493</v>
      </c>
      <c r="Q56" s="1603">
        <f ca="1">C40+J29</f>
        <v>832</v>
      </c>
      <c r="R56" s="1603" t="s">
        <v>1494</v>
      </c>
    </row>
    <row r="57" spans="1:18" s="1567" customFormat="1" ht="24.75" thickBot="1">
      <c r="A57" s="1634"/>
      <c r="B57" s="1080" t="s">
        <v>1443</v>
      </c>
      <c r="C57" s="243">
        <f ca="1">C29</f>
        <v>401</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8" t="s">
        <v>1389</v>
      </c>
      <c r="C58" s="321">
        <f ca="1">ROUND(C59+C64+C65+C66,0)</f>
        <v>34</v>
      </c>
      <c r="D58" s="1090" t="s">
        <v>1390</v>
      </c>
      <c r="E58" s="1091"/>
      <c r="F58" s="1092"/>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1">
        <f ca="1">ROUND(IF(AND(项目基本情况!B11="自然人",项目基本情况!B10="北京市"),C49*F59/(1+'数据-取费表'!C42),C60+C61+C62),0)</f>
        <v>34</v>
      </c>
      <c r="D59" s="1093" t="s">
        <v>1395</v>
      </c>
      <c r="E59" s="1094" t="s">
        <v>1396</v>
      </c>
      <c r="F59" s="2530">
        <f ca="1">IF(项目基本情况!B11="企业","——",IF('数据-取费表'!B10="住宅",IF(F49*F50*F51/12/(1+'数据-取费表'!F30)&gt;100000,4%,2.5%),IF(F49*F50*F51/12/(1+'数据-取费表'!F30)&gt;100000,12%,7%)))</f>
        <v>7.0000000000000007E-2</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33.68</v>
      </c>
      <c r="D61" s="1553" t="s">
        <v>1403</v>
      </c>
      <c r="E61" s="1080" t="s">
        <v>1459</v>
      </c>
      <c r="F61" s="327">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0.15</v>
      </c>
      <c r="D62" s="1095" t="s">
        <v>1462</v>
      </c>
      <c r="E62" s="1080" t="s">
        <v>1463</v>
      </c>
      <c r="F62" s="330">
        <f t="shared" si="0"/>
        <v>6</v>
      </c>
      <c r="I62" s="1645" t="s">
        <v>1535</v>
      </c>
      <c r="J62" s="1646" t="s">
        <v>1536</v>
      </c>
      <c r="K62" s="1646" t="s">
        <v>1537</v>
      </c>
      <c r="L62" s="1646" t="s">
        <v>1538</v>
      </c>
      <c r="M62" s="1647" t="s">
        <v>1539</v>
      </c>
      <c r="O62" s="1601" t="s">
        <v>1014</v>
      </c>
      <c r="P62" s="1602" t="s">
        <v>1514</v>
      </c>
      <c r="Q62" s="1603">
        <f ca="1">Q56+Q57</f>
        <v>832</v>
      </c>
      <c r="R62" s="1603" t="s">
        <v>1015</v>
      </c>
    </row>
    <row r="63" spans="1:18" s="1567" customFormat="1" ht="13.5" thickBot="1">
      <c r="A63" s="331"/>
      <c r="B63" s="1086"/>
      <c r="C63" s="29"/>
      <c r="D63" s="1096"/>
      <c r="E63" s="1080" t="s">
        <v>1464</v>
      </c>
      <c r="F63" s="308">
        <f t="shared" ca="1" si="0"/>
        <v>247.1</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0</v>
      </c>
      <c r="D64" s="1094" t="s">
        <v>1467</v>
      </c>
      <c r="E64" s="1080"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0</v>
      </c>
      <c r="D65" s="1094" t="s">
        <v>1419</v>
      </c>
      <c r="E65" s="1080" t="s">
        <v>1420</v>
      </c>
      <c r="F65" s="335">
        <f t="shared" ca="1" si="0"/>
        <v>0</v>
      </c>
      <c r="I65" s="1645" t="s">
        <v>1544</v>
      </c>
      <c r="J65" s="1646">
        <v>40</v>
      </c>
      <c r="K65" s="1646">
        <v>30</v>
      </c>
      <c r="L65" s="1646">
        <v>50</v>
      </c>
      <c r="M65" s="1648">
        <v>0.02</v>
      </c>
      <c r="O65" s="1601" t="s">
        <v>1008</v>
      </c>
      <c r="P65" s="1602" t="s">
        <v>1545</v>
      </c>
      <c r="Q65" s="1603">
        <f ca="1">C40+J29</f>
        <v>832</v>
      </c>
      <c r="R65" s="1603" t="s">
        <v>1494</v>
      </c>
    </row>
    <row r="66" spans="1:18" s="1567" customFormat="1" ht="16.5" thickBot="1">
      <c r="A66" s="1112" t="s">
        <v>1469</v>
      </c>
      <c r="B66" s="1080" t="s">
        <v>1404</v>
      </c>
      <c r="C66" s="24">
        <f ca="1">ROUND(C48*F66,1)</f>
        <v>0</v>
      </c>
      <c r="D66" s="1094" t="s">
        <v>1470</v>
      </c>
      <c r="E66" s="1080" t="s">
        <v>1387</v>
      </c>
      <c r="F66" s="317">
        <f t="shared" ca="1" si="0"/>
        <v>0</v>
      </c>
      <c r="O66" s="1601" t="s">
        <v>1009</v>
      </c>
      <c r="P66" s="1602" t="s">
        <v>1523</v>
      </c>
      <c r="Q66" s="1603">
        <f ca="1">L60</f>
        <v>0</v>
      </c>
      <c r="R66" s="1603" t="s">
        <v>1546</v>
      </c>
    </row>
    <row r="67" spans="1:18" s="1567" customFormat="1" ht="16.5" thickBot="1">
      <c r="A67" s="1087" t="s">
        <v>999</v>
      </c>
      <c r="B67" s="1097" t="s">
        <v>1428</v>
      </c>
      <c r="C67" s="321">
        <f ca="1">C48-C58</f>
        <v>-34</v>
      </c>
      <c r="D67" s="1093" t="s">
        <v>1429</v>
      </c>
      <c r="E67" s="1098"/>
      <c r="F67" s="1099"/>
      <c r="O67" s="1611" t="s">
        <v>1010</v>
      </c>
      <c r="P67" s="1602" t="s">
        <v>1527</v>
      </c>
      <c r="Q67" s="1649">
        <f ca="1">L51</f>
        <v>17</v>
      </c>
      <c r="R67" s="1603" t="s">
        <v>1547</v>
      </c>
    </row>
    <row r="68" spans="1:18" s="1567" customFormat="1" ht="16.5" thickBot="1">
      <c r="A68" s="1077" t="s">
        <v>1000</v>
      </c>
      <c r="B68" s="1078" t="s">
        <v>1450</v>
      </c>
      <c r="C68" s="306">
        <f ca="1">ROUND(C67*(1-((1+F70)/(1+F68))^F69)/(F68-F70),0)</f>
        <v>-536</v>
      </c>
      <c r="D68" s="1095" t="s">
        <v>1434</v>
      </c>
      <c r="E68" s="1080" t="s">
        <v>1435</v>
      </c>
      <c r="F68" s="317">
        <f ca="1">F40</f>
        <v>5.5E-2</v>
      </c>
      <c r="O68" s="1611" t="s">
        <v>1011</v>
      </c>
      <c r="P68" s="1650" t="s">
        <v>1548</v>
      </c>
      <c r="Q68" s="1603">
        <f ca="1">ROUND(Q69-Q70*Q71,0)</f>
        <v>1</v>
      </c>
      <c r="R68" s="1603" t="s">
        <v>1019</v>
      </c>
    </row>
    <row r="69" spans="1:18" s="1567" customFormat="1" ht="13.5" thickBot="1">
      <c r="A69" s="1081"/>
      <c r="B69" s="1082"/>
      <c r="C69" s="311"/>
      <c r="D69" s="1100" t="s">
        <v>1438</v>
      </c>
      <c r="E69" s="1080" t="s">
        <v>1439</v>
      </c>
      <c r="F69" s="338">
        <f ca="1">F41</f>
        <v>37.589999999999996</v>
      </c>
      <c r="O69" s="1611" t="s">
        <v>1016</v>
      </c>
      <c r="P69" s="1650" t="s">
        <v>1549</v>
      </c>
      <c r="Q69" s="1603">
        <f ca="1">C39</f>
        <v>35</v>
      </c>
      <c r="R69" s="1603" t="s">
        <v>1494</v>
      </c>
    </row>
    <row r="70" spans="1:18" s="1567" customFormat="1" ht="13.5" thickBot="1">
      <c r="A70" s="1084"/>
      <c r="B70" s="1085"/>
      <c r="C70" s="315"/>
      <c r="D70" s="1096"/>
      <c r="E70" s="1080" t="s">
        <v>1442</v>
      </c>
      <c r="F70" s="1184"/>
      <c r="O70" s="1611" t="s">
        <v>1017</v>
      </c>
      <c r="P70" s="1650" t="s">
        <v>1550</v>
      </c>
      <c r="Q70" s="1603">
        <f ca="1">C13</f>
        <v>401</v>
      </c>
      <c r="R70" s="1603" t="s">
        <v>1494</v>
      </c>
    </row>
    <row r="71" spans="1:18" s="1567" customFormat="1" ht="13.5" thickBot="1">
      <c r="A71" s="1101" t="s">
        <v>1001</v>
      </c>
      <c r="B71" s="1102" t="s">
        <v>1452</v>
      </c>
      <c r="C71" s="341">
        <f ca="1">ROUND(C68*10000/F71,0)</f>
        <v>-7833</v>
      </c>
      <c r="D71" s="1103" t="s">
        <v>1453</v>
      </c>
      <c r="E71" s="1104" t="s">
        <v>1454</v>
      </c>
      <c r="F71" s="344">
        <f ca="1">F43</f>
        <v>684.26</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5" t="s">
        <v>1471</v>
      </c>
      <c r="C75" s="346">
        <f ca="1">ROUND(C13*C76,0)</f>
        <v>34</v>
      </c>
      <c r="D75" s="1567"/>
      <c r="E75" s="1567"/>
      <c r="F75" s="1567"/>
      <c r="K75" s="1585"/>
      <c r="L75" s="1567"/>
      <c r="O75" s="1601" t="s">
        <v>1014</v>
      </c>
      <c r="P75" s="1602" t="s">
        <v>1514</v>
      </c>
      <c r="Q75" s="1603">
        <f ca="1">Q65+Q66</f>
        <v>832</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2.9000000000000026E-2</v>
      </c>
    </row>
    <row r="80" spans="1:18">
      <c r="B80" s="345" t="s">
        <v>1476</v>
      </c>
      <c r="C80" s="279">
        <f ca="1">ROUND(C75/C39,3)</f>
        <v>0.97099999999999997</v>
      </c>
    </row>
    <row r="81" spans="2:3">
      <c r="B81" s="275" t="s">
        <v>1477</v>
      </c>
      <c r="C81" s="243"/>
    </row>
    <row r="82" spans="2:3">
      <c r="B82" s="278" t="s">
        <v>1478</v>
      </c>
      <c r="C82" s="280">
        <f ca="1">1-C83</f>
        <v>0.51800000000000002</v>
      </c>
    </row>
    <row r="83" spans="2:3">
      <c r="B83" s="278" t="s">
        <v>1479</v>
      </c>
      <c r="C83" s="279">
        <f ca="1">ROUND(C13/C40,3)</f>
        <v>0.48199999999999998</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48</v>
      </c>
      <c r="D1" s="1545" t="s">
        <v>4746</v>
      </c>
      <c r="E1" s="1546" t="s">
        <v>1352</v>
      </c>
      <c r="F1" s="1192">
        <f ca="1">J53</f>
        <v>47.6</v>
      </c>
      <c r="G1" s="1561">
        <f>MATCH(C1,'数据-取费表'!A6:A16,0)+5</f>
        <v>13</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7097</v>
      </c>
      <c r="C2" s="1570" t="s">
        <v>1481</v>
      </c>
      <c r="D2" s="1570"/>
      <c r="E2" s="1571"/>
      <c r="F2" s="1572"/>
      <c r="G2" s="2932"/>
      <c r="H2" s="2921"/>
      <c r="I2" s="2921"/>
      <c r="J2" s="2921"/>
      <c r="K2" s="2922"/>
      <c r="L2" s="2921"/>
      <c r="M2" s="2921"/>
    </row>
    <row r="3" spans="1:37" ht="18" customHeight="1" thickBot="1">
      <c r="A3" s="1573" t="s">
        <v>1482</v>
      </c>
      <c r="B3" s="1574">
        <f ca="1">IF(ISERROR(B2*10000/F43),0,ROUND(B2*10000/F43,0))</f>
        <v>3911</v>
      </c>
      <c r="C3" s="1570" t="s">
        <v>1483</v>
      </c>
      <c r="D3" s="1570"/>
      <c r="E3" s="1571"/>
      <c r="F3" s="1572"/>
      <c r="G3" s="2932"/>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1">
        <f ca="1">C6+C10+C12</f>
        <v>288</v>
      </c>
      <c r="D5" s="1547" t="s">
        <v>1367</v>
      </c>
      <c r="E5" s="1202"/>
      <c r="F5" s="1203"/>
      <c r="G5" s="1567"/>
      <c r="H5" s="304">
        <v>1</v>
      </c>
      <c r="I5" s="305" t="s">
        <v>1366</v>
      </c>
      <c r="J5" s="1201">
        <f ca="1">J6+J10+J12</f>
        <v>0</v>
      </c>
      <c r="K5" s="1547" t="s">
        <v>1367</v>
      </c>
      <c r="L5" s="1202"/>
      <c r="M5" s="1203"/>
    </row>
    <row r="6" spans="1:37" ht="18" customHeight="1">
      <c r="A6" s="1200" t="s">
        <v>1003</v>
      </c>
      <c r="B6" s="3346" t="s">
        <v>1368</v>
      </c>
      <c r="C6" s="1205">
        <f ca="1">ROUND(F6*F8*F7*(1-F9)/10000,0)</f>
        <v>288</v>
      </c>
      <c r="D6" s="159" t="s">
        <v>2849</v>
      </c>
      <c r="E6" s="307" t="s">
        <v>1370</v>
      </c>
      <c r="F6" s="308">
        <f ca="1">INDIRECT("'数据-取费表'!u"&amp;$G$1)</f>
        <v>200</v>
      </c>
      <c r="G6" s="1567"/>
      <c r="H6" s="1200" t="s">
        <v>1003</v>
      </c>
      <c r="I6" s="3346" t="s">
        <v>1368</v>
      </c>
      <c r="J6" s="306">
        <f ca="1">ROUND(M6*M8*M7*(1-M9)/10000,0)</f>
        <v>0</v>
      </c>
      <c r="K6" s="159" t="s">
        <v>2848</v>
      </c>
      <c r="L6" s="307" t="s">
        <v>1370</v>
      </c>
      <c r="M6" s="308">
        <f ca="1">INDIRECT("'数据-取费表'!z"&amp;$G$1)</f>
        <v>0</v>
      </c>
    </row>
    <row r="7" spans="1:37" ht="18" customHeight="1">
      <c r="A7" s="1204"/>
      <c r="B7" s="3347"/>
      <c r="C7" s="1206"/>
      <c r="D7" s="312"/>
      <c r="E7" s="3085" t="s">
        <v>1371</v>
      </c>
      <c r="F7" s="308">
        <f ca="1">IF(INDIRECT("'数据-取费表'!ah"&amp;$G$1)="",INDIRECT("'数据-取费表'!k"&amp;$G$1),INDIRECT("'数据-取费表'!ah"&amp;$G$1))</f>
        <v>1414</v>
      </c>
      <c r="G7" s="1567"/>
      <c r="H7" s="309"/>
      <c r="I7" s="3347"/>
      <c r="J7" s="311"/>
      <c r="K7" s="312"/>
      <c r="L7" s="307" t="s">
        <v>1371</v>
      </c>
      <c r="M7" s="308">
        <f ca="1">F7</f>
        <v>1414</v>
      </c>
    </row>
    <row r="8" spans="1:37" ht="18" customHeight="1">
      <c r="A8" s="309"/>
      <c r="B8" s="3347"/>
      <c r="C8" s="311"/>
      <c r="D8" s="312"/>
      <c r="E8" s="307" t="s">
        <v>1372</v>
      </c>
      <c r="F8" s="308">
        <f ca="1">INDIRECT("'数据-取费表'!ai"&amp;$G$1)</f>
        <v>12</v>
      </c>
      <c r="G8" s="1567"/>
      <c r="H8" s="309"/>
      <c r="I8" s="3347"/>
      <c r="J8" s="311"/>
      <c r="K8" s="312"/>
      <c r="L8" s="307" t="s">
        <v>1372</v>
      </c>
      <c r="M8" s="308">
        <f ca="1">INDIRECT("'数据-取费表'!ai"&amp;$G$1)</f>
        <v>12</v>
      </c>
    </row>
    <row r="9" spans="1:37" ht="18" customHeight="1">
      <c r="A9" s="309"/>
      <c r="B9" s="3348"/>
      <c r="C9" s="311"/>
      <c r="D9" s="312"/>
      <c r="E9" s="307" t="s">
        <v>1373</v>
      </c>
      <c r="F9" s="317">
        <f ca="1">INDIRECT("'数据-取费表'!w"&amp;$G$1)</f>
        <v>0.15</v>
      </c>
      <c r="G9" s="1567"/>
      <c r="H9" s="309"/>
      <c r="I9" s="3348"/>
      <c r="J9" s="311"/>
      <c r="K9" s="312"/>
      <c r="L9" s="318" t="s">
        <v>1373</v>
      </c>
      <c r="M9" s="319">
        <f ca="1">INDIRECT("'数据-取费表'!ab"&amp;$G$1)</f>
        <v>0</v>
      </c>
    </row>
    <row r="10" spans="1:37" ht="18" customHeight="1">
      <c r="A10" s="1200" t="s">
        <v>1007</v>
      </c>
      <c r="B10" s="1548" t="s">
        <v>1374</v>
      </c>
      <c r="C10" s="321">
        <f ca="1">ROUND(IF(F10="押一",C6/12*F11,IF(F10="押二",C6/12*2*F11,IF(F10="押三",C6/12*3*F11,C11*F11))),0)</f>
        <v>0</v>
      </c>
      <c r="D10" s="1549" t="s">
        <v>2857</v>
      </c>
      <c r="E10" s="318" t="s">
        <v>1375</v>
      </c>
      <c r="F10" s="1275" t="s">
        <v>4747</v>
      </c>
      <c r="G10" s="1567"/>
      <c r="H10" s="1200" t="s">
        <v>1007</v>
      </c>
      <c r="I10" s="1548" t="s">
        <v>1374</v>
      </c>
      <c r="J10" s="306">
        <f ca="1">ROUND(IF(M10="押一",J6/12*M11,IF(M10="押二",J6/12*2*M11,IF(M10="押三",J6/12*3*M11,J11*M11))),0)</f>
        <v>0</v>
      </c>
      <c r="K10" s="1549" t="s">
        <v>2856</v>
      </c>
      <c r="L10" s="318" t="s">
        <v>1375</v>
      </c>
      <c r="M10" s="1275" t="s">
        <v>1376</v>
      </c>
    </row>
    <row r="11" spans="1:37" ht="18" customHeight="1">
      <c r="A11" s="313"/>
      <c r="B11" s="1550" t="s">
        <v>1353</v>
      </c>
      <c r="C11" s="1089"/>
      <c r="D11" s="1551"/>
      <c r="E11" s="318" t="s">
        <v>1377</v>
      </c>
      <c r="F11" s="319">
        <f ca="1">'数据-取费表'!B39</f>
        <v>1.4999999999999999E-2</v>
      </c>
      <c r="G11" s="1567"/>
      <c r="H11" s="1208"/>
      <c r="I11" s="1550" t="s">
        <v>1353</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7245</v>
      </c>
      <c r="D13" s="3077" t="s">
        <v>1380</v>
      </c>
      <c r="E13" s="3077" t="s">
        <v>1381</v>
      </c>
      <c r="F13" s="1241">
        <f ca="1">INDIRECT("'数据-取费表'!y"&amp;$G$1)</f>
        <v>1</v>
      </c>
      <c r="G13" s="1567"/>
      <c r="H13" s="1238">
        <v>2</v>
      </c>
      <c r="I13" s="1239" t="s">
        <v>1379</v>
      </c>
      <c r="J13" s="1199">
        <f ca="1">ROUND(J14*J15,0)</f>
        <v>0</v>
      </c>
      <c r="K13" s="1246" t="s">
        <v>1380</v>
      </c>
      <c r="L13" s="1575"/>
      <c r="M13" s="1576"/>
    </row>
    <row r="14" spans="1:37" ht="18" customHeight="1">
      <c r="A14" s="1112" t="s">
        <v>1002</v>
      </c>
      <c r="B14" s="307" t="s">
        <v>1382</v>
      </c>
      <c r="C14" s="323">
        <f ca="1">INDIRECT("'数据-取费表'!m"&amp;$G$1)+INDIRECT("'数据-取费表'!t"&amp;$G$1)</f>
        <v>5444</v>
      </c>
      <c r="D14" s="3081" t="s">
        <v>1383</v>
      </c>
      <c r="E14" s="3079"/>
      <c r="F14" s="324"/>
      <c r="G14" s="1567"/>
      <c r="H14" s="1112" t="s">
        <v>1003</v>
      </c>
      <c r="I14" s="307" t="s">
        <v>1384</v>
      </c>
      <c r="J14" s="24">
        <f ca="1">C29</f>
        <v>7245</v>
      </c>
      <c r="K14" s="3084"/>
      <c r="L14" s="915"/>
      <c r="M14" s="916"/>
    </row>
    <row r="15" spans="1:37" s="1580" customFormat="1" ht="18" customHeight="1" thickBot="1">
      <c r="A15" s="1112" t="s">
        <v>1004</v>
      </c>
      <c r="B15" s="307" t="s">
        <v>1385</v>
      </c>
      <c r="C15" s="24">
        <f ca="1">ROUND(C14*F15,0)</f>
        <v>163</v>
      </c>
      <c r="D15" s="3078" t="s">
        <v>1386</v>
      </c>
      <c r="E15" s="3078" t="s">
        <v>1387</v>
      </c>
      <c r="F15" s="326">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7"/>
      <c r="H16" s="1238" t="s">
        <v>998</v>
      </c>
      <c r="I16" s="1239" t="s">
        <v>1389</v>
      </c>
      <c r="J16" s="315">
        <f ca="1">ROUND(J17+J22+J23+J24,0)</f>
        <v>4</v>
      </c>
      <c r="K16" s="1246" t="s">
        <v>1390</v>
      </c>
      <c r="L16" s="3082"/>
      <c r="M16" s="1203"/>
    </row>
    <row r="17" spans="1:37" s="1580" customFormat="1" ht="18" customHeight="1">
      <c r="A17" s="1112" t="s">
        <v>1355</v>
      </c>
      <c r="B17" s="307" t="s">
        <v>1391</v>
      </c>
      <c r="C17" s="24">
        <f ca="1">ROUND(F17*(F43+INDIRECT("'数据-取费表'!S"&amp;$G$1))/10000,0)</f>
        <v>363</v>
      </c>
      <c r="D17" s="307" t="s">
        <v>1392</v>
      </c>
      <c r="E17" s="307" t="s">
        <v>1393</v>
      </c>
      <c r="F17" s="26">
        <f>'数据-取费表'!B35</f>
        <v>200</v>
      </c>
      <c r="G17" s="1579"/>
      <c r="H17" s="1112" t="s">
        <v>1003</v>
      </c>
      <c r="I17" s="307" t="s">
        <v>1394</v>
      </c>
      <c r="J17" s="2531">
        <f ca="1">ROUND(IF(AND(项目基本情况!B11="自然人",项目基本情况!B10="北京市"),J6*M17/(1+'数据-取费表'!C42),J18+J19+J20),0)</f>
        <v>4</v>
      </c>
      <c r="K17" s="3081" t="s">
        <v>1395</v>
      </c>
      <c r="L17" s="3080" t="s">
        <v>1396</v>
      </c>
      <c r="M17" s="2530">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82</v>
      </c>
      <c r="D18" s="307" t="s">
        <v>1386</v>
      </c>
      <c r="E18" s="307" t="s">
        <v>1387</v>
      </c>
      <c r="F18" s="327">
        <f>'数据-取费表'!B36</f>
        <v>1.4999999999999999E-2</v>
      </c>
      <c r="G18" s="1579"/>
      <c r="H18" s="1112" t="s">
        <v>1002</v>
      </c>
      <c r="I18" s="307" t="s">
        <v>1398</v>
      </c>
      <c r="J18" s="24">
        <f ca="1">ROUND(J6*M18/(1+'数据-取费表'!C42),2)</f>
        <v>0</v>
      </c>
      <c r="K18" s="3080"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6052</v>
      </c>
      <c r="D19" s="135" t="s">
        <v>1401</v>
      </c>
      <c r="E19" s="3087"/>
      <c r="F19" s="26"/>
      <c r="G19" s="1567"/>
      <c r="H19" s="1112" t="s">
        <v>1004</v>
      </c>
      <c r="I19" s="307" t="s">
        <v>1402</v>
      </c>
      <c r="J19" s="24">
        <f ca="1">IF(K19="按租金收入计税",ROUND(J6*M19/(1+'数据-取费表'!C42),2),ROUND(C29*M19*0.7,2))</f>
        <v>0</v>
      </c>
      <c r="K19" s="1553" t="s">
        <v>4748</v>
      </c>
      <c r="L19" s="307" t="s">
        <v>1387</v>
      </c>
      <c r="M19" s="327">
        <f>IF(K19="按租金收入计税",'数据-取费表'!B51,'数据-取费表'!B50)</f>
        <v>0.12</v>
      </c>
    </row>
    <row r="20" spans="1:37" s="1580" customFormat="1" ht="18" customHeight="1">
      <c r="A20" s="1112" t="s">
        <v>1007</v>
      </c>
      <c r="B20" s="307" t="s">
        <v>1404</v>
      </c>
      <c r="C20" s="24">
        <f ca="1">ROUND(C19*F20,0)</f>
        <v>121</v>
      </c>
      <c r="D20" s="328" t="s">
        <v>1405</v>
      </c>
      <c r="E20" s="307" t="s">
        <v>1387</v>
      </c>
      <c r="F20" s="327">
        <f>'数据-取费表'!B37</f>
        <v>0.02</v>
      </c>
      <c r="G20" s="1579"/>
      <c r="H20" s="1112" t="s">
        <v>1354</v>
      </c>
      <c r="I20" s="159" t="s">
        <v>1406</v>
      </c>
      <c r="J20" s="25">
        <f ca="1">ROUND(M20*M21/10000,2)</f>
        <v>3.93</v>
      </c>
      <c r="K20" s="329" t="s">
        <v>1407</v>
      </c>
      <c r="L20" s="307" t="s">
        <v>1408</v>
      </c>
      <c r="M20" s="330">
        <f>'数据-取费表'!B52</f>
        <v>6</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18</v>
      </c>
      <c r="D21" s="328" t="s">
        <v>1410</v>
      </c>
      <c r="E21" s="307" t="s">
        <v>1411</v>
      </c>
      <c r="F21" s="327">
        <f>'数据-取费表'!B38</f>
        <v>0.03</v>
      </c>
      <c r="G21" s="1579"/>
      <c r="H21" s="331"/>
      <c r="I21" s="316"/>
      <c r="J21" s="29"/>
      <c r="K21" s="332"/>
      <c r="L21" s="307" t="s">
        <v>1412</v>
      </c>
      <c r="M21" s="308">
        <f ca="1">INDIRECT("'数据-取费表'!r"&amp;$G$1)</f>
        <v>6553.11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3087"/>
      <c r="F22" s="26"/>
      <c r="G22" s="1567"/>
      <c r="H22" s="1112" t="s">
        <v>1007</v>
      </c>
      <c r="I22" s="307" t="s">
        <v>1414</v>
      </c>
      <c r="J22" s="24">
        <f ca="1">ROUND(J14*M22,1)</f>
        <v>0</v>
      </c>
      <c r="K22" s="3080" t="s">
        <v>1415</v>
      </c>
      <c r="L22" s="307" t="s">
        <v>1387</v>
      </c>
      <c r="M22" s="333">
        <f ca="1">INDIRECT("'数据-取费表'!Ak"&amp;$G$1)</f>
        <v>0</v>
      </c>
    </row>
    <row r="23" spans="1:37" s="1580" customFormat="1" ht="18" customHeight="1">
      <c r="A23" s="1112" t="s">
        <v>1002</v>
      </c>
      <c r="B23" s="307" t="s">
        <v>1416</v>
      </c>
      <c r="C23" s="24">
        <f ca="1">IF('数据-取费表'!B22&lt;=1,ROUND(C19*F24*F23/2,0)+ROUND(C20*F24*F23/2,0),ROUND(C19*(POWER((1+F24),F23/2)-1),0)+ROUND(C20*(POWER((1+F24),F23/2)-1),0))</f>
        <v>268</v>
      </c>
      <c r="D23" s="334" t="str">
        <f>IF(F23&lt;=1,"(建造成本+管理费用)×利率×(建设周期÷2)","(建造成本+管理费用)×((1+利率)^(建设周期÷2)-1)")</f>
        <v>(建造成本+管理费用)×((1+利率)^(建设周期÷2)-1)</v>
      </c>
      <c r="E23" s="307" t="s">
        <v>1417</v>
      </c>
      <c r="F23" s="330">
        <f>'数据-取费表'!B20</f>
        <v>2</v>
      </c>
      <c r="G23" s="1579"/>
      <c r="H23" s="1112" t="s">
        <v>1043</v>
      </c>
      <c r="I23" s="307" t="s">
        <v>1418</v>
      </c>
      <c r="J23" s="24">
        <f ca="1">ROUND(J13*M23,1)</f>
        <v>0</v>
      </c>
      <c r="K23" s="3080"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1.2999999999999999E-3</v>
      </c>
      <c r="D24" s="334" t="str">
        <f>IF(F23&lt;=1,"销售费用×利率×(建设周期÷2)","销售费用×((1+利率)^(建设周期÷2)-1)")</f>
        <v>销售费用×((1+利率)^(建设周期÷2)-1)</v>
      </c>
      <c r="E24" s="307" t="s">
        <v>1423</v>
      </c>
      <c r="F24" s="336">
        <f ca="1">'数据-取费表'!B40</f>
        <v>4.3499999999999997E-2</v>
      </c>
      <c r="G24" s="1579"/>
      <c r="H24" s="1248" t="s">
        <v>1358</v>
      </c>
      <c r="I24" s="1249" t="s">
        <v>1404</v>
      </c>
      <c r="J24" s="1250">
        <f ca="1">ROUND(J5*M24,1)</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7" t="s">
        <v>1426</v>
      </c>
      <c r="C25" s="24"/>
      <c r="D25" s="135" t="s">
        <v>1427</v>
      </c>
      <c r="E25" s="3087"/>
      <c r="F25" s="26"/>
      <c r="G25" s="1567"/>
      <c r="H25" s="1238" t="s">
        <v>999</v>
      </c>
      <c r="I25" s="1253" t="s">
        <v>1428</v>
      </c>
      <c r="J25" s="315">
        <f ca="1">J5-J16</f>
        <v>-4</v>
      </c>
      <c r="K25" s="1254" t="s">
        <v>1429</v>
      </c>
      <c r="L25" s="1255"/>
      <c r="M25" s="1256"/>
    </row>
    <row r="26" spans="1:37">
      <c r="A26" s="1112" t="s">
        <v>1002</v>
      </c>
      <c r="B26" s="307" t="s">
        <v>1430</v>
      </c>
      <c r="C26" s="24">
        <f ca="1">ROUND((C19+C20)*F26,0)</f>
        <v>185</v>
      </c>
      <c r="D26" s="328" t="s">
        <v>1431</v>
      </c>
      <c r="E26" s="318" t="s">
        <v>1432</v>
      </c>
      <c r="F26" s="317">
        <f ca="1">INDIRECT("'数据-取费表'!q"&amp;$G$1)</f>
        <v>0.03</v>
      </c>
      <c r="G26" s="1567"/>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12" t="s">
        <v>1004</v>
      </c>
      <c r="B27" s="307" t="s">
        <v>1436</v>
      </c>
      <c r="C27" s="24">
        <f ca="1">ROUND(F21*F26,4)</f>
        <v>8.9999999999999998E-4</v>
      </c>
      <c r="D27" s="328" t="s">
        <v>1437</v>
      </c>
      <c r="E27" s="3078"/>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7245</v>
      </c>
      <c r="D29" s="1251"/>
      <c r="E29" s="1249"/>
      <c r="F29" s="1252"/>
      <c r="G29" s="1579"/>
      <c r="H29" s="339" t="s">
        <v>1001</v>
      </c>
      <c r="I29" s="340" t="s">
        <v>1444</v>
      </c>
      <c r="J29" s="341">
        <f ca="1">ROUND(J26/(1+F40)^F41,0)</f>
        <v>0</v>
      </c>
      <c r="K29" s="342" t="s">
        <v>1445</v>
      </c>
      <c r="L29" s="343"/>
      <c r="M29" s="344">
        <f ca="1">INDIRECT("'数据-取费表'!k"&amp;$G$1)</f>
        <v>18146.759999999813</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52</v>
      </c>
      <c r="D30" s="1246" t="s">
        <v>1390</v>
      </c>
      <c r="E30" s="3082"/>
      <c r="F30" s="1203"/>
      <c r="G30" s="1567"/>
      <c r="H30" s="2923"/>
      <c r="I30" s="1581"/>
      <c r="J30" s="1582"/>
      <c r="K30" s="2698"/>
      <c r="L30" s="2924"/>
      <c r="M30" s="2925"/>
    </row>
    <row r="31" spans="1:37" ht="18" customHeight="1">
      <c r="A31" s="1112" t="s">
        <v>1003</v>
      </c>
      <c r="B31" s="307" t="s">
        <v>1394</v>
      </c>
      <c r="C31" s="2531">
        <f ca="1">ROUND(IF(AND(项目基本情况!B11="自然人",项目基本情况!B10="北京市"),C6*F31/(1+'数据-取费表'!C42),C32+C33+C34),0)</f>
        <v>52</v>
      </c>
      <c r="D31" s="3081" t="s">
        <v>1395</v>
      </c>
      <c r="E31" s="3080" t="s">
        <v>1446</v>
      </c>
      <c r="F31" s="2530">
        <f ca="1">IF(项目基本情况!B11="企业","——",IF('数据-取费表'!B10="住宅",IF(F6*F7*F8/12/(1+'数据-取费表'!F30)&gt;100000,4%,2.5%),IF(F6*F7*F8/12/(1+'数据-取费表'!F30)&gt;100000,12%,7%)))</f>
        <v>0.12</v>
      </c>
      <c r="G31" s="1567"/>
      <c r="H31" s="3036" t="s">
        <v>3047</v>
      </c>
      <c r="I31" s="1581"/>
      <c r="J31" s="1582"/>
      <c r="K31" s="2698"/>
      <c r="L31" s="2924"/>
      <c r="M31" s="2925"/>
    </row>
    <row r="32" spans="1:37" ht="18" customHeight="1">
      <c r="A32" s="1112" t="s">
        <v>1002</v>
      </c>
      <c r="B32" s="307" t="s">
        <v>1398</v>
      </c>
      <c r="C32" s="24">
        <f ca="1">IF(项目基本情况!B11="自然人","——",ROUND(C6*F32/(1+'数据-取费表'!C42),2))</f>
        <v>15.36</v>
      </c>
      <c r="D32" s="3080" t="s">
        <v>1399</v>
      </c>
      <c r="E32" s="307" t="s">
        <v>1387</v>
      </c>
      <c r="F32" s="336">
        <f>'数据-取费表'!B41</f>
        <v>5.6000000000000001E-2</v>
      </c>
      <c r="G32" s="1567"/>
      <c r="H32" s="2923"/>
      <c r="I32" s="1581"/>
      <c r="J32" s="1582"/>
      <c r="K32" s="2698"/>
      <c r="L32" s="2924"/>
      <c r="M32" s="2925"/>
    </row>
    <row r="33" spans="1:18" ht="18" customHeight="1">
      <c r="A33" s="1112" t="s">
        <v>1004</v>
      </c>
      <c r="B33" s="307" t="s">
        <v>1402</v>
      </c>
      <c r="C33" s="24">
        <f ca="1">IF(项目基本情况!B11="自然人","——",IF(D33="按租金收入计税",ROUND(C6*F33/(1+'数据-取费表'!C42),2),IF(D33="按房产原值计税",ROUND(C29*F33*0.7,2),INDIRECT("'数据-取费表'!Aj"&amp;$G$1))))</f>
        <v>32.909999999999997</v>
      </c>
      <c r="D33" s="1553" t="s">
        <v>4748</v>
      </c>
      <c r="E33" s="307" t="s">
        <v>1387</v>
      </c>
      <c r="F33" s="327">
        <f>IF(D33="按票据","——",IF(D33="按租金收入计税",'数据-取费表'!B51,'数据-取费表'!B50))</f>
        <v>0.12</v>
      </c>
      <c r="G33" s="1567"/>
      <c r="H33" s="2926"/>
      <c r="I33" s="1581"/>
      <c r="J33" s="1582"/>
      <c r="K33" s="2927"/>
      <c r="L33" s="2926"/>
      <c r="M33" s="2926"/>
    </row>
    <row r="34" spans="1:18" ht="18" customHeight="1">
      <c r="A34" s="1200" t="s">
        <v>1354</v>
      </c>
      <c r="B34" s="159" t="s">
        <v>1406</v>
      </c>
      <c r="C34" s="25">
        <f ca="1">IF(项目基本情况!B11="自然人","——",ROUND(F34*F35/10000,2))</f>
        <v>3.93</v>
      </c>
      <c r="D34" s="329" t="s">
        <v>1407</v>
      </c>
      <c r="E34" s="307" t="s">
        <v>1408</v>
      </c>
      <c r="F34" s="330">
        <f>'数据-取费表'!B52</f>
        <v>6</v>
      </c>
      <c r="G34" s="1567"/>
      <c r="H34" s="2923"/>
      <c r="I34" s="1581"/>
      <c r="J34" s="1582"/>
      <c r="K34" s="2928"/>
      <c r="L34" s="2929"/>
      <c r="M34" s="2929"/>
    </row>
    <row r="35" spans="1:18" ht="18" customHeight="1">
      <c r="A35" s="1262"/>
      <c r="B35" s="1260"/>
      <c r="C35" s="29"/>
      <c r="D35" s="332"/>
      <c r="E35" s="307" t="s">
        <v>1412</v>
      </c>
      <c r="F35" s="308">
        <f ca="1">INDIRECT("'数据-取费表'!r"&amp;$G$1)</f>
        <v>6553.11</v>
      </c>
      <c r="G35" s="1567"/>
      <c r="H35" s="2923"/>
      <c r="I35" s="1581"/>
      <c r="J35" s="1582"/>
      <c r="K35" s="2927"/>
      <c r="L35" s="2926"/>
      <c r="M35" s="2926"/>
    </row>
    <row r="36" spans="1:18" ht="18" customHeight="1">
      <c r="A36" s="1261" t="s">
        <v>1007</v>
      </c>
      <c r="B36" s="307" t="s">
        <v>1414</v>
      </c>
      <c r="C36" s="24">
        <f ca="1">ROUND(C29*F36,1)</f>
        <v>0</v>
      </c>
      <c r="D36" s="3080" t="s">
        <v>1447</v>
      </c>
      <c r="E36" s="307" t="s">
        <v>1387</v>
      </c>
      <c r="F36" s="333">
        <f ca="1">INDIRECT("'数据-取费表'!Ak"&amp;$G$1)</f>
        <v>0</v>
      </c>
      <c r="G36" s="1567"/>
      <c r="H36" s="2926"/>
      <c r="I36" s="1581"/>
      <c r="J36" s="1582"/>
      <c r="K36" s="2767"/>
      <c r="L36" s="2926"/>
      <c r="M36" s="2926"/>
    </row>
    <row r="37" spans="1:18" ht="18" customHeight="1">
      <c r="A37" s="1112" t="s">
        <v>1043</v>
      </c>
      <c r="B37" s="307" t="s">
        <v>1418</v>
      </c>
      <c r="C37" s="24">
        <f ca="1">ROUND(C13*F37,1)</f>
        <v>0</v>
      </c>
      <c r="D37" s="3080" t="s">
        <v>1419</v>
      </c>
      <c r="E37" s="307" t="s">
        <v>1420</v>
      </c>
      <c r="F37" s="335">
        <f ca="1">INDIRECT("'数据-取费表'!Al"&amp;$G$1)</f>
        <v>0</v>
      </c>
      <c r="G37" s="1567"/>
      <c r="H37" s="2926"/>
      <c r="I37" s="1581"/>
      <c r="J37" s="1582"/>
      <c r="K37" s="2767"/>
      <c r="L37" s="2926"/>
      <c r="M37" s="2926"/>
    </row>
    <row r="38" spans="1:18" ht="18" customHeight="1" thickBot="1">
      <c r="A38" s="1248" t="s">
        <v>1358</v>
      </c>
      <c r="B38" s="1249" t="s">
        <v>1404</v>
      </c>
      <c r="C38" s="1250">
        <f ca="1">ROUND(C5*F38,1)</f>
        <v>0</v>
      </c>
      <c r="D38" s="1251" t="s">
        <v>1424</v>
      </c>
      <c r="E38" s="1249" t="s">
        <v>1420</v>
      </c>
      <c r="F38" s="1245">
        <f ca="1">INDIRECT("'数据-取费表'!Am"&amp;$G$1)</f>
        <v>0</v>
      </c>
      <c r="G38" s="1567"/>
      <c r="H38" s="2926"/>
      <c r="I38" s="1581"/>
      <c r="J38" s="1582"/>
      <c r="K38" s="2930"/>
      <c r="L38" s="2926"/>
      <c r="M38" s="2926"/>
    </row>
    <row r="39" spans="1:18" ht="24.6" customHeight="1" thickTop="1">
      <c r="A39" s="1238" t="s">
        <v>999</v>
      </c>
      <c r="B39" s="1253" t="s">
        <v>1448</v>
      </c>
      <c r="C39" s="315">
        <f ca="1">C5-C30</f>
        <v>236</v>
      </c>
      <c r="D39" s="1254" t="s">
        <v>1449</v>
      </c>
      <c r="E39" s="1255"/>
      <c r="F39" s="1256"/>
      <c r="G39" s="1567"/>
      <c r="H39" s="2926"/>
      <c r="I39" s="1581"/>
      <c r="J39" s="1582"/>
      <c r="K39" s="2930"/>
      <c r="L39" s="2926"/>
      <c r="M39" s="2926"/>
    </row>
    <row r="40" spans="1:18" ht="18" customHeight="1">
      <c r="A40" s="304" t="s">
        <v>1000</v>
      </c>
      <c r="B40" s="305" t="s">
        <v>1450</v>
      </c>
      <c r="C40" s="306">
        <f ca="1">ROUND(C39*(1-((1+F42)/(1+F40))^F41)/(F40-F42),0)</f>
        <v>7097</v>
      </c>
      <c r="D40" s="329" t="s">
        <v>1434</v>
      </c>
      <c r="E40" s="307" t="s">
        <v>1435</v>
      </c>
      <c r="F40" s="317">
        <f ca="1">INDIRECT("'数据-取费表'!I"&amp;$G$1)</f>
        <v>4.4999999999999998E-2</v>
      </c>
      <c r="G40" s="1567"/>
      <c r="H40" s="1644"/>
      <c r="I40" s="1581"/>
      <c r="J40" s="1582"/>
      <c r="K40" s="2930"/>
      <c r="L40" s="1644"/>
      <c r="M40" s="1644"/>
    </row>
    <row r="41" spans="1:18" ht="18" customHeight="1">
      <c r="A41" s="309"/>
      <c r="B41" s="310"/>
      <c r="C41" s="311"/>
      <c r="D41" s="337" t="s">
        <v>1451</v>
      </c>
      <c r="E41" s="307" t="s">
        <v>1439</v>
      </c>
      <c r="F41" s="338">
        <f ca="1">IF(INDIRECT("'数据-取费表'!af"&amp;$G$1)=0,INDIRECT("'数据-取费表'!ae"&amp;$G$1),INDIRECT("'数据-取费表'!af"&amp;$G$1))</f>
        <v>47.6</v>
      </c>
      <c r="G41" s="1567"/>
      <c r="H41" s="1352"/>
      <c r="I41" s="1581"/>
      <c r="J41" s="1582"/>
      <c r="K41" s="2767"/>
      <c r="L41" s="1352"/>
      <c r="M41" s="1352"/>
    </row>
    <row r="42" spans="1:18" ht="18" customHeight="1">
      <c r="A42" s="313"/>
      <c r="B42" s="314"/>
      <c r="C42" s="315"/>
      <c r="D42" s="332"/>
      <c r="E42" s="307" t="s">
        <v>1442</v>
      </c>
      <c r="F42" s="317">
        <f ca="1">INDIRECT("'数据-取费表'!v"&amp;$G$1)</f>
        <v>2.5000000000000001E-2</v>
      </c>
      <c r="G42" s="1567"/>
      <c r="H42" s="1352"/>
      <c r="I42" s="1581"/>
      <c r="J42" s="1582"/>
      <c r="K42" s="2767"/>
      <c r="L42" s="1352"/>
      <c r="M42" s="1352"/>
    </row>
    <row r="43" spans="1:18" ht="18" customHeight="1" thickBot="1">
      <c r="A43" s="339" t="s">
        <v>1001</v>
      </c>
      <c r="B43" s="340" t="s">
        <v>1452</v>
      </c>
      <c r="C43" s="341">
        <f ca="1">ROUND(C40*10000/F43,0)</f>
        <v>3911</v>
      </c>
      <c r="D43" s="342" t="s">
        <v>1453</v>
      </c>
      <c r="E43" s="343" t="s">
        <v>1454</v>
      </c>
      <c r="F43" s="344">
        <f ca="1">INDIRECT("'数据-取费表'!k"&amp;$G$1)</f>
        <v>18146.759999999813</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1" t="s">
        <v>1484</v>
      </c>
      <c r="P45" s="1644"/>
      <c r="Q45" s="1644"/>
      <c r="R45" s="1644"/>
    </row>
    <row r="46" spans="1:18" s="1567" customFormat="1" ht="13.5" thickBot="1">
      <c r="A46" s="1587" t="s">
        <v>1485</v>
      </c>
      <c r="C46" s="1588">
        <f ca="1">C68-C40</f>
        <v>-19043</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t="s">
        <v>4695</v>
      </c>
      <c r="K47" s="1599" t="s">
        <v>1492</v>
      </c>
      <c r="L47" s="1600">
        <f ca="1">INDIRECT("'数据-取费表'!d"&amp;$G$1)</f>
        <v>50</v>
      </c>
      <c r="M47" s="1563" t="str">
        <f>IF(ISNUMBER(FIND("住宅",C1)),"住宅","非住宅")</f>
        <v>非住宅</v>
      </c>
      <c r="O47" s="1601" t="s">
        <v>1008</v>
      </c>
      <c r="P47" s="1602" t="s">
        <v>1493</v>
      </c>
      <c r="Q47" s="1603">
        <f ca="1">C40+J29</f>
        <v>7097</v>
      </c>
      <c r="R47" s="1603" t="s">
        <v>1494</v>
      </c>
    </row>
    <row r="48" spans="1:18" s="1567" customFormat="1" ht="28.5" thickBot="1">
      <c r="A48" s="1269" t="s">
        <v>1103</v>
      </c>
      <c r="B48" s="305" t="s">
        <v>1366</v>
      </c>
      <c r="C48" s="3086">
        <f ca="1">C49+C53+C55</f>
        <v>0</v>
      </c>
      <c r="D48" s="1271"/>
      <c r="E48" s="1272"/>
      <c r="F48" s="1092"/>
      <c r="G48" s="730"/>
      <c r="H48" s="731"/>
      <c r="I48" s="1604" t="s">
        <v>1495</v>
      </c>
      <c r="J48" s="1605" t="s">
        <v>4749</v>
      </c>
      <c r="K48" s="1606" t="s">
        <v>1496</v>
      </c>
      <c r="L48" s="1607">
        <f ca="1">INDIRECT("'数据-取费表'!f"&amp;$G$1)</f>
        <v>48.7</v>
      </c>
      <c r="O48" s="1601" t="s">
        <v>1009</v>
      </c>
      <c r="P48" s="1602" t="s">
        <v>1497</v>
      </c>
      <c r="Q48" s="1603" t="str">
        <f ca="1">J60</f>
        <v>0</v>
      </c>
      <c r="R48" s="1603" t="s">
        <v>1498</v>
      </c>
    </row>
    <row r="49" spans="1:18" s="1567" customFormat="1" ht="13.5" thickBot="1">
      <c r="A49" s="1105" t="s">
        <v>1104</v>
      </c>
      <c r="B49" s="1554" t="s">
        <v>1455</v>
      </c>
      <c r="C49" s="1273">
        <f ca="1">ROUND(F49*F51*F50*(1-F52)/10000,0)</f>
        <v>0</v>
      </c>
      <c r="D49" s="1185" t="s">
        <v>2848</v>
      </c>
      <c r="E49" s="1555" t="s">
        <v>1456</v>
      </c>
      <c r="F49" s="1190"/>
      <c r="G49" s="1608"/>
      <c r="H49" s="731"/>
      <c r="I49" s="1604" t="s">
        <v>1499</v>
      </c>
      <c r="J49" s="1609">
        <v>2023</v>
      </c>
      <c r="K49" s="1606" t="s">
        <v>1500</v>
      </c>
      <c r="L49" s="1610"/>
      <c r="O49" s="1611" t="s">
        <v>1010</v>
      </c>
      <c r="P49" s="1602" t="s">
        <v>1501</v>
      </c>
      <c r="Q49" s="1603">
        <f ca="1">C29</f>
        <v>7245</v>
      </c>
      <c r="R49" s="1603" t="s">
        <v>1494</v>
      </c>
    </row>
    <row r="50" spans="1:18" s="1567" customFormat="1" ht="13.5" thickBot="1">
      <c r="A50" s="1106"/>
      <c r="B50" s="1109"/>
      <c r="C50" s="1277"/>
      <c r="D50" s="1083"/>
      <c r="E50" s="1186" t="s">
        <v>1371</v>
      </c>
      <c r="F50" s="1187">
        <f ca="1">F7</f>
        <v>1414</v>
      </c>
      <c r="H50" s="731"/>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8">
        <f ca="1">F8</f>
        <v>12</v>
      </c>
      <c r="I51" s="1615" t="s">
        <v>1505</v>
      </c>
      <c r="J51" s="1616">
        <f>IF(J49="",J50,J49+J50-YEAR('数据-取费表'!B2))</f>
        <v>62</v>
      </c>
      <c r="K51" s="1617" t="s">
        <v>1506</v>
      </c>
      <c r="L51" s="1618">
        <f ca="1">ROUND(-PV(INDIRECT("'数据-取费表'!h"&amp;$G$1),J51,(C39-C13*C76),0),0)</f>
        <v>-8661</v>
      </c>
      <c r="M51" s="1619"/>
      <c r="O51" s="1611" t="s">
        <v>1012</v>
      </c>
      <c r="P51" s="1602" t="s">
        <v>1507</v>
      </c>
      <c r="Q51" s="1614">
        <f>J52</f>
        <v>0.09</v>
      </c>
      <c r="R51" s="1603"/>
    </row>
    <row r="52" spans="1:18" s="1567" customFormat="1" ht="13.5" thickBot="1">
      <c r="A52" s="1107"/>
      <c r="B52" s="1109"/>
      <c r="C52" s="1110"/>
      <c r="D52" s="1083"/>
      <c r="E52" s="1111" t="s">
        <v>1373</v>
      </c>
      <c r="F52" s="1184"/>
      <c r="I52" s="1620" t="s">
        <v>1508</v>
      </c>
      <c r="J52" s="1621">
        <v>0.09</v>
      </c>
      <c r="K52" s="1620" t="s">
        <v>1509</v>
      </c>
      <c r="L52" s="1621"/>
      <c r="O52" s="1611" t="s">
        <v>1013</v>
      </c>
      <c r="P52" s="1602" t="s">
        <v>1510</v>
      </c>
      <c r="Q52" s="1603">
        <f ca="1">J53</f>
        <v>47.6</v>
      </c>
      <c r="R52" s="1603" t="s">
        <v>1511</v>
      </c>
    </row>
    <row r="53" spans="1:18" s="1567" customFormat="1" ht="24.75" thickBot="1">
      <c r="A53" s="1313" t="s">
        <v>1105</v>
      </c>
      <c r="B53" s="1556" t="s">
        <v>1374</v>
      </c>
      <c r="C53" s="321">
        <f ca="1">ROUND(IF(F53="押一",C49/12*F11,IF(F53="押二",C49/12*2*F11,IF(F53="押三",C49/12*3*F11,C54*F11))),0)</f>
        <v>0</v>
      </c>
      <c r="D53" s="1549" t="s">
        <v>2856</v>
      </c>
      <c r="E53" s="318" t="s">
        <v>1375</v>
      </c>
      <c r="F53" s="1275"/>
      <c r="I53" s="1622" t="s">
        <v>1512</v>
      </c>
      <c r="J53" s="2383">
        <f ca="1">IF(M47="住宅",IF(D1="——",MAX(J51,L48),MAX(J51,L48-'数据-取费表'!B24)),IF(D1="——",MIN(J51,L48),MIN(J51,L48-'数据-取费表'!B24)))</f>
        <v>47.6</v>
      </c>
      <c r="K53" s="3344" t="s">
        <v>1513</v>
      </c>
      <c r="L53" s="3345"/>
      <c r="O53" s="1601" t="s">
        <v>1014</v>
      </c>
      <c r="P53" s="1602" t="s">
        <v>1514</v>
      </c>
      <c r="Q53" s="1603">
        <f ca="1">Q47+Q48</f>
        <v>7097</v>
      </c>
      <c r="R53" s="1603" t="s">
        <v>1015</v>
      </c>
    </row>
    <row r="54" spans="1:18" s="1567" customFormat="1" ht="13.5" thickBot="1">
      <c r="A54" s="1314"/>
      <c r="B54" s="1550" t="s">
        <v>1353</v>
      </c>
      <c r="C54" s="1089"/>
      <c r="D54" s="1549"/>
      <c r="E54" s="3083"/>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3083"/>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7">
        <v>2</v>
      </c>
      <c r="B56" s="1088" t="s">
        <v>1379</v>
      </c>
      <c r="C56" s="237">
        <f ca="1">C13</f>
        <v>7245</v>
      </c>
      <c r="D56" s="1630"/>
      <c r="E56" s="1631"/>
      <c r="F56" s="1623"/>
      <c r="I56" s="1632" t="s">
        <v>1519</v>
      </c>
      <c r="J56" s="1633" t="s">
        <v>4539</v>
      </c>
      <c r="K56" s="1604" t="s">
        <v>1520</v>
      </c>
      <c r="L56" s="1607" t="str">
        <f ca="1">IF(L48&lt;J51,"——",L48-J53)</f>
        <v>——</v>
      </c>
      <c r="O56" s="1601" t="s">
        <v>1008</v>
      </c>
      <c r="P56" s="1602" t="s">
        <v>1493</v>
      </c>
      <c r="Q56" s="1603">
        <f ca="1">C40+J29</f>
        <v>7097</v>
      </c>
      <c r="R56" s="1603" t="s">
        <v>1494</v>
      </c>
    </row>
    <row r="57" spans="1:18" s="1567" customFormat="1" ht="24.75" thickBot="1">
      <c r="A57" s="1634"/>
      <c r="B57" s="1080" t="s">
        <v>1443</v>
      </c>
      <c r="C57" s="243">
        <f ca="1">C29</f>
        <v>7245</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8" t="s">
        <v>1389</v>
      </c>
      <c r="C58" s="321">
        <f ca="1">ROUND(C59+C64+C65+C66,0)</f>
        <v>613</v>
      </c>
      <c r="D58" s="1090" t="s">
        <v>1390</v>
      </c>
      <c r="E58" s="1091"/>
      <c r="F58" s="1092"/>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1">
        <f ca="1">ROUND(IF(AND(项目基本情况!B11="自然人",项目基本情况!B10="北京市"),C49*F59/(1+'数据-取费表'!C42),C60+C61+C62),0)</f>
        <v>613</v>
      </c>
      <c r="D59" s="1093" t="s">
        <v>1395</v>
      </c>
      <c r="E59" s="1094" t="s">
        <v>1396</v>
      </c>
      <c r="F59" s="2530">
        <f ca="1">IF(项目基本情况!B11="企业","——",IF('数据-取费表'!B10="住宅",IF(F49*F50*F51/12/(1+'数据-取费表'!F30)&gt;100000,4%,2.5%),IF(F49*F50*F51/12/(1+'数据-取费表'!F30)&gt;100000,12%,7%)))</f>
        <v>7.0000000000000007E-2</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608.58000000000004</v>
      </c>
      <c r="D61" s="1553" t="s">
        <v>1403</v>
      </c>
      <c r="E61" s="1080" t="s">
        <v>1459</v>
      </c>
      <c r="F61" s="327">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3.93</v>
      </c>
      <c r="D62" s="1095" t="s">
        <v>1462</v>
      </c>
      <c r="E62" s="1080" t="s">
        <v>1463</v>
      </c>
      <c r="F62" s="330">
        <f t="shared" si="0"/>
        <v>6</v>
      </c>
      <c r="I62" s="1645" t="s">
        <v>1535</v>
      </c>
      <c r="J62" s="1646" t="s">
        <v>1536</v>
      </c>
      <c r="K62" s="1646" t="s">
        <v>1537</v>
      </c>
      <c r="L62" s="1646" t="s">
        <v>1538</v>
      </c>
      <c r="M62" s="1647" t="s">
        <v>1539</v>
      </c>
      <c r="O62" s="1601" t="s">
        <v>1014</v>
      </c>
      <c r="P62" s="1602" t="s">
        <v>1514</v>
      </c>
      <c r="Q62" s="1603">
        <f ca="1">Q56+Q57</f>
        <v>7097</v>
      </c>
      <c r="R62" s="1603" t="s">
        <v>1015</v>
      </c>
    </row>
    <row r="63" spans="1:18" s="1567" customFormat="1" ht="13.5" thickBot="1">
      <c r="A63" s="331"/>
      <c r="B63" s="1086"/>
      <c r="C63" s="29"/>
      <c r="D63" s="1096"/>
      <c r="E63" s="1080" t="s">
        <v>1464</v>
      </c>
      <c r="F63" s="308">
        <f t="shared" ca="1" si="0"/>
        <v>6553.11</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0</v>
      </c>
      <c r="D64" s="1094" t="s">
        <v>1467</v>
      </c>
      <c r="E64" s="1080"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0</v>
      </c>
      <c r="D65" s="1094" t="s">
        <v>1419</v>
      </c>
      <c r="E65" s="1080" t="s">
        <v>1420</v>
      </c>
      <c r="F65" s="335">
        <f t="shared" ca="1" si="0"/>
        <v>0</v>
      </c>
      <c r="I65" s="1645" t="s">
        <v>1544</v>
      </c>
      <c r="J65" s="1646">
        <v>40</v>
      </c>
      <c r="K65" s="1646">
        <v>30</v>
      </c>
      <c r="L65" s="1646">
        <v>50</v>
      </c>
      <c r="M65" s="1648">
        <v>0.02</v>
      </c>
      <c r="O65" s="1601" t="s">
        <v>1008</v>
      </c>
      <c r="P65" s="1602" t="s">
        <v>1545</v>
      </c>
      <c r="Q65" s="1603">
        <f ca="1">C40+J29</f>
        <v>7097</v>
      </c>
      <c r="R65" s="1603" t="s">
        <v>1494</v>
      </c>
    </row>
    <row r="66" spans="1:18" s="1567" customFormat="1" ht="16.5" thickBot="1">
      <c r="A66" s="1112" t="s">
        <v>1469</v>
      </c>
      <c r="B66" s="1080" t="s">
        <v>1404</v>
      </c>
      <c r="C66" s="24">
        <f ca="1">ROUND(C48*F66,1)</f>
        <v>0</v>
      </c>
      <c r="D66" s="1094" t="s">
        <v>1470</v>
      </c>
      <c r="E66" s="1080" t="s">
        <v>1387</v>
      </c>
      <c r="F66" s="317">
        <f t="shared" ca="1" si="0"/>
        <v>0</v>
      </c>
      <c r="O66" s="1601" t="s">
        <v>1009</v>
      </c>
      <c r="P66" s="1602" t="s">
        <v>1523</v>
      </c>
      <c r="Q66" s="1603">
        <f ca="1">L60</f>
        <v>0</v>
      </c>
      <c r="R66" s="1603" t="s">
        <v>1546</v>
      </c>
    </row>
    <row r="67" spans="1:18" s="1567" customFormat="1" ht="16.5" thickBot="1">
      <c r="A67" s="1087" t="s">
        <v>999</v>
      </c>
      <c r="B67" s="1097" t="s">
        <v>1428</v>
      </c>
      <c r="C67" s="321">
        <f ca="1">C48-C58</f>
        <v>-613</v>
      </c>
      <c r="D67" s="1093" t="s">
        <v>1429</v>
      </c>
      <c r="E67" s="1098"/>
      <c r="F67" s="1099"/>
      <c r="O67" s="1611" t="s">
        <v>1010</v>
      </c>
      <c r="P67" s="1602" t="s">
        <v>1527</v>
      </c>
      <c r="Q67" s="1649">
        <f ca="1">L51</f>
        <v>-8661</v>
      </c>
      <c r="R67" s="1603" t="s">
        <v>1547</v>
      </c>
    </row>
    <row r="68" spans="1:18" s="1567" customFormat="1" ht="16.5" thickBot="1">
      <c r="A68" s="1077" t="s">
        <v>1000</v>
      </c>
      <c r="B68" s="1078" t="s">
        <v>1450</v>
      </c>
      <c r="C68" s="306">
        <f ca="1">ROUND(C67*(1-((1+F70)/(1+F68))^F69)/(F68-F70),0)</f>
        <v>-11946</v>
      </c>
      <c r="D68" s="1095" t="s">
        <v>1434</v>
      </c>
      <c r="E68" s="1080" t="s">
        <v>1435</v>
      </c>
      <c r="F68" s="317">
        <f ca="1">F40</f>
        <v>4.4999999999999998E-2</v>
      </c>
      <c r="O68" s="1611" t="s">
        <v>1011</v>
      </c>
      <c r="P68" s="1650" t="s">
        <v>1548</v>
      </c>
      <c r="Q68" s="1603">
        <f ca="1">ROUND(Q69-Q70*Q71,0)</f>
        <v>-380</v>
      </c>
      <c r="R68" s="1603" t="s">
        <v>1019</v>
      </c>
    </row>
    <row r="69" spans="1:18" s="1567" customFormat="1" ht="13.5" thickBot="1">
      <c r="A69" s="1081"/>
      <c r="B69" s="1082"/>
      <c r="C69" s="311"/>
      <c r="D69" s="1100" t="s">
        <v>1438</v>
      </c>
      <c r="E69" s="1080" t="s">
        <v>1439</v>
      </c>
      <c r="F69" s="338">
        <f ca="1">F41</f>
        <v>47.6</v>
      </c>
      <c r="O69" s="1611" t="s">
        <v>1016</v>
      </c>
      <c r="P69" s="1650" t="s">
        <v>1549</v>
      </c>
      <c r="Q69" s="1603">
        <f ca="1">C39</f>
        <v>236</v>
      </c>
      <c r="R69" s="1603" t="s">
        <v>1494</v>
      </c>
    </row>
    <row r="70" spans="1:18" s="1567" customFormat="1" ht="13.5" thickBot="1">
      <c r="A70" s="1084"/>
      <c r="B70" s="1085"/>
      <c r="C70" s="315"/>
      <c r="D70" s="1096"/>
      <c r="E70" s="1080" t="s">
        <v>1442</v>
      </c>
      <c r="F70" s="1184"/>
      <c r="O70" s="1611" t="s">
        <v>1017</v>
      </c>
      <c r="P70" s="1650" t="s">
        <v>1550</v>
      </c>
      <c r="Q70" s="1603">
        <f ca="1">C13</f>
        <v>7245</v>
      </c>
      <c r="R70" s="1603" t="s">
        <v>1494</v>
      </c>
    </row>
    <row r="71" spans="1:18" s="1567" customFormat="1" ht="13.5" thickBot="1">
      <c r="A71" s="1101" t="s">
        <v>1001</v>
      </c>
      <c r="B71" s="1102" t="s">
        <v>1452</v>
      </c>
      <c r="C71" s="341">
        <f ca="1">ROUND(C68*10000/F71,0)</f>
        <v>-6583</v>
      </c>
      <c r="D71" s="1103" t="s">
        <v>1453</v>
      </c>
      <c r="E71" s="1104" t="s">
        <v>1454</v>
      </c>
      <c r="F71" s="344">
        <f ca="1">F43</f>
        <v>18146.759999999813</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5" t="s">
        <v>1471</v>
      </c>
      <c r="C75" s="346">
        <f ca="1">ROUND(C13*C76,0)</f>
        <v>616</v>
      </c>
      <c r="D75" s="1567"/>
      <c r="E75" s="1567"/>
      <c r="F75" s="1567"/>
      <c r="K75" s="1585"/>
      <c r="L75" s="1567"/>
      <c r="O75" s="1601" t="s">
        <v>1014</v>
      </c>
      <c r="P75" s="1602" t="s">
        <v>1514</v>
      </c>
      <c r="Q75" s="1603">
        <f ca="1">Q65+Q66</f>
        <v>7097</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-1.6099999999999999</v>
      </c>
    </row>
    <row r="80" spans="1:18">
      <c r="B80" s="345" t="s">
        <v>1476</v>
      </c>
      <c r="C80" s="279">
        <f ca="1">ROUND(C75/C39,3)</f>
        <v>2.61</v>
      </c>
    </row>
    <row r="81" spans="2:3">
      <c r="B81" s="275" t="s">
        <v>1477</v>
      </c>
      <c r="C81" s="243"/>
    </row>
    <row r="82" spans="2:3">
      <c r="B82" s="278" t="s">
        <v>1478</v>
      </c>
      <c r="C82" s="280">
        <f ca="1">1-C83</f>
        <v>-2.0999999999999908E-2</v>
      </c>
    </row>
    <row r="83" spans="2:3">
      <c r="B83" s="278" t="s">
        <v>1479</v>
      </c>
      <c r="C83" s="279">
        <f ca="1">ROUND(C13/C40,3)</f>
        <v>1.0209999999999999</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27" t="s">
        <v>1627</v>
      </c>
      <c r="B1" s="3127"/>
      <c r="C1" s="3127"/>
      <c r="D1" s="3127"/>
    </row>
    <row r="2" spans="1:4" ht="18">
      <c r="A2" s="3128" t="s">
        <v>1611</v>
      </c>
      <c r="B2" s="3128"/>
      <c r="C2" s="3128"/>
      <c r="D2" s="3128"/>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28" t="s">
        <v>1617</v>
      </c>
      <c r="B6" s="3128"/>
      <c r="C6" s="3128"/>
      <c r="D6" s="3128"/>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129" t="s">
        <v>1620</v>
      </c>
      <c r="B11" s="3121"/>
      <c r="C11" s="3121"/>
      <c r="D11" s="3121"/>
    </row>
    <row r="12" spans="1:4" ht="15.75">
      <c r="A12" s="31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26"/>
      <c r="C12" s="3126"/>
      <c r="D12" s="3126"/>
    </row>
    <row r="13" spans="1:4" ht="30" customHeight="1">
      <c r="A13" s="3121" t="str">
        <f>IF(项目基本情况!B8="抵押","3.抵押双方在办理抵押登记手续时，应使用本公司出具的正式《房地产评估报告》，特提醒报告使用者注意。","——")</f>
        <v>——</v>
      </c>
      <c r="B13" s="3126"/>
      <c r="C13" s="3126"/>
      <c r="D13" s="3126"/>
    </row>
    <row r="14" spans="1:4" ht="15.75" customHeight="1">
      <c r="A14" s="3121" t="str">
        <f>IF(项目基本情况!B8="抵押","4.本次评估估价师所知悉的法定优先受偿款情况说明如下：","——")</f>
        <v>——</v>
      </c>
      <c r="B14" s="3126"/>
      <c r="C14" s="3126"/>
      <c r="D14" s="3126"/>
    </row>
    <row r="15" spans="1:4" ht="42" customHeight="1">
      <c r="A15" s="3121" t="str">
        <f>IF(项目基本情况!B8="抵押","（1）"&amp;CONCATENATE(项目基本情况!L20,项目基本情况!L21,项目基本情况!L22),"——")</f>
        <v>——</v>
      </c>
      <c r="B15" s="3121"/>
      <c r="C15" s="3121"/>
      <c r="D15" s="3121"/>
    </row>
    <row r="16" spans="1:4" ht="30" customHeight="1">
      <c r="A16" s="3123" t="s">
        <v>1621</v>
      </c>
      <c r="B16" s="3123"/>
      <c r="C16" s="3123"/>
      <c r="D16" s="3123"/>
    </row>
    <row r="17" spans="1:4" ht="144" customHeight="1">
      <c r="A17" s="3123" t="s">
        <v>1622</v>
      </c>
      <c r="B17" s="3123"/>
      <c r="C17" s="3123"/>
      <c r="D17" s="3123"/>
    </row>
    <row r="18" spans="1:4" ht="15.75" customHeight="1">
      <c r="A18" s="3121" t="str">
        <f>IF(项目基本情况!B8="抵押",结果表!K120,"——")</f>
        <v>——</v>
      </c>
      <c r="B18" s="3121"/>
      <c r="C18" s="3121"/>
      <c r="D18" s="3121"/>
    </row>
    <row r="19" spans="1:4" ht="46.5" customHeight="1">
      <c r="A19" s="31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21"/>
      <c r="C19" s="3121"/>
      <c r="D19" s="3121"/>
    </row>
    <row r="20" spans="1:4" ht="57.75" customHeight="1">
      <c r="A20" s="31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1"/>
      <c r="C20" s="3121"/>
      <c r="D20" s="3121"/>
    </row>
    <row r="21" spans="1:4" ht="57.75" customHeight="1">
      <c r="A21" s="31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4"/>
      <c r="C21" s="3124"/>
      <c r="D21" s="3124"/>
    </row>
    <row r="22" spans="1:4" ht="18.75" customHeight="1">
      <c r="A22" s="3125" t="s">
        <v>1623</v>
      </c>
      <c r="B22" s="3125"/>
      <c r="C22" s="3125"/>
      <c r="D22" s="3125"/>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22">
        <v>42551</v>
      </c>
      <c r="D31" s="31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35" t="s">
        <v>1634</v>
      </c>
      <c r="B15" s="3130" t="s">
        <v>136</v>
      </c>
      <c r="C15" s="3131"/>
    </row>
    <row r="16" spans="1:7" ht="13.5">
      <c r="A16" s="3136"/>
      <c r="B16" s="3130" t="s">
        <v>69</v>
      </c>
      <c r="C16" s="3131"/>
    </row>
    <row r="17" spans="1:3" ht="13.5">
      <c r="A17" s="3136"/>
      <c r="B17" s="3133" t="s">
        <v>1635</v>
      </c>
      <c r="C17" s="1716" t="s">
        <v>1634</v>
      </c>
    </row>
    <row r="18" spans="1:3" ht="13.5">
      <c r="A18" s="3136"/>
      <c r="B18" s="3133"/>
      <c r="C18" s="1716" t="s">
        <v>1636</v>
      </c>
    </row>
    <row r="19" spans="1:3" ht="13.5">
      <c r="A19" s="3136"/>
      <c r="B19" s="3133"/>
      <c r="C19" s="1716" t="s">
        <v>1637</v>
      </c>
    </row>
    <row r="20" spans="1:3" ht="13.5">
      <c r="A20" s="3137"/>
      <c r="B20" s="3132" t="s">
        <v>1638</v>
      </c>
      <c r="C20" s="3131"/>
    </row>
    <row r="21" spans="1:3" ht="13.5">
      <c r="A21" s="1717" t="s">
        <v>1639</v>
      </c>
      <c r="B21" s="1718"/>
      <c r="C21" s="1719"/>
    </row>
    <row r="22" spans="1:3" ht="13.5">
      <c r="A22" s="3134" t="s">
        <v>1640</v>
      </c>
      <c r="B22" s="3132" t="s">
        <v>1641</v>
      </c>
      <c r="C22" s="3131"/>
    </row>
    <row r="23" spans="1:3" ht="13.5">
      <c r="A23" s="3134"/>
      <c r="B23" s="3132" t="s">
        <v>1642</v>
      </c>
      <c r="C23" s="3131"/>
    </row>
    <row r="24" spans="1:3" ht="13.5">
      <c r="A24" s="3134"/>
      <c r="B24" s="3132" t="s">
        <v>1643</v>
      </c>
      <c r="C24" s="3131"/>
    </row>
    <row r="25" spans="1:3" ht="13.5">
      <c r="A25" s="3134"/>
      <c r="B25" s="3133" t="s">
        <v>1644</v>
      </c>
      <c r="C25" s="1716" t="s">
        <v>1645</v>
      </c>
    </row>
    <row r="26" spans="1:3" ht="13.5">
      <c r="A26" s="3134"/>
      <c r="B26" s="3133"/>
      <c r="C26" s="1716" t="s">
        <v>1646</v>
      </c>
    </row>
    <row r="27" spans="1:3" ht="13.5">
      <c r="A27" s="3134"/>
      <c r="B27" s="3133"/>
      <c r="C27" s="1716" t="s">
        <v>1647</v>
      </c>
    </row>
    <row r="28" spans="1:3" ht="13.5">
      <c r="A28" s="3134"/>
      <c r="B28" s="3133"/>
      <c r="C28" s="1716" t="s">
        <v>1648</v>
      </c>
    </row>
    <row r="29" spans="1:3" ht="13.5">
      <c r="A29" s="3134"/>
      <c r="B29" s="3133"/>
      <c r="C29" s="1716" t="s">
        <v>1649</v>
      </c>
    </row>
    <row r="30" spans="1:3" ht="13.5">
      <c r="A30" s="3134"/>
      <c r="B30" s="3133"/>
      <c r="C30" s="1716" t="s">
        <v>1650</v>
      </c>
    </row>
    <row r="31" spans="1:3" ht="13.5">
      <c r="A31" s="3134"/>
      <c r="B31" s="3133"/>
      <c r="C31" s="1716" t="s">
        <v>1651</v>
      </c>
    </row>
    <row r="32" spans="1:3" ht="13.5">
      <c r="A32" s="3134"/>
      <c r="B32" s="3133"/>
      <c r="C32" s="1716" t="s">
        <v>1652</v>
      </c>
    </row>
    <row r="33" spans="1:3" ht="13.5">
      <c r="A33" s="3134"/>
      <c r="B33" s="3133"/>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2880</v>
      </c>
      <c r="B2" s="2559">
        <f ca="1">TODAY()</f>
        <v>44487</v>
      </c>
      <c r="C2" s="2560" t="s">
        <v>2881</v>
      </c>
      <c r="D2" s="2560"/>
      <c r="E2" s="2560"/>
      <c r="F2" s="2556"/>
      <c r="G2" s="2556"/>
      <c r="H2" s="2556"/>
    </row>
    <row r="3" spans="1:8" ht="24" customHeight="1">
      <c r="A3" s="2561" t="s">
        <v>2882</v>
      </c>
      <c r="B3" s="2562" t="s">
        <v>2883</v>
      </c>
      <c r="C3" s="2562" t="s">
        <v>2884</v>
      </c>
      <c r="D3" s="2563" t="s">
        <v>2885</v>
      </c>
      <c r="E3" s="2564" t="s">
        <v>2886</v>
      </c>
      <c r="F3" s="1471" t="s">
        <v>2887</v>
      </c>
      <c r="G3" s="2562" t="s">
        <v>2884</v>
      </c>
      <c r="H3" s="2563" t="s">
        <v>2888</v>
      </c>
    </row>
    <row r="4" spans="1:8" ht="24" customHeight="1">
      <c r="A4" s="1471" t="s">
        <v>2889</v>
      </c>
      <c r="B4" s="1471">
        <f ca="1">IF(C4&lt;B2,"已过期",1119970066)</f>
        <v>1119970066</v>
      </c>
      <c r="C4" s="2565">
        <v>44876</v>
      </c>
      <c r="D4" s="2566" t="str">
        <f ca="1">A4&amp;"（注册号："&amp;B4&amp;"）"</f>
        <v>梁津（注册号：1119970066）</v>
      </c>
      <c r="E4" s="2567" t="s">
        <v>2889</v>
      </c>
      <c r="F4" s="1471">
        <f ca="1">IF(G4&lt;B2,"已过期",96010014)</f>
        <v>96010014</v>
      </c>
      <c r="G4" s="2568">
        <v>47118</v>
      </c>
      <c r="H4" s="2569" t="str">
        <f ca="1">E4&amp;"（注册号："&amp;F4&amp;"）"</f>
        <v>梁津（注册号：96010014）</v>
      </c>
    </row>
    <row r="5" spans="1:8" ht="24" customHeight="1">
      <c r="A5" s="1471" t="s">
        <v>2890</v>
      </c>
      <c r="B5" s="1471">
        <f ca="1">IF(C5&lt;B2,"已过期",1119970111)</f>
        <v>1119970111</v>
      </c>
      <c r="C5" s="2565">
        <v>44876</v>
      </c>
      <c r="D5" s="2566" t="str">
        <f t="shared" ref="D5:D15" ca="1" si="0">A5&amp;"（注册号："&amp;B5&amp;"）"</f>
        <v>叶凌（注册号：1119970111）</v>
      </c>
      <c r="E5" s="2567" t="s">
        <v>2890</v>
      </c>
      <c r="F5" s="1471">
        <f ca="1">IF(G5&lt;B2,"已过期",94010078)</f>
        <v>94010078</v>
      </c>
      <c r="G5" s="2568">
        <v>46387</v>
      </c>
      <c r="H5" s="2569" t="str">
        <f t="shared" ref="H5:H16" ca="1" si="1">E5&amp;"（注册号："&amp;F5&amp;"）"</f>
        <v>叶凌（注册号：94010078）</v>
      </c>
    </row>
    <row r="6" spans="1:8" ht="24" customHeight="1">
      <c r="A6" s="1471" t="s">
        <v>2891</v>
      </c>
      <c r="B6" s="1471" t="str">
        <f ca="1">IF(C6&lt;B2,"已过期",1120050019)</f>
        <v>已过期</v>
      </c>
      <c r="C6" s="2565">
        <v>44395</v>
      </c>
      <c r="D6" s="2566" t="str">
        <f t="shared" ca="1" si="0"/>
        <v>王鹏（注册号：已过期）</v>
      </c>
      <c r="E6" s="2567" t="s">
        <v>2891</v>
      </c>
      <c r="F6" s="1471">
        <f ca="1">IF(G6&lt;B2,"已过期",2002110030)</f>
        <v>2002110030</v>
      </c>
      <c r="G6" s="2568">
        <v>46387</v>
      </c>
      <c r="H6" s="2569" t="str">
        <f t="shared" ca="1" si="1"/>
        <v>王鹏（注册号：2002110030）</v>
      </c>
    </row>
    <row r="7" spans="1:8" ht="24" customHeight="1">
      <c r="A7" s="1471" t="s">
        <v>2892</v>
      </c>
      <c r="B7" s="1471">
        <f ca="1">IF(C7&lt;B2,"已过期",1120000080)</f>
        <v>1120000080</v>
      </c>
      <c r="C7" s="2565">
        <v>44876</v>
      </c>
      <c r="D7" s="2566" t="str">
        <f t="shared" ca="1" si="0"/>
        <v>欧红伟（注册号：1120000080）</v>
      </c>
      <c r="E7" s="2567" t="s">
        <v>2892</v>
      </c>
      <c r="F7" s="1471">
        <f ca="1">IF(G7&lt;B2,"已过期",2000110082)</f>
        <v>2000110082</v>
      </c>
      <c r="G7" s="2568">
        <v>46387</v>
      </c>
      <c r="H7" s="2569" t="str">
        <f t="shared" ca="1" si="1"/>
        <v>欧红伟（注册号：2000110082）</v>
      </c>
    </row>
    <row r="8" spans="1:8" ht="24" customHeight="1">
      <c r="A8" s="1471" t="s">
        <v>2893</v>
      </c>
      <c r="B8" s="1471">
        <f ca="1">IF(C8&lt;B2,"已过期",1419970001)</f>
        <v>1419970001</v>
      </c>
      <c r="C8" s="2565">
        <v>44899</v>
      </c>
      <c r="D8" s="2566" t="str">
        <f t="shared" ca="1" si="0"/>
        <v>吴薇（注册号：1419970001）</v>
      </c>
      <c r="E8" s="2567" t="s">
        <v>2893</v>
      </c>
      <c r="F8" s="1471">
        <f ca="1">IF(G8&lt;B2,"已过期",2002110125)</f>
        <v>2002110125</v>
      </c>
      <c r="G8" s="2568">
        <v>47118</v>
      </c>
      <c r="H8" s="2569" t="str">
        <f t="shared" ca="1" si="1"/>
        <v>吴薇（注册号：2002110125）</v>
      </c>
    </row>
    <row r="9" spans="1:8" ht="24" customHeight="1">
      <c r="A9" s="1471" t="s">
        <v>2894</v>
      </c>
      <c r="B9" s="1471">
        <f ca="1">IF(C9&lt;B2,"已过期",1120060040)</f>
        <v>1120060040</v>
      </c>
      <c r="C9" s="2570">
        <v>44554</v>
      </c>
      <c r="D9" s="2566" t="str">
        <f t="shared" ca="1" si="0"/>
        <v>陈颖（注册号：1120060040）</v>
      </c>
      <c r="E9" s="2567" t="s">
        <v>2894</v>
      </c>
      <c r="F9" s="1471">
        <f ca="1">IF(G9&lt;B2,"已过期",2004110096)</f>
        <v>2004110096</v>
      </c>
      <c r="G9" s="2568">
        <v>47118</v>
      </c>
      <c r="H9" s="2569" t="str">
        <f t="shared" ca="1" si="1"/>
        <v>陈颖（注册号：2004110096）</v>
      </c>
    </row>
    <row r="10" spans="1:8" ht="24" customHeight="1">
      <c r="A10" s="1471" t="s">
        <v>2895</v>
      </c>
      <c r="B10" s="1471">
        <f ca="1">IF(C10&lt;B2,"已过期",1120100036)</f>
        <v>1120100036</v>
      </c>
      <c r="C10" s="2570">
        <v>44675</v>
      </c>
      <c r="D10" s="2566" t="str">
        <f t="shared" ca="1" si="0"/>
        <v>崔锴（注册号：1120100036）</v>
      </c>
      <c r="E10" s="2567" t="s">
        <v>2895</v>
      </c>
      <c r="F10" s="1471">
        <f ca="1">IF(G10&lt;B2,"已过期",2010110070)</f>
        <v>2010110070</v>
      </c>
      <c r="G10" s="2568">
        <v>47907</v>
      </c>
      <c r="H10" s="2569" t="str">
        <f t="shared" ca="1" si="1"/>
        <v>崔锴（注册号：2010110070）</v>
      </c>
    </row>
    <row r="11" spans="1:8" ht="24" customHeight="1">
      <c r="A11" s="1471" t="s">
        <v>2896</v>
      </c>
      <c r="B11" s="1471">
        <f ca="1">IF(C11&lt;B2,"已过期",1120070131)</f>
        <v>1120070131</v>
      </c>
      <c r="C11" s="2565">
        <v>44849</v>
      </c>
      <c r="D11" s="2566" t="str">
        <f t="shared" ca="1" si="0"/>
        <v>郑燚（注册号：1120070131）</v>
      </c>
      <c r="E11" s="2567" t="s">
        <v>2896</v>
      </c>
      <c r="F11" s="1471">
        <f ca="1">IF(G11&lt;B2,"已过期",2014110011)</f>
        <v>2014110011</v>
      </c>
      <c r="G11" s="2568">
        <v>49302</v>
      </c>
      <c r="H11" s="2569" t="str">
        <f t="shared" ca="1" si="1"/>
        <v>郑燚（注册号：2014110011）</v>
      </c>
    </row>
    <row r="12" spans="1:8" ht="24" customHeight="1">
      <c r="A12" s="1471" t="s">
        <v>2897</v>
      </c>
      <c r="B12" s="1471">
        <f ca="1">IF(C12&lt;B2,"已过期",1120040230)</f>
        <v>1120040230</v>
      </c>
      <c r="C12" s="2570">
        <v>44864</v>
      </c>
      <c r="D12" s="2566" t="str">
        <f t="shared" ca="1" si="0"/>
        <v>苏海（注册号：1120040230）</v>
      </c>
      <c r="E12" s="2567" t="s">
        <v>2897</v>
      </c>
      <c r="F12" s="1471">
        <f ca="1">IF(G12&lt;B2,"已过期",98030020)</f>
        <v>98030020</v>
      </c>
      <c r="G12" s="2568">
        <v>47118</v>
      </c>
      <c r="H12" s="2569" t="str">
        <f t="shared" ca="1" si="1"/>
        <v>苏海（注册号：98030020）</v>
      </c>
    </row>
    <row r="13" spans="1:8" ht="24" customHeight="1">
      <c r="A13" s="1471" t="s">
        <v>2898</v>
      </c>
      <c r="B13" s="1471" t="str">
        <f ca="1">IF(C13&lt;B2,"已过期",1120020033)</f>
        <v>已过期</v>
      </c>
      <c r="C13" s="2565">
        <v>44339</v>
      </c>
      <c r="D13" s="2566" t="str">
        <f t="shared" ca="1" si="0"/>
        <v>刘敬东（注册号：已过期）</v>
      </c>
      <c r="E13" s="2567" t="s">
        <v>2898</v>
      </c>
      <c r="F13" s="1471">
        <f ca="1">IF(G13&lt;B2,"已过期",2000110137)</f>
        <v>2000110137</v>
      </c>
      <c r="G13" s="2568">
        <v>46387</v>
      </c>
      <c r="H13" s="2569" t="str">
        <f t="shared" ca="1" si="1"/>
        <v>刘敬东（注册号：2000110137）</v>
      </c>
    </row>
    <row r="14" spans="1:8" ht="24" customHeight="1">
      <c r="A14" s="1471" t="s">
        <v>2899</v>
      </c>
      <c r="B14" s="1471">
        <f ca="1">IF(C14&lt;B2,"已过期",1119980106)</f>
        <v>1119980106</v>
      </c>
      <c r="C14" s="2570">
        <v>44969</v>
      </c>
      <c r="D14" s="2566" t="str">
        <f t="shared" ca="1" si="0"/>
        <v>刘俊财（注册号：1119980106）</v>
      </c>
      <c r="E14" s="2567" t="s">
        <v>2899</v>
      </c>
      <c r="F14" s="1471">
        <f ca="1">IF(G14&lt;B2,"已过期",96010063)</f>
        <v>96010063</v>
      </c>
      <c r="G14" s="2568">
        <v>47483</v>
      </c>
      <c r="H14" s="2569" t="str">
        <f t="shared" ca="1" si="1"/>
        <v>刘俊财（注册号：96010063）</v>
      </c>
    </row>
    <row r="15" spans="1:8" ht="24" customHeight="1">
      <c r="A15" s="1471"/>
      <c r="B15" s="1471"/>
      <c r="C15" s="2570"/>
      <c r="D15" s="2566" t="str">
        <f t="shared" si="0"/>
        <v>（注册号：）</v>
      </c>
      <c r="E15" s="2567" t="s">
        <v>2900</v>
      </c>
      <c r="F15" s="1471">
        <f ca="1">IF(G15&lt;B2,"已过期",2011110090)</f>
        <v>2011110090</v>
      </c>
      <c r="G15" s="2568">
        <v>48302</v>
      </c>
      <c r="H15" s="2569" t="str">
        <f t="shared" ca="1" si="1"/>
        <v>赵雯（注册号：2011110090）</v>
      </c>
    </row>
    <row r="16" spans="1:8" s="2572" customFormat="1" ht="24" customHeight="1">
      <c r="A16" s="1471"/>
      <c r="B16" s="1471"/>
      <c r="C16" s="1471"/>
      <c r="D16" s="2566" t="str">
        <f>A16&amp;"（注册号："&amp;B16&amp;"）"</f>
        <v>（注册号：）</v>
      </c>
      <c r="E16" s="2567"/>
      <c r="F16" s="1471"/>
      <c r="G16" s="1471"/>
      <c r="H16" s="2571" t="str">
        <f t="shared" si="1"/>
        <v>（注册号：）</v>
      </c>
    </row>
    <row r="17" spans="1:8" ht="24" customHeight="1">
      <c r="A17" s="3138" t="s">
        <v>2901</v>
      </c>
      <c r="B17" s="3138"/>
      <c r="C17" s="3138"/>
      <c r="D17" s="3138"/>
      <c r="E17" s="3138"/>
      <c r="F17" s="3138"/>
      <c r="G17" s="3138"/>
      <c r="H17" s="3138"/>
    </row>
    <row r="18" spans="1:8" ht="24" customHeight="1">
      <c r="A18" s="3139" t="s">
        <v>2902</v>
      </c>
      <c r="B18" s="3139"/>
      <c r="C18" s="3139"/>
      <c r="D18" s="2563"/>
      <c r="E18" s="3140" t="s">
        <v>2903</v>
      </c>
      <c r="F18" s="3139"/>
      <c r="G18" s="3139"/>
    </row>
    <row r="19" spans="1:8" s="2574" customFormat="1" ht="24" customHeight="1">
      <c r="A19" s="2573" t="s">
        <v>2904</v>
      </c>
      <c r="B19" s="2562" t="s">
        <v>2905</v>
      </c>
      <c r="C19" s="2562" t="s">
        <v>2884</v>
      </c>
      <c r="D19" s="2563"/>
      <c r="E19" s="2567" t="s">
        <v>2904</v>
      </c>
      <c r="F19" s="2562" t="s">
        <v>2905</v>
      </c>
      <c r="G19" s="2562" t="s">
        <v>2884</v>
      </c>
    </row>
    <row r="20" spans="1:8" s="2574" customFormat="1" ht="24" customHeight="1">
      <c r="A20" s="2575" t="s">
        <v>2906</v>
      </c>
      <c r="B20" s="2575" t="s">
        <v>2907</v>
      </c>
      <c r="C20" s="2568">
        <v>44820</v>
      </c>
      <c r="D20" s="2576"/>
      <c r="E20" s="2577" t="s">
        <v>2908</v>
      </c>
      <c r="F20" s="2575" t="s">
        <v>2909</v>
      </c>
      <c r="G20" s="2578">
        <v>44377</v>
      </c>
    </row>
    <row r="21" spans="1:8" s="2574" customFormat="1" ht="24" customHeight="1">
      <c r="A21" s="2575"/>
      <c r="B21" s="2575"/>
      <c r="C21" s="2579"/>
      <c r="D21" s="2580"/>
      <c r="E21" s="2577" t="s">
        <v>2910</v>
      </c>
      <c r="F21" s="2581" t="s">
        <v>2911</v>
      </c>
      <c r="G21" s="2582">
        <v>44012</v>
      </c>
    </row>
    <row r="22" spans="1:8" ht="24" customHeight="1">
      <c r="C22" s="2583"/>
      <c r="D22" s="2583"/>
      <c r="E22" s="2584"/>
      <c r="F22" s="2585"/>
      <c r="G22" s="2586" t="s">
        <v>2912</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已取证未售</vt:lpstr>
      <vt:lpstr>未取证</vt:lpstr>
      <vt:lpstr>车位</vt:lpstr>
      <vt:lpstr>商业</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Sheet0</vt:lpstr>
      <vt:lpstr>土地比较法-住宅、综合</vt:lpstr>
      <vt:lpstr>假设开发法</vt:lpstr>
      <vt:lpstr>比较法-住宅</vt:lpstr>
      <vt:lpstr>商业15收益法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商业17收益法</vt:lpstr>
      <vt:lpstr>地下车库收益法</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地下车库收益法!Print_Area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商业15收益法!Print_Area</vt:lpstr>
      <vt:lpstr>商业17收益法!Print_Area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WEI</cp:lastModifiedBy>
  <cp:lastPrinted>2017-03-01T09:15:43Z</cp:lastPrinted>
  <dcterms:created xsi:type="dcterms:W3CDTF">2015-07-13T07:17:23Z</dcterms:created>
  <dcterms:modified xsi:type="dcterms:W3CDTF">2021-10-18T08:26:26Z</dcterms:modified>
</cp:coreProperties>
</file>