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05" windowWidth="14430" windowHeight="113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7" i="21" l="1"/>
  <c r="G7" i="21"/>
  <c r="E7" i="21"/>
  <c r="M34" i="1"/>
  <c r="M33" i="1"/>
  <c r="M31" i="1"/>
  <c r="M30" i="1"/>
  <c r="M29" i="1"/>
  <c r="M28" i="1"/>
  <c r="M27" i="1"/>
  <c r="M26" i="1"/>
  <c r="M25" i="1"/>
  <c r="M24" i="1"/>
  <c r="M23" i="1"/>
  <c r="M22" i="1"/>
  <c r="M21" i="1"/>
  <c r="O123" i="9" l="1"/>
  <c r="N8" i="1" l="1"/>
  <c r="L8" i="1"/>
  <c r="N22" i="1" l="1"/>
  <c r="N23" i="1"/>
  <c r="N24" i="1"/>
  <c r="N25" i="1"/>
  <c r="N26" i="1"/>
  <c r="N27" i="1"/>
  <c r="N28" i="1"/>
  <c r="N29" i="1"/>
  <c r="N30" i="1"/>
  <c r="N31" i="1"/>
  <c r="N32" i="1"/>
  <c r="N33" i="1"/>
  <c r="N34" i="1"/>
  <c r="N21" i="1"/>
  <c r="N35" i="1" s="1"/>
  <c r="O34" i="1"/>
  <c r="O33" i="1"/>
  <c r="M32" i="1"/>
  <c r="O32" i="1" s="1"/>
  <c r="O31" i="1"/>
  <c r="O30" i="1"/>
  <c r="O29" i="1"/>
  <c r="O28" i="1"/>
  <c r="O27" i="1"/>
  <c r="O26" i="1"/>
  <c r="O25" i="1"/>
  <c r="O24" i="1"/>
  <c r="O23" i="1"/>
  <c r="O22" i="1"/>
  <c r="O21" i="1"/>
  <c r="O35" i="1" l="1"/>
  <c r="M35" i="1" s="1"/>
  <c r="M40" i="1" s="1"/>
  <c r="I1064" i="86"/>
  <c r="L76" i="9" l="1"/>
  <c r="L75" i="9"/>
  <c r="N187" i="86" l="1"/>
  <c r="I5" i="36"/>
  <c r="G5" i="36"/>
  <c r="M40" i="83"/>
  <c r="M7" i="83"/>
  <c r="M59" i="82"/>
  <c r="M31" i="82"/>
  <c r="M33" i="82" s="1"/>
  <c r="M8" i="82"/>
  <c r="K192" i="86"/>
  <c r="K193" i="86"/>
  <c r="K194" i="86"/>
  <c r="J194" i="86"/>
  <c r="M13" i="3" s="1"/>
  <c r="G21" i="6" s="1"/>
  <c r="M76" i="9" s="1"/>
  <c r="N76" i="9" s="1"/>
  <c r="J193" i="86"/>
  <c r="K13" i="3" s="1"/>
  <c r="G20" i="6" s="1"/>
  <c r="M75" i="9" s="1"/>
  <c r="N75" i="9" s="1"/>
  <c r="J192" i="86"/>
  <c r="J195" i="86" l="1"/>
  <c r="J197" i="86" s="1"/>
  <c r="I13" i="3"/>
  <c r="F19" i="6" s="1"/>
  <c r="M74" i="9" s="1"/>
  <c r="N74" i="9" s="1"/>
  <c r="N77" i="9" s="1"/>
  <c r="C88" i="9" s="1"/>
  <c r="K195" i="86"/>
  <c r="A3" i="3" s="1"/>
  <c r="K197" i="86"/>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AA9" i="85" l="1"/>
  <c r="Y9" i="85"/>
  <c r="U9" i="85"/>
  <c r="S9" i="85"/>
  <c r="Q9" i="85"/>
  <c r="M9" i="85"/>
  <c r="K9" i="85"/>
  <c r="I9" i="85"/>
  <c r="G9" i="85"/>
  <c r="E9" i="85"/>
  <c r="AD15" i="85"/>
  <c r="C3" i="85" s="1"/>
  <c r="D15" i="85"/>
  <c r="E8" i="85" s="1"/>
  <c r="F15" i="85"/>
  <c r="G8" i="85" s="1"/>
  <c r="H15" i="85"/>
  <c r="I8" i="85" s="1"/>
  <c r="J15" i="85"/>
  <c r="K8" i="85" s="1"/>
  <c r="L15" i="85"/>
  <c r="M8" i="85" s="1"/>
  <c r="N15" i="85"/>
  <c r="O8" i="85" s="1"/>
  <c r="P15" i="85"/>
  <c r="R15" i="85"/>
  <c r="S8" i="85" s="1"/>
  <c r="T15" i="85"/>
  <c r="V15" i="85"/>
  <c r="W8" i="85" s="1"/>
  <c r="X15" i="85"/>
  <c r="Y8" i="85" s="1"/>
  <c r="Z15" i="85"/>
  <c r="AA8" i="85" s="1"/>
  <c r="AB15" i="85"/>
  <c r="AC8" i="85" s="1"/>
  <c r="B15" i="85"/>
  <c r="C8" i="85" s="1"/>
  <c r="D21" i="84"/>
  <c r="C33" i="21" s="1"/>
  <c r="E21" i="84"/>
  <c r="F21" i="84"/>
  <c r="G21" i="84"/>
  <c r="H21" i="84"/>
  <c r="I21" i="84"/>
  <c r="J21" i="84"/>
  <c r="K21" i="84"/>
  <c r="L21" i="84"/>
  <c r="M21" i="84"/>
  <c r="N21" i="84"/>
  <c r="O21" i="84"/>
  <c r="C21" i="84"/>
  <c r="A2" i="83"/>
  <c r="E5" i="36" s="1"/>
  <c r="A53" i="82"/>
  <c r="I5" i="35" s="1"/>
  <c r="A28" i="82"/>
  <c r="G5" i="35" s="1"/>
  <c r="A2" i="82"/>
  <c r="E5" i="35" s="1"/>
  <c r="U8" i="85" l="1"/>
  <c r="Q8" i="85"/>
  <c r="AE10" i="85"/>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s="1"/>
  <c r="Q38" i="71"/>
  <c r="AB38" i="71" s="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Q34" i="71"/>
  <c r="AB34" i="71" s="1"/>
  <c r="P34" i="71"/>
  <c r="O34" i="71"/>
  <c r="N34" i="71"/>
  <c r="Q33" i="71"/>
  <c r="F34" i="71" s="1"/>
  <c r="P33" i="71"/>
  <c r="O33" i="71"/>
  <c r="C34" i="71" s="1"/>
  <c r="N33" i="71"/>
  <c r="D33" i="71"/>
  <c r="Q32" i="71"/>
  <c r="AB32" i="71" s="1"/>
  <c r="P32" i="71"/>
  <c r="O32" i="71"/>
  <c r="Y32" i="71" s="1"/>
  <c r="Z32" i="71" s="1"/>
  <c r="N32" i="71"/>
  <c r="Q31" i="71"/>
  <c r="AB31" i="71" s="1"/>
  <c r="P31" i="71"/>
  <c r="O31" i="71"/>
  <c r="Y31" i="71" s="1"/>
  <c r="Z31" i="71" s="1"/>
  <c r="N31" i="71"/>
  <c r="Q30" i="71"/>
  <c r="AB30" i="71" s="1"/>
  <c r="P30" i="71"/>
  <c r="O30" i="71"/>
  <c r="N30" i="71"/>
  <c r="Q29" i="71"/>
  <c r="F30" i="71" s="1"/>
  <c r="P29" i="71"/>
  <c r="O29" i="71"/>
  <c r="C30" i="71" s="1"/>
  <c r="N29" i="71"/>
  <c r="D29" i="71"/>
  <c r="O28" i="71"/>
  <c r="N28" i="71"/>
  <c r="B28" i="71" s="1"/>
  <c r="B30" i="71"/>
  <c r="B31" i="71" s="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X32" i="71"/>
  <c r="AA32" i="71"/>
  <c r="Y33" i="71"/>
  <c r="Z33" i="71" s="1"/>
  <c r="X34" i="71"/>
  <c r="AA34" i="71"/>
  <c r="X35" i="71"/>
  <c r="AA35" i="71"/>
  <c r="X36" i="71"/>
  <c r="AA36" i="71"/>
  <c r="C38" i="71"/>
  <c r="C39" i="71" s="1"/>
  <c r="Y37" i="71"/>
  <c r="Z37" i="71" s="1"/>
  <c r="AB37" i="71"/>
  <c r="X38" i="71"/>
  <c r="AA38" i="71"/>
  <c r="F51" i="71"/>
  <c r="F52" i="71" s="1"/>
  <c r="V52" i="71" s="1"/>
  <c r="C28" i="71"/>
  <c r="Y25" i="71"/>
  <c r="Z25" i="71" s="1"/>
  <c r="Y26" i="71"/>
  <c r="Z26" i="71" s="1"/>
  <c r="Y27" i="71"/>
  <c r="Z27" i="71" s="1"/>
  <c r="Y28" i="71"/>
  <c r="Z28" i="71" s="1"/>
  <c r="X25" i="71"/>
  <c r="X27" i="71"/>
  <c r="D38" i="71"/>
  <c r="P28" i="71"/>
  <c r="E55" i="71"/>
  <c r="E56" i="71" s="1"/>
  <c r="U56" i="71" s="1"/>
  <c r="E63" i="71"/>
  <c r="E64" i="71" s="1"/>
  <c r="U64" i="71" s="1"/>
  <c r="Q65" i="71"/>
  <c r="U68" i="71"/>
  <c r="E67" i="71"/>
  <c r="P67" i="71" s="1"/>
  <c r="Q28" i="71"/>
  <c r="C55" i="71"/>
  <c r="C56" i="71" s="1"/>
  <c r="D54" i="71"/>
  <c r="C63" i="71"/>
  <c r="D63" i="71" s="1"/>
  <c r="D62" i="71"/>
  <c r="Q67" i="71"/>
  <c r="T68" i="71"/>
  <c r="O68" i="71"/>
  <c r="D68" i="71"/>
  <c r="C67" i="71"/>
  <c r="C66" i="71" s="1"/>
  <c r="Q68" i="71"/>
  <c r="C71" i="71"/>
  <c r="C70" i="71" s="1"/>
  <c r="D70" i="71" s="1"/>
  <c r="E71" i="71"/>
  <c r="E70" i="71" s="1"/>
  <c r="D72" i="71"/>
  <c r="C75" i="71"/>
  <c r="D75" i="71" s="1"/>
  <c r="E75" i="71"/>
  <c r="E74" i="71"/>
  <c r="D76" i="71"/>
  <c r="C79" i="71"/>
  <c r="C78" i="71" s="1"/>
  <c r="D78" i="71" s="1"/>
  <c r="E79" i="71"/>
  <c r="E78" i="71"/>
  <c r="D80" i="71"/>
  <c r="C83" i="71"/>
  <c r="C82" i="71" s="1"/>
  <c r="D82" i="71" s="1"/>
  <c r="C87" i="71"/>
  <c r="T28" i="71"/>
  <c r="C27" i="71"/>
  <c r="F28" i="71"/>
  <c r="F27" i="71" s="1"/>
  <c r="F26" i="71" s="1"/>
  <c r="AB25" i="71"/>
  <c r="AB26" i="71"/>
  <c r="AB27" i="71"/>
  <c r="AB28" i="71"/>
  <c r="E28" i="71"/>
  <c r="E27" i="71" s="1"/>
  <c r="E26" i="71" s="1"/>
  <c r="AA3" i="71"/>
  <c r="AA25" i="71"/>
  <c r="AA26" i="71"/>
  <c r="AA27" i="71"/>
  <c r="AA28" i="71"/>
  <c r="D28" i="71"/>
  <c r="U28" i="71"/>
  <c r="O67" i="71"/>
  <c r="C64" i="71"/>
  <c r="T64" i="71" s="1"/>
  <c r="D83" i="71"/>
  <c r="C74" i="71"/>
  <c r="D74" i="71" s="1"/>
  <c r="D87" i="71"/>
  <c r="C86" i="71"/>
  <c r="D86" i="71" s="1"/>
  <c r="D79" i="71"/>
  <c r="D71" i="71"/>
  <c r="D55" i="71"/>
  <c r="E66" i="71"/>
  <c r="P65" i="71" s="1"/>
  <c r="C26" i="71"/>
  <c r="D26" i="71"/>
  <c r="D27" i="71"/>
  <c r="V28"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s="1"/>
  <c r="C22" i="20"/>
  <c r="B100" i="43" s="1"/>
  <c r="B57" i="43"/>
  <c r="C25" i="40"/>
  <c r="S25" i="40"/>
  <c r="S18" i="36"/>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AA21" i="33" s="1"/>
  <c r="E83" i="21"/>
  <c r="F83" i="21" s="1"/>
  <c r="S21" i="21"/>
  <c r="H1" i="69"/>
  <c r="W25" i="40"/>
  <c r="U25" i="40"/>
  <c r="AB21" i="37"/>
  <c r="U21" i="37"/>
  <c r="S21" i="37"/>
  <c r="AB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c r="F62" i="36" s="1"/>
  <c r="G62" i="36" s="1"/>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D85" i="33"/>
  <c r="E85" i="33" s="1"/>
  <c r="F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W28" i="35"/>
  <c r="W22" i="35"/>
  <c r="S31" i="35"/>
  <c r="U34" i="35"/>
  <c r="F36" i="34"/>
  <c r="J35" i="34"/>
  <c r="U34" i="34"/>
  <c r="H39" i="33"/>
  <c r="AB39" i="33" s="1"/>
  <c r="U35" i="33"/>
  <c r="S40" i="33"/>
  <c r="W33" i="33"/>
  <c r="H39" i="37"/>
  <c r="AB39" i="37" s="1"/>
  <c r="F11" i="40"/>
  <c r="AA11" i="40" s="1"/>
  <c r="H11" i="40"/>
  <c r="AB11" i="40" s="1"/>
  <c r="W8" i="40"/>
  <c r="AB39" i="40"/>
  <c r="AC40" i="40"/>
  <c r="AA9" i="40"/>
  <c r="AC9" i="40"/>
  <c r="U9" i="40"/>
  <c r="S34" i="40"/>
  <c r="S40" i="40"/>
  <c r="W31" i="40"/>
  <c r="U34"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S40" i="21"/>
  <c r="C27" i="39"/>
  <c r="H11" i="39"/>
  <c r="S40" i="39"/>
  <c r="C15" i="39"/>
  <c r="H32" i="33"/>
  <c r="AB32" i="33" s="1"/>
  <c r="H11" i="21"/>
  <c r="U11" i="21" s="1"/>
  <c r="H37" i="40"/>
  <c r="U37" i="40" s="1"/>
  <c r="H36" i="40"/>
  <c r="AB36" i="40" s="1"/>
  <c r="F35" i="40"/>
  <c r="AA35" i="40" s="1"/>
  <c r="H23" i="40"/>
  <c r="AB23" i="40" s="1"/>
  <c r="H17" i="40"/>
  <c r="U17" i="40" s="1"/>
  <c r="J15" i="40"/>
  <c r="W15" i="40" s="1"/>
  <c r="J11" i="40"/>
  <c r="W11" i="40" s="1"/>
  <c r="AB8" i="39"/>
  <c r="AB12" i="35"/>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S12" i="36"/>
  <c r="AA12" i="36"/>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B26" i="33"/>
  <c r="AA14" i="37"/>
  <c r="W31" i="34"/>
  <c r="W13" i="36"/>
  <c r="S11" i="36"/>
  <c r="AA14" i="34"/>
  <c r="U31" i="33"/>
  <c r="AC28" i="21"/>
  <c r="BA586" i="3"/>
  <c r="BA585" i="3"/>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47" i="34"/>
  <c r="AB13" i="34"/>
  <c r="AC36" i="34"/>
  <c r="AA13" i="33"/>
  <c r="AC45" i="33"/>
  <c r="U11" i="33"/>
  <c r="U19" i="21"/>
  <c r="W44" i="21"/>
  <c r="U26" i="21"/>
  <c r="AC46" i="21"/>
  <c r="U12" i="21"/>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497"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AZ196" i="3" s="1"/>
  <c r="G197" i="3"/>
  <c r="BA199" i="3"/>
  <c r="BL200" i="3"/>
  <c r="G201" i="3"/>
  <c r="BA203" i="3"/>
  <c r="BL204" i="3"/>
  <c r="AZ204" i="3" s="1"/>
  <c r="AZ51" i="3"/>
  <c r="AZ152" i="3"/>
  <c r="AZ184" i="3"/>
  <c r="AZ20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46" i="3"/>
  <c r="AZ154" i="3"/>
  <c r="AZ158" i="3"/>
  <c r="AZ178" i="3"/>
  <c r="AZ194" i="3"/>
  <c r="AZ500" i="3"/>
  <c r="BA16" i="3"/>
  <c r="AZ16" i="3" s="1"/>
  <c r="BL303" i="3"/>
  <c r="G304" i="3"/>
  <c r="BA306" i="3"/>
  <c r="BL307" i="3"/>
  <c r="AZ307" i="3" s="1"/>
  <c r="G308" i="3"/>
  <c r="BA310" i="3"/>
  <c r="AZ310" i="3" s="1"/>
  <c r="BL311" i="3"/>
  <c r="G312" i="3"/>
  <c r="BA314" i="3"/>
  <c r="BL315" i="3"/>
  <c r="G316" i="3"/>
  <c r="BA318" i="3"/>
  <c r="BL319" i="3"/>
  <c r="G320" i="3"/>
  <c r="BA322" i="3"/>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14" i="3"/>
  <c r="AZ222" i="3"/>
  <c r="AZ303" i="3"/>
  <c r="G342" i="3"/>
  <c r="BL345" i="3"/>
  <c r="G346" i="3"/>
  <c r="AZ348" i="3"/>
  <c r="BL349" i="3"/>
  <c r="AZ349" i="3" s="1"/>
  <c r="BL352" i="3"/>
  <c r="AZ352" i="3" s="1"/>
  <c r="G353" i="3"/>
  <c r="BA357" i="3"/>
  <c r="BL358" i="3"/>
  <c r="G359" i="3"/>
  <c r="BA361" i="3"/>
  <c r="AZ361" i="3" s="1"/>
  <c r="BL362" i="3"/>
  <c r="G363" i="3"/>
  <c r="BA365" i="3"/>
  <c r="AZ365" i="3" s="1"/>
  <c r="BL366" i="3"/>
  <c r="G367" i="3"/>
  <c r="BA369" i="3"/>
  <c r="AZ369" i="3" s="1"/>
  <c r="BL370" i="3"/>
  <c r="AZ370" i="3" s="1"/>
  <c r="G371" i="3"/>
  <c r="BA373" i="3"/>
  <c r="AZ373" i="3" s="1"/>
  <c r="BL374" i="3"/>
  <c r="AZ374" i="3" s="1"/>
  <c r="G375" i="3"/>
  <c r="BA377" i="3"/>
  <c r="AZ377" i="3" s="1"/>
  <c r="AZ233" i="3"/>
  <c r="AZ237" i="3"/>
  <c r="AZ249" i="3"/>
  <c r="AZ253" i="3"/>
  <c r="AZ269" i="3"/>
  <c r="BA379" i="3"/>
  <c r="BL380" i="3"/>
  <c r="G381" i="3"/>
  <c r="BA383" i="3"/>
  <c r="BL384" i="3"/>
  <c r="G385" i="3"/>
  <c r="BA387" i="3"/>
  <c r="AZ387" i="3" s="1"/>
  <c r="BL388" i="3"/>
  <c r="AZ388" i="3" s="1"/>
  <c r="G389" i="3"/>
  <c r="BA391" i="3"/>
  <c r="BL392" i="3"/>
  <c r="AZ392" i="3" s="1"/>
  <c r="G393" i="3"/>
  <c r="AZ291" i="3"/>
  <c r="BO5" i="3"/>
  <c r="BM5" i="3"/>
  <c r="BJ5" i="3"/>
  <c r="BH5" i="3"/>
  <c r="BF5" i="3"/>
  <c r="BD5" i="3"/>
  <c r="BQ5" i="3"/>
  <c r="AC5" i="3"/>
  <c r="AZ506" i="3"/>
  <c r="AZ496" i="3"/>
  <c r="G548" i="3"/>
  <c r="G538" i="3"/>
  <c r="G520" i="3"/>
  <c r="G502" i="3"/>
  <c r="BS5" i="3"/>
  <c r="F28" i="6" s="1"/>
  <c r="BP5" i="3"/>
  <c r="BN5" i="3"/>
  <c r="G29" i="6" s="1"/>
  <c r="BK5" i="3"/>
  <c r="BI5" i="3"/>
  <c r="BG5" i="3"/>
  <c r="BE5" i="3"/>
  <c r="BC5" i="3"/>
  <c r="G17" i="3"/>
  <c r="BA17" i="3"/>
  <c r="BT5" i="3"/>
  <c r="BA15" i="3"/>
  <c r="BR5" i="3"/>
  <c r="AZ380" i="3"/>
  <c r="AZ499" i="3"/>
  <c r="AZ509" i="3"/>
  <c r="G509" i="3"/>
  <c r="BL493" i="3"/>
  <c r="AZ493" i="3" s="1"/>
  <c r="AZ491" i="3"/>
  <c r="AZ390" i="3"/>
  <c r="U36" i="40"/>
  <c r="F83" i="43"/>
  <c r="H85" i="43" s="1"/>
  <c r="F50" i="43"/>
  <c r="H54" i="43" s="1"/>
  <c r="F72" i="43"/>
  <c r="H75" i="43" s="1"/>
  <c r="U17" i="39"/>
  <c r="U43" i="21"/>
  <c r="U35" i="21"/>
  <c r="AC35" i="21"/>
  <c r="G10" i="1"/>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4" i="3"/>
  <c r="C40" i="11"/>
  <c r="AZ223" i="3"/>
  <c r="AZ235" i="3"/>
  <c r="AZ240" i="3"/>
  <c r="AZ251" i="3"/>
  <c r="AZ256" i="3"/>
  <c r="AZ268" i="3"/>
  <c r="AZ288" i="3"/>
  <c r="AZ117" i="3"/>
  <c r="AZ50" i="3"/>
  <c r="AZ53"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AA32" i="36"/>
  <c r="S32" i="36"/>
  <c r="AZ490" i="3"/>
  <c r="AA39" i="34"/>
  <c r="BL14" i="3"/>
  <c r="AZ266" i="3"/>
  <c r="U30" i="33"/>
  <c r="AC13" i="34"/>
  <c r="AA47" i="34"/>
  <c r="W28" i="37"/>
  <c r="S19" i="39"/>
  <c r="F12" i="33"/>
  <c r="H12" i="39"/>
  <c r="AB12" i="39" s="1"/>
  <c r="F39" i="40"/>
  <c r="BA14" i="3"/>
  <c r="AZ14" i="3" s="1"/>
  <c r="AZ224" i="3"/>
  <c r="AZ238" i="3"/>
  <c r="AZ254" i="3"/>
  <c r="AZ286" i="3"/>
  <c r="AZ173" i="3"/>
  <c r="AZ189" i="3"/>
  <c r="B12" i="1"/>
  <c r="E12" i="1" s="1"/>
  <c r="B10" i="1"/>
  <c r="E10" i="1" s="1"/>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19" i="37"/>
  <c r="AA19" i="37" s="1"/>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J35" i="33"/>
  <c r="W35" i="33" s="1"/>
  <c r="S37" i="33"/>
  <c r="AA37" i="33"/>
  <c r="S39" i="33"/>
  <c r="F101" i="33"/>
  <c r="G101" i="33" s="1"/>
  <c r="H101" i="33" s="1"/>
  <c r="I101" i="33" s="1"/>
  <c r="J101" i="33" s="1"/>
  <c r="K101" i="33" s="1"/>
  <c r="L101" i="33" s="1"/>
  <c r="M101" i="33" s="1"/>
  <c r="J32" i="33"/>
  <c r="S46" i="33"/>
  <c r="W43" i="33"/>
  <c r="S43" i="33"/>
  <c r="F91" i="33"/>
  <c r="H27" i="33"/>
  <c r="U27" i="33" s="1"/>
  <c r="H25" i="33"/>
  <c r="U25" i="33" s="1"/>
  <c r="F25" i="33"/>
  <c r="J23" i="33"/>
  <c r="W23" i="33" s="1"/>
  <c r="H23" i="33"/>
  <c r="U23" i="33" s="1"/>
  <c r="F19" i="33"/>
  <c r="S19" i="33" s="1"/>
  <c r="W19" i="33"/>
  <c r="J17" i="33"/>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B13" i="21"/>
  <c r="J37" i="21"/>
  <c r="W37" i="21" s="1"/>
  <c r="H15" i="21"/>
  <c r="U15" i="21" s="1"/>
  <c r="AC19" i="21"/>
  <c r="W39" i="21"/>
  <c r="AC14" i="21"/>
  <c r="W30" i="21"/>
  <c r="S46" i="21"/>
  <c r="H45" i="21"/>
  <c r="U45" i="21" s="1"/>
  <c r="F29" i="21"/>
  <c r="S29" i="21" s="1"/>
  <c r="F13" i="21"/>
  <c r="AA13" i="21" s="1"/>
  <c r="AC38" i="21"/>
  <c r="H32" i="21"/>
  <c r="AB32" i="21" s="1"/>
  <c r="H9" i="21"/>
  <c r="U9" i="21" s="1"/>
  <c r="J9" i="21"/>
  <c r="J32" i="21"/>
  <c r="W32" i="21" s="1"/>
  <c r="F32" i="21"/>
  <c r="AA32" i="21" s="1"/>
  <c r="AA31" i="21"/>
  <c r="W29" i="21"/>
  <c r="S19" i="21"/>
  <c r="S9" i="21"/>
  <c r="AA9" i="21"/>
  <c r="K141" i="21"/>
  <c r="K144" i="21"/>
  <c r="K143" i="21"/>
  <c r="U27" i="21"/>
  <c r="AB25" i="21"/>
  <c r="AB44" i="21"/>
  <c r="AA30" i="21"/>
  <c r="W13" i="21"/>
  <c r="W42" i="21"/>
  <c r="AC45" i="21"/>
  <c r="F10" i="21"/>
  <c r="AA10" i="21" s="1"/>
  <c r="K145" i="21"/>
  <c r="W25" i="21"/>
  <c r="W31" i="21"/>
  <c r="S2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AB23" i="33"/>
  <c r="F23" i="33"/>
  <c r="S23" i="33" s="1"/>
  <c r="G85" i="33"/>
  <c r="AC23" i="33"/>
  <c r="AA19" i="33"/>
  <c r="H19" i="33"/>
  <c r="U19" i="33" s="1"/>
  <c r="G81" i="33"/>
  <c r="H17" i="33"/>
  <c r="AB17" i="33" s="1"/>
  <c r="F17" i="33"/>
  <c r="S17" i="33" s="1"/>
  <c r="W17" i="33"/>
  <c r="AC17" i="33"/>
  <c r="J23" i="21"/>
  <c r="W23" i="21" s="1"/>
  <c r="F85" i="21"/>
  <c r="G85" i="21"/>
  <c r="H23" i="21"/>
  <c r="U23" i="21" s="1"/>
  <c r="S13" i="21"/>
  <c r="D6" i="52"/>
  <c r="AP7" i="1"/>
  <c r="AB9" i="21"/>
  <c r="W9" i="21"/>
  <c r="AC9" i="21"/>
  <c r="U32" i="39"/>
  <c r="W32" i="39"/>
  <c r="AC19" i="37"/>
  <c r="AC23" i="37"/>
  <c r="H63" i="37"/>
  <c r="I63" i="37" s="1"/>
  <c r="J63" i="37" s="1"/>
  <c r="K63" i="37" s="1"/>
  <c r="L63" i="37" s="1"/>
  <c r="M63" i="37" s="1"/>
  <c r="J11" i="37"/>
  <c r="AC11" i="37" s="1"/>
  <c r="J11" i="34"/>
  <c r="W11" i="34" s="1"/>
  <c r="AB36" i="33"/>
  <c r="W27" i="33"/>
  <c r="W25" i="33"/>
  <c r="AA23" i="33"/>
  <c r="AA17" i="33"/>
  <c r="AB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9" i="71"/>
  <c r="D5" i="73"/>
  <c r="D3" i="73"/>
  <c r="E8" i="76"/>
  <c r="B11" i="76"/>
  <c r="E2" i="69"/>
  <c r="B10" i="76"/>
  <c r="B7" i="76"/>
  <c r="B13" i="76"/>
  <c r="F4" i="73"/>
  <c r="F7" i="73"/>
  <c r="E2" i="68"/>
  <c r="B9" i="76"/>
  <c r="E13" i="76"/>
  <c r="F20" i="31"/>
  <c r="E9" i="76"/>
  <c r="D4" i="73"/>
  <c r="E11" i="76"/>
  <c r="D6" i="73"/>
  <c r="E12" i="76"/>
  <c r="F5" i="73"/>
  <c r="E7" i="76"/>
  <c r="B8" i="76"/>
  <c r="F6" i="73"/>
  <c r="E10" i="76"/>
  <c r="D7" i="73"/>
  <c r="AO13" i="1"/>
  <c r="F3" i="73"/>
  <c r="B12" i="76"/>
  <c r="D18" i="71" l="1"/>
  <c r="U17" i="33"/>
  <c r="AB19" i="33"/>
  <c r="S12" i="21"/>
  <c r="AA12" i="21"/>
  <c r="F79" i="21"/>
  <c r="G79" i="21" s="1"/>
  <c r="H17" i="21"/>
  <c r="F17" i="21"/>
  <c r="J17" i="21"/>
  <c r="AC17" i="21" s="1"/>
  <c r="AC34" i="35"/>
  <c r="W34" i="35"/>
  <c r="AA38" i="40"/>
  <c r="S38" i="40"/>
  <c r="AA39" i="39"/>
  <c r="M7" i="1"/>
  <c r="O7" i="1" s="1"/>
  <c r="P7" i="1" s="1"/>
  <c r="N36" i="1"/>
  <c r="O36" i="1" s="1"/>
  <c r="AA35" i="33"/>
  <c r="AC39" i="34"/>
  <c r="AB20" i="36"/>
  <c r="U35" i="40"/>
  <c r="AA34" i="33"/>
  <c r="S15" i="37"/>
  <c r="AZ357" i="3"/>
  <c r="AZ306" i="3"/>
  <c r="AZ355" i="3"/>
  <c r="AZ351" i="3"/>
  <c r="AZ313" i="3"/>
  <c r="AZ304" i="3"/>
  <c r="AZ394" i="3"/>
  <c r="AZ341" i="3"/>
  <c r="AZ325" i="3"/>
  <c r="AZ309" i="3"/>
  <c r="W44" i="33"/>
  <c r="AC31" i="33"/>
  <c r="U14" i="40"/>
  <c r="AZ505" i="3"/>
  <c r="AZ515" i="3"/>
  <c r="AZ533" i="3"/>
  <c r="AZ555" i="3"/>
  <c r="AZ565" i="3"/>
  <c r="AZ516" i="3"/>
  <c r="AZ524" i="3"/>
  <c r="AZ528" i="3"/>
  <c r="AZ532" i="3"/>
  <c r="AZ536" i="3"/>
  <c r="AZ544" i="3"/>
  <c r="AZ554" i="3"/>
  <c r="AZ558" i="3"/>
  <c r="AZ566" i="3"/>
  <c r="AZ574" i="3"/>
  <c r="AZ582" i="3"/>
  <c r="AZ560" i="3"/>
  <c r="AZ584" i="3"/>
  <c r="AB30" i="21"/>
  <c r="U31" i="34"/>
  <c r="S41" i="33"/>
  <c r="J12" i="21"/>
  <c r="J9" i="33"/>
  <c r="J9" i="34"/>
  <c r="AC9" i="34" s="1"/>
  <c r="F34" i="35"/>
  <c r="H38" i="40"/>
  <c r="G582" i="3"/>
  <c r="G556" i="3"/>
  <c r="G552" i="3"/>
  <c r="M8" i="1"/>
  <c r="N37" i="1"/>
  <c r="O37" i="1" s="1"/>
  <c r="G398" i="3"/>
  <c r="BA399" i="3"/>
  <c r="BL399" i="3"/>
  <c r="BA400" i="3"/>
  <c r="AZ400" i="3" s="1"/>
  <c r="BA401" i="3"/>
  <c r="AZ401" i="3" s="1"/>
  <c r="BA402" i="3"/>
  <c r="AZ402" i="3" s="1"/>
  <c r="BL402" i="3"/>
  <c r="BA404" i="3"/>
  <c r="BL404" i="3"/>
  <c r="BA405" i="3"/>
  <c r="AZ405" i="3" s="1"/>
  <c r="BA406" i="3"/>
  <c r="BL406" i="3"/>
  <c r="BA407" i="3"/>
  <c r="AZ407" i="3" s="1"/>
  <c r="BA408" i="3"/>
  <c r="AZ408" i="3" s="1"/>
  <c r="BL410" i="3"/>
  <c r="G411" i="3"/>
  <c r="G413" i="3"/>
  <c r="BA414" i="3"/>
  <c r="BL414" i="3"/>
  <c r="BA415" i="3"/>
  <c r="AZ415" i="3" s="1"/>
  <c r="BA417" i="3"/>
  <c r="BL417" i="3"/>
  <c r="G420" i="3"/>
  <c r="BA421" i="3"/>
  <c r="BL421" i="3"/>
  <c r="BA423" i="3"/>
  <c r="BL423" i="3"/>
  <c r="BA424" i="3"/>
  <c r="AZ424" i="3" s="1"/>
  <c r="BL426" i="3"/>
  <c r="G427" i="3"/>
  <c r="G429" i="3"/>
  <c r="BA430" i="3"/>
  <c r="BL430" i="3"/>
  <c r="BA431" i="3"/>
  <c r="AZ431" i="3" s="1"/>
  <c r="BA433" i="3"/>
  <c r="BL433" i="3"/>
  <c r="G436" i="3"/>
  <c r="BL437" i="3"/>
  <c r="G438" i="3"/>
  <c r="BL439" i="3"/>
  <c r="G440" i="3"/>
  <c r="G442" i="3"/>
  <c r="G446" i="3"/>
  <c r="G448" i="3"/>
  <c r="BA449" i="3"/>
  <c r="BL449" i="3"/>
  <c r="G452" i="3"/>
  <c r="BA453" i="3"/>
  <c r="BL453" i="3"/>
  <c r="BA455" i="3"/>
  <c r="BL455" i="3"/>
  <c r="BA456" i="3"/>
  <c r="AZ456" i="3" s="1"/>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BA472" i="3"/>
  <c r="AZ472" i="3" s="1"/>
  <c r="BA473" i="3"/>
  <c r="AZ473" i="3" s="1"/>
  <c r="BL475" i="3"/>
  <c r="G476" i="3"/>
  <c r="G477" i="3"/>
  <c r="G479" i="3"/>
  <c r="BA480" i="3"/>
  <c r="BL480" i="3"/>
  <c r="BA482" i="3"/>
  <c r="BL482" i="3"/>
  <c r="BA483" i="3"/>
  <c r="AZ483" i="3" s="1"/>
  <c r="BL485" i="3"/>
  <c r="G486" i="3"/>
  <c r="BL487" i="3"/>
  <c r="G488" i="3"/>
  <c r="G311" i="3"/>
  <c r="BL312" i="3"/>
  <c r="AZ312" i="3" s="1"/>
  <c r="BA315" i="3"/>
  <c r="BA317" i="3"/>
  <c r="BL317" i="3"/>
  <c r="G323" i="3"/>
  <c r="BL324" i="3"/>
  <c r="AZ324" i="3" s="1"/>
  <c r="G334" i="3"/>
  <c r="BA335" i="3"/>
  <c r="AZ335" i="3" s="1"/>
  <c r="BA339" i="3"/>
  <c r="AZ339" i="3" s="1"/>
  <c r="BL353" i="3"/>
  <c r="AZ353"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44" i="3"/>
  <c r="AZ244" i="3" s="1"/>
  <c r="G247" i="3"/>
  <c r="G249" i="3"/>
  <c r="G251" i="3"/>
  <c r="G256" i="3"/>
  <c r="G258" i="3"/>
  <c r="BL259" i="3"/>
  <c r="G260" i="3"/>
  <c r="G262" i="3"/>
  <c r="BL263" i="3"/>
  <c r="G264" i="3"/>
  <c r="G266" i="3"/>
  <c r="G271" i="3"/>
  <c r="G343" i="3"/>
  <c r="G345" i="3"/>
  <c r="G351" i="3"/>
  <c r="BA358" i="3"/>
  <c r="AZ358" i="3" s="1"/>
  <c r="G366" i="3"/>
  <c r="BA367" i="3"/>
  <c r="AZ367" i="3" s="1"/>
  <c r="BL226" i="3"/>
  <c r="G227" i="3"/>
  <c r="BA228" i="3"/>
  <c r="BL228" i="3"/>
  <c r="G231" i="3"/>
  <c r="G233" i="3"/>
  <c r="G235" i="3"/>
  <c r="G240" i="3"/>
  <c r="G242" i="3"/>
  <c r="BA271" i="3"/>
  <c r="AZ271" i="3" s="1"/>
  <c r="BL271" i="3"/>
  <c r="BA272" i="3"/>
  <c r="AZ272" i="3" s="1"/>
  <c r="BA273" i="3"/>
  <c r="AZ273" i="3" s="1"/>
  <c r="BA275" i="3"/>
  <c r="AZ275" i="3" s="1"/>
  <c r="BL275" i="3"/>
  <c r="BA276" i="3"/>
  <c r="AZ276" i="3" s="1"/>
  <c r="BL278" i="3"/>
  <c r="G279" i="3"/>
  <c r="BL280" i="3"/>
  <c r="G281" i="3"/>
  <c r="BA282" i="3"/>
  <c r="BL282" i="3"/>
  <c r="BL284" i="3"/>
  <c r="G285" i="3"/>
  <c r="G288" i="3"/>
  <c r="G291" i="3"/>
  <c r="G294" i="3"/>
  <c r="BL295" i="3"/>
  <c r="G296" i="3"/>
  <c r="BL297" i="3"/>
  <c r="G298" i="3"/>
  <c r="G300" i="3"/>
  <c r="BA301" i="3"/>
  <c r="BL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BL155" i="3"/>
  <c r="AZ155" i="3" s="1"/>
  <c r="G156" i="3"/>
  <c r="G158" i="3"/>
  <c r="BA160" i="3"/>
  <c r="AZ160" i="3" s="1"/>
  <c r="G163" i="3"/>
  <c r="BA164" i="3"/>
  <c r="AZ164" i="3" s="1"/>
  <c r="BL166" i="3"/>
  <c r="G167" i="3"/>
  <c r="BA168" i="3"/>
  <c r="AZ168" i="3" s="1"/>
  <c r="BL170" i="3"/>
  <c r="G171" i="3"/>
  <c r="BA172" i="3"/>
  <c r="AZ172" i="3" s="1"/>
  <c r="G175" i="3"/>
  <c r="G178" i="3"/>
  <c r="BA181" i="3"/>
  <c r="AZ181" i="3" s="1"/>
  <c r="BA182" i="3"/>
  <c r="AZ182" i="3" s="1"/>
  <c r="BL183" i="3"/>
  <c r="AZ183" i="3" s="1"/>
  <c r="BA185" i="3"/>
  <c r="AZ185" i="3" s="1"/>
  <c r="BA186" i="3"/>
  <c r="AZ186" i="3" s="1"/>
  <c r="BA188" i="3"/>
  <c r="AZ188" i="3" s="1"/>
  <c r="G191" i="3"/>
  <c r="G194" i="3"/>
  <c r="BL197" i="3"/>
  <c r="G198" i="3"/>
  <c r="G200" i="3"/>
  <c r="BL201" i="3"/>
  <c r="G202" i="3"/>
  <c r="G204" i="3"/>
  <c r="BA205" i="3"/>
  <c r="BL205" i="3"/>
  <c r="BL207" i="3"/>
  <c r="BA18" i="3"/>
  <c r="AZ18" i="3" s="1"/>
  <c r="BA19" i="3"/>
  <c r="AZ19" i="3" s="1"/>
  <c r="BA20" i="3"/>
  <c r="AZ20" i="3" s="1"/>
  <c r="BL22" i="3"/>
  <c r="G23" i="3"/>
  <c r="G25" i="3"/>
  <c r="BL26" i="3"/>
  <c r="G27" i="3"/>
  <c r="G30" i="3"/>
  <c r="BL31" i="3"/>
  <c r="G32" i="3"/>
  <c r="BL33" i="3"/>
  <c r="G34" i="3"/>
  <c r="G36" i="3"/>
  <c r="BL37" i="3"/>
  <c r="G38" i="3"/>
  <c r="BL39" i="3"/>
  <c r="G40" i="3"/>
  <c r="BL41" i="3"/>
  <c r="G42" i="3"/>
  <c r="BL43" i="3"/>
  <c r="G44" i="3"/>
  <c r="G46" i="3"/>
  <c r="BL47" i="3"/>
  <c r="G48" i="3"/>
  <c r="G53" i="3"/>
  <c r="BL55" i="3"/>
  <c r="G56" i="3"/>
  <c r="BL58" i="3"/>
  <c r="G59" i="3"/>
  <c r="BA60" i="3"/>
  <c r="BL60" i="3"/>
  <c r="BA62" i="3"/>
  <c r="AZ62" i="3" s="1"/>
  <c r="BA63" i="3"/>
  <c r="AZ63" i="3" s="1"/>
  <c r="BL65" i="3"/>
  <c r="G66" i="3"/>
  <c r="BL67" i="3"/>
  <c r="G68" i="3"/>
  <c r="G70" i="3"/>
  <c r="BL71" i="3"/>
  <c r="G72" i="3"/>
  <c r="BA73" i="3"/>
  <c r="AZ73" i="3" s="1"/>
  <c r="BL73" i="3"/>
  <c r="BA74" i="3"/>
  <c r="AZ74" i="3" s="1"/>
  <c r="BL74" i="3"/>
  <c r="BL76" i="3"/>
  <c r="G77" i="3"/>
  <c r="BA78" i="3"/>
  <c r="BL78" i="3"/>
  <c r="D50" i="71"/>
  <c r="C51" i="71"/>
  <c r="F31" i="71"/>
  <c r="F32" i="71" s="1"/>
  <c r="V32" i="71" s="1"/>
  <c r="Y30" i="71"/>
  <c r="Z30" i="71" s="1"/>
  <c r="X29" i="71"/>
  <c r="BA80" i="3"/>
  <c r="BL80" i="3"/>
  <c r="BA81" i="3"/>
  <c r="AZ81" i="3" s="1"/>
  <c r="BA82" i="3"/>
  <c r="AZ82" i="3" s="1"/>
  <c r="BA83" i="3"/>
  <c r="AZ83" i="3" s="1"/>
  <c r="BA84" i="3"/>
  <c r="AZ84" i="3" s="1"/>
  <c r="BA85" i="3"/>
  <c r="AZ85" i="3" s="1"/>
  <c r="BA86" i="3"/>
  <c r="AZ86" i="3" s="1"/>
  <c r="BA88" i="3"/>
  <c r="BL88" i="3"/>
  <c r="BA90" i="3"/>
  <c r="AZ90" i="3" s="1"/>
  <c r="BA92" i="3"/>
  <c r="AZ92" i="3" s="1"/>
  <c r="BA93" i="3"/>
  <c r="AZ93" i="3" s="1"/>
  <c r="BA94" i="3"/>
  <c r="AZ94" i="3" s="1"/>
  <c r="BA96" i="3"/>
  <c r="AZ96" i="3" s="1"/>
  <c r="BA97" i="3"/>
  <c r="AZ97" i="3" s="1"/>
  <c r="BA99" i="3"/>
  <c r="AZ99" i="3" s="1"/>
  <c r="BA101" i="3"/>
  <c r="AZ101" i="3" s="1"/>
  <c r="BL101" i="3"/>
  <c r="BA103" i="3"/>
  <c r="AZ103" i="3" s="1"/>
  <c r="BA105" i="3"/>
  <c r="BL105" i="3"/>
  <c r="BA106" i="3"/>
  <c r="AZ106" i="3" s="1"/>
  <c r="BA107" i="3"/>
  <c r="AZ107" i="3" s="1"/>
  <c r="BA109" i="3"/>
  <c r="BL109" i="3"/>
  <c r="BA111" i="3"/>
  <c r="BL111" i="3"/>
  <c r="BL112" i="3"/>
  <c r="C29" i="39"/>
  <c r="B68" i="43"/>
  <c r="B77" i="43"/>
  <c r="P27" i="6"/>
  <c r="F35" i="71"/>
  <c r="F36" i="71" s="1"/>
  <c r="V36" i="71" s="1"/>
  <c r="Y34" i="71"/>
  <c r="Z34" i="71" s="1"/>
  <c r="X33" i="71"/>
  <c r="W9" i="39"/>
  <c r="I7" i="36"/>
  <c r="E7" i="36"/>
  <c r="G7" i="36"/>
  <c r="W12" i="34"/>
  <c r="AC12" i="34"/>
  <c r="AB40" i="40"/>
  <c r="U40" i="40"/>
  <c r="H87" i="35"/>
  <c r="I87" i="35" s="1"/>
  <c r="J87" i="35" s="1"/>
  <c r="K87" i="35" s="1"/>
  <c r="L87" i="35" s="1"/>
  <c r="M87" i="35" s="1"/>
  <c r="J29" i="35"/>
  <c r="W29" i="35" s="1"/>
  <c r="F29" i="35"/>
  <c r="S29" i="35" s="1"/>
  <c r="H29" i="35"/>
  <c r="AB29" i="35" s="1"/>
  <c r="AZ315" i="3"/>
  <c r="C48" i="35"/>
  <c r="D48" i="35" s="1"/>
  <c r="G7" i="35"/>
  <c r="I7" i="35"/>
  <c r="E7" i="35"/>
  <c r="D20" i="71"/>
  <c r="U20" i="71" s="1"/>
  <c r="T20" i="71"/>
  <c r="AB45" i="21"/>
  <c r="S17" i="37"/>
  <c r="AA29" i="21"/>
  <c r="U44" i="34"/>
  <c r="AZ391" i="3"/>
  <c r="AZ322" i="3"/>
  <c r="AZ311" i="3"/>
  <c r="AZ389" i="3"/>
  <c r="AZ347" i="3"/>
  <c r="AZ378" i="3"/>
  <c r="AB14" i="37"/>
  <c r="U14" i="37"/>
  <c r="U27" i="37"/>
  <c r="AB27" i="37"/>
  <c r="AC12" i="40"/>
  <c r="W12" i="40"/>
  <c r="AZ581" i="3"/>
  <c r="BL586" i="3"/>
  <c r="AZ586" i="3" s="1"/>
  <c r="BA551" i="3"/>
  <c r="AZ551" i="3" s="1"/>
  <c r="BL550" i="3"/>
  <c r="BA550" i="3"/>
  <c r="H5" i="3"/>
  <c r="BB5" i="3"/>
  <c r="E5" i="6" s="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AZ467" i="3" s="1"/>
  <c r="BA468" i="3"/>
  <c r="AZ468" i="3" s="1"/>
  <c r="BA469" i="3"/>
  <c r="BL469" i="3"/>
  <c r="BA470" i="3"/>
  <c r="AZ470" i="3" s="1"/>
  <c r="G473" i="3"/>
  <c r="G474" i="3"/>
  <c r="BL474" i="3"/>
  <c r="BA475" i="3"/>
  <c r="AZ475" i="3" s="1"/>
  <c r="AZ481" i="3"/>
  <c r="AZ487" i="3"/>
  <c r="AZ379" i="3"/>
  <c r="AZ345" i="3"/>
  <c r="AZ318" i="3"/>
  <c r="AZ372" i="3"/>
  <c r="AZ337" i="3"/>
  <c r="AZ320" i="3"/>
  <c r="AZ305" i="3"/>
  <c r="AZ376" i="3"/>
  <c r="AZ362" i="3"/>
  <c r="AZ360" i="3"/>
  <c r="AZ343" i="3"/>
  <c r="AC12" i="37"/>
  <c r="AZ511" i="3"/>
  <c r="AZ519" i="3"/>
  <c r="AZ569" i="3"/>
  <c r="AZ577" i="3"/>
  <c r="AZ495" i="3"/>
  <c r="AZ513" i="3"/>
  <c r="AZ517" i="3"/>
  <c r="AZ567" i="3"/>
  <c r="AZ571" i="3"/>
  <c r="AZ575" i="3"/>
  <c r="AZ579" i="3"/>
  <c r="AZ568" i="3"/>
  <c r="AZ576" i="3"/>
  <c r="AB45" i="33"/>
  <c r="AB46" i="34"/>
  <c r="AA14" i="33"/>
  <c r="AA44" i="33"/>
  <c r="AC11" i="35"/>
  <c r="AB17" i="34"/>
  <c r="J11" i="21"/>
  <c r="W11" i="21" s="1"/>
  <c r="C21" i="39"/>
  <c r="C25" i="39"/>
  <c r="F11" i="21"/>
  <c r="S11" i="21" s="1"/>
  <c r="S27" i="35"/>
  <c r="W39" i="33"/>
  <c r="U33" i="33"/>
  <c r="F26" i="33"/>
  <c r="W9" i="34"/>
  <c r="W36" i="35"/>
  <c r="AC27" i="35"/>
  <c r="W28" i="36"/>
  <c r="U30" i="37"/>
  <c r="BL585" i="3"/>
  <c r="AZ585" i="3" s="1"/>
  <c r="B73" i="43"/>
  <c r="B79" i="43"/>
  <c r="B76" i="43"/>
  <c r="B75" i="43"/>
  <c r="F12" i="34"/>
  <c r="F12" i="35"/>
  <c r="G574" i="3"/>
  <c r="G558" i="3"/>
  <c r="G542" i="3"/>
  <c r="BL15" i="3"/>
  <c r="AZ15" i="3" s="1"/>
  <c r="A15" i="62"/>
  <c r="B61" i="72" s="1"/>
  <c r="AZ403" i="3"/>
  <c r="AZ409" i="3"/>
  <c r="AZ416" i="3"/>
  <c r="AZ418" i="3"/>
  <c r="AZ422" i="3"/>
  <c r="AZ425" i="3"/>
  <c r="AZ432" i="3"/>
  <c r="AZ434" i="3"/>
  <c r="AZ445" i="3"/>
  <c r="AZ447" i="3"/>
  <c r="AZ450" i="3"/>
  <c r="AZ454" i="3"/>
  <c r="AZ459" i="3"/>
  <c r="AZ464" i="3"/>
  <c r="BL476" i="3"/>
  <c r="G478" i="3"/>
  <c r="BL478" i="3"/>
  <c r="BA479" i="3"/>
  <c r="AZ479" i="3" s="1"/>
  <c r="G484" i="3"/>
  <c r="BL484" i="3"/>
  <c r="AZ484" i="3" s="1"/>
  <c r="BA485" i="3"/>
  <c r="AZ485" i="3" s="1"/>
  <c r="G490" i="3"/>
  <c r="G491" i="3"/>
  <c r="G492" i="3"/>
  <c r="BL492" i="3"/>
  <c r="AZ492" i="3" s="1"/>
  <c r="G307" i="3"/>
  <c r="BL308" i="3"/>
  <c r="AZ308" i="3" s="1"/>
  <c r="BL314" i="3"/>
  <c r="AZ314" i="3" s="1"/>
  <c r="BL287" i="3"/>
  <c r="AZ287" i="3" s="1"/>
  <c r="G290" i="3"/>
  <c r="BL290" i="3"/>
  <c r="G293" i="3"/>
  <c r="BL293" i="3"/>
  <c r="BA294" i="3"/>
  <c r="AZ294" i="3" s="1"/>
  <c r="BA295" i="3"/>
  <c r="AZ295" i="3" s="1"/>
  <c r="BA296" i="3"/>
  <c r="AZ296" i="3" s="1"/>
  <c r="BA297" i="3"/>
  <c r="AZ297" i="3" s="1"/>
  <c r="BL299" i="3"/>
  <c r="AZ299" i="3" s="1"/>
  <c r="BA300" i="3"/>
  <c r="AZ300" i="3" s="1"/>
  <c r="BL114" i="3"/>
  <c r="AZ114" i="3" s="1"/>
  <c r="BA116" i="3"/>
  <c r="AZ116" i="3" s="1"/>
  <c r="G118" i="3"/>
  <c r="BL118" i="3"/>
  <c r="AZ118" i="3" s="1"/>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316" i="3"/>
  <c r="AZ316" i="3" s="1"/>
  <c r="BA319" i="3"/>
  <c r="AZ319" i="3" s="1"/>
  <c r="BA323" i="3"/>
  <c r="AZ323" i="3" s="1"/>
  <c r="BL328" i="3"/>
  <c r="AZ328" i="3" s="1"/>
  <c r="BL333" i="3"/>
  <c r="AZ333" i="3" s="1"/>
  <c r="G339" i="3"/>
  <c r="BL340" i="3"/>
  <c r="AZ340" i="3" s="1"/>
  <c r="G347" i="3"/>
  <c r="BL350" i="3"/>
  <c r="AZ350"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AZ121" i="3"/>
  <c r="BL157" i="3"/>
  <c r="AZ157" i="3" s="1"/>
  <c r="BL162" i="3"/>
  <c r="AZ162" i="3" s="1"/>
  <c r="G164" i="3"/>
  <c r="BA165" i="3"/>
  <c r="AZ165" i="3" s="1"/>
  <c r="BA166" i="3"/>
  <c r="AZ166" i="3" s="1"/>
  <c r="BL167" i="3"/>
  <c r="AZ167" i="3" s="1"/>
  <c r="BA169" i="3"/>
  <c r="AZ169" i="3" s="1"/>
  <c r="BA170" i="3"/>
  <c r="AZ170" i="3" s="1"/>
  <c r="BL171" i="3"/>
  <c r="AZ171" i="3" s="1"/>
  <c r="BL174" i="3"/>
  <c r="AZ174" i="3" s="1"/>
  <c r="BA176" i="3"/>
  <c r="AZ176" i="3" s="1"/>
  <c r="BL177" i="3"/>
  <c r="G180" i="3"/>
  <c r="BL75" i="3"/>
  <c r="AZ75" i="3" s="1"/>
  <c r="BA76" i="3"/>
  <c r="AZ76" i="3" s="1"/>
  <c r="BA77" i="3"/>
  <c r="AZ77" i="3" s="1"/>
  <c r="BL79" i="3"/>
  <c r="AZ79"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27" i="71"/>
  <c r="B26" i="71" s="1"/>
  <c r="S28" i="71"/>
  <c r="D30" i="71"/>
  <c r="C31" i="71"/>
  <c r="G182" i="3"/>
  <c r="G183" i="3"/>
  <c r="G186" i="3"/>
  <c r="G187" i="3"/>
  <c r="G188" i="3"/>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G19" i="3"/>
  <c r="G20" i="3"/>
  <c r="G21" i="3"/>
  <c r="BL21" i="3"/>
  <c r="AZ21" i="3" s="1"/>
  <c r="BA22" i="3"/>
  <c r="AZ22" i="3" s="1"/>
  <c r="BL24" i="3"/>
  <c r="AZ24" i="3" s="1"/>
  <c r="BA25" i="3"/>
  <c r="AZ25" i="3" s="1"/>
  <c r="BA26" i="3"/>
  <c r="AZ26" i="3" s="1"/>
  <c r="BL28" i="3"/>
  <c r="AZ28" i="3" s="1"/>
  <c r="G29" i="3"/>
  <c r="BL29" i="3"/>
  <c r="AZ29" i="3" s="1"/>
  <c r="BA30" i="3"/>
  <c r="AZ30" i="3" s="1"/>
  <c r="BA31" i="3"/>
  <c r="AZ31" i="3" s="1"/>
  <c r="BA32" i="3"/>
  <c r="AZ32" i="3" s="1"/>
  <c r="BA33" i="3"/>
  <c r="AZ33" i="3" s="1"/>
  <c r="BL35" i="3"/>
  <c r="AZ35" i="3" s="1"/>
  <c r="BA36" i="3"/>
  <c r="AZ36" i="3" s="1"/>
  <c r="BA37" i="3"/>
  <c r="AZ37" i="3" s="1"/>
  <c r="BA38" i="3"/>
  <c r="AZ38" i="3" s="1"/>
  <c r="BA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G63" i="3"/>
  <c r="G64" i="3"/>
  <c r="BL64" i="3"/>
  <c r="AZ64" i="3" s="1"/>
  <c r="BA65" i="3"/>
  <c r="AZ65" i="3" s="1"/>
  <c r="BA66" i="3"/>
  <c r="AZ66" i="3" s="1"/>
  <c r="BA67" i="3"/>
  <c r="AZ67" i="3" s="1"/>
  <c r="BL69" i="3"/>
  <c r="AZ69" i="3" s="1"/>
  <c r="BA70" i="3"/>
  <c r="AZ70" i="3" s="1"/>
  <c r="BA71" i="3"/>
  <c r="AZ71" i="3" s="1"/>
  <c r="BA72" i="3"/>
  <c r="AZ72" i="3" s="1"/>
  <c r="D66" i="71"/>
  <c r="O66" i="71"/>
  <c r="O65" i="71"/>
  <c r="T56" i="71"/>
  <c r="D56" i="71"/>
  <c r="C40" i="71"/>
  <c r="D39" i="71"/>
  <c r="C35" i="71"/>
  <c r="D34" i="71"/>
  <c r="D58" i="71"/>
  <c r="C59" i="71"/>
  <c r="BL110" i="3"/>
  <c r="AZ110" i="3" s="1"/>
  <c r="BA112" i="3"/>
  <c r="AZ112" i="3" s="1"/>
  <c r="AC21" i="34"/>
  <c r="U21" i="34"/>
  <c r="S21" i="34"/>
  <c r="P66" i="71"/>
  <c r="D67" i="71"/>
  <c r="X28" i="71"/>
  <c r="X26" i="71"/>
  <c r="AB33" i="71"/>
  <c r="X31" i="71"/>
  <c r="X30" i="71"/>
  <c r="B43" i="71"/>
  <c r="B44" i="71" s="1"/>
  <c r="S44" i="71" s="1"/>
  <c r="B63" i="71"/>
  <c r="B64" i="71" s="1"/>
  <c r="S64" i="71" s="1"/>
  <c r="J57" i="9"/>
  <c r="J59" i="9" s="1"/>
  <c r="J61" i="9" s="1"/>
  <c r="J41" i="39"/>
  <c r="F41" i="39"/>
  <c r="S41" i="39" s="1"/>
  <c r="U19" i="39"/>
  <c r="D3" i="36"/>
  <c r="C7" i="12"/>
  <c r="BA13" i="3"/>
  <c r="BA5" i="3" s="1"/>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F40" i="67"/>
  <c r="M24" i="67"/>
  <c r="F42" i="15"/>
  <c r="C76" i="15"/>
  <c r="M29" i="15"/>
  <c r="M29" i="67"/>
  <c r="L47" i="67"/>
  <c r="F16" i="15"/>
  <c r="F37" i="15"/>
  <c r="F36" i="15"/>
  <c r="M28" i="15"/>
  <c r="F6" i="67"/>
  <c r="M26" i="15"/>
  <c r="F26" i="15"/>
  <c r="M23" i="67"/>
  <c r="L48" i="67"/>
  <c r="J15" i="67"/>
  <c r="M6" i="67"/>
  <c r="F13" i="67"/>
  <c r="M8" i="15"/>
  <c r="L47" i="15"/>
  <c r="M22" i="15"/>
  <c r="L48" i="15"/>
  <c r="F13" i="15"/>
  <c r="J15" i="15"/>
  <c r="M26" i="67"/>
  <c r="M22" i="67"/>
  <c r="M9" i="67"/>
  <c r="F36" i="67"/>
  <c r="F26" i="67"/>
  <c r="M23" i="15"/>
  <c r="F6" i="15"/>
  <c r="F37" i="67"/>
  <c r="F16" i="67"/>
  <c r="G1" i="73"/>
  <c r="C76" i="67"/>
  <c r="M24" i="15"/>
  <c r="M28" i="67"/>
  <c r="F38" i="15"/>
  <c r="M8" i="67"/>
  <c r="F43" i="15"/>
  <c r="F7" i="67"/>
  <c r="F43" i="67"/>
  <c r="F40" i="15"/>
  <c r="F9" i="15"/>
  <c r="F9" i="67"/>
  <c r="F38" i="67"/>
  <c r="F42" i="67"/>
  <c r="F7" i="15"/>
  <c r="M9" i="15"/>
  <c r="F8" i="67"/>
  <c r="F8" i="15"/>
  <c r="M6" i="15"/>
  <c r="H7" i="36" l="1"/>
  <c r="AZ451" i="3"/>
  <c r="AZ438" i="3"/>
  <c r="AZ435" i="3"/>
  <c r="AZ419" i="3"/>
  <c r="AZ111" i="3"/>
  <c r="AZ109" i="3"/>
  <c r="AZ105" i="3"/>
  <c r="AZ88" i="3"/>
  <c r="AZ80" i="3"/>
  <c r="C52" i="71"/>
  <c r="D51" i="71"/>
  <c r="AZ129" i="3"/>
  <c r="AZ302" i="3"/>
  <c r="AZ282" i="3"/>
  <c r="AZ228" i="3"/>
  <c r="AZ317" i="3"/>
  <c r="AZ462" i="3"/>
  <c r="AZ433" i="3"/>
  <c r="AZ417" i="3"/>
  <c r="AZ406" i="3"/>
  <c r="AB38" i="40"/>
  <c r="U38" i="40"/>
  <c r="AC12" i="21"/>
  <c r="W12" i="21"/>
  <c r="AA17" i="21"/>
  <c r="S17" i="21"/>
  <c r="AA34" i="35"/>
  <c r="S34" i="35"/>
  <c r="AC9" i="33"/>
  <c r="W9" i="33"/>
  <c r="AB17" i="21"/>
  <c r="U17" i="21"/>
  <c r="AA41" i="39"/>
  <c r="C60" i="71"/>
  <c r="D59" i="71"/>
  <c r="C32" i="71"/>
  <c r="D31" i="71"/>
  <c r="S12" i="35"/>
  <c r="AA12" i="35"/>
  <c r="AA26" i="33"/>
  <c r="S26" i="33"/>
  <c r="AZ469" i="3"/>
  <c r="AZ550" i="3"/>
  <c r="BL5" i="3"/>
  <c r="T40" i="71"/>
  <c r="D40" i="71"/>
  <c r="S12" i="34"/>
  <c r="AA12" i="34"/>
  <c r="W41" i="39"/>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F41" i="67"/>
  <c r="C16" i="67"/>
  <c r="C16" i="15"/>
  <c r="T52" i="71" l="1"/>
  <c r="D52" i="71"/>
  <c r="F67" i="39"/>
  <c r="T32" i="71"/>
  <c r="D32" i="71"/>
  <c r="T60" i="71"/>
  <c r="D60" i="71"/>
  <c r="D26" i="43"/>
  <c r="C25" i="43" s="1"/>
  <c r="E3" i="6"/>
  <c r="AC6" i="3"/>
  <c r="H6" i="3"/>
  <c r="E6" i="3" s="1"/>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15"/>
  <c r="F41" i="15"/>
  <c r="M27" i="67"/>
  <c r="B14" i="74" l="1"/>
  <c r="B1" i="74" s="1"/>
  <c r="C48" i="67"/>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67"/>
  <c r="C17" i="15"/>
  <c r="B21" i="1" l="1"/>
  <c r="C44" i="68" s="1"/>
  <c r="D41" i="68" s="1"/>
  <c r="D30" i="6"/>
  <c r="C14" i="74"/>
  <c r="B2" i="74" s="1"/>
  <c r="D7" i="74" s="1"/>
  <c r="C66" i="67"/>
  <c r="H24" i="6"/>
  <c r="H22" i="6"/>
  <c r="R22" i="6" s="1"/>
  <c r="R9" i="1" s="1"/>
  <c r="H25" i="6"/>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44" i="11" l="1"/>
  <c r="D41" i="11" s="1"/>
  <c r="B24" i="1"/>
  <c r="F11" i="12" s="1"/>
  <c r="C14" i="12" s="1"/>
  <c r="C16" i="12" s="1"/>
  <c r="C21" i="12" s="1"/>
  <c r="C22" i="12" s="1"/>
  <c r="B23" i="1"/>
  <c r="C25" i="11" s="1"/>
  <c r="C28" i="11"/>
  <c r="C27" i="11" s="1"/>
  <c r="C29" i="68"/>
  <c r="D27" i="68" s="1"/>
  <c r="C24" i="11"/>
  <c r="C29" i="11"/>
  <c r="D27" i="11" s="1"/>
  <c r="E2" i="70"/>
  <c r="M59" i="67"/>
  <c r="C11" i="71"/>
  <c r="T12" i="71"/>
  <c r="D12" i="71"/>
  <c r="U12"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3" i="11" l="1"/>
  <c r="C22" i="11" s="1"/>
  <c r="C26" i="11"/>
  <c r="D22" i="11" s="1"/>
  <c r="C26" i="68"/>
  <c r="D22" i="68" s="1"/>
  <c r="F50" i="69"/>
  <c r="C26" i="12"/>
  <c r="D25" i="12" s="1"/>
  <c r="F34" i="68"/>
  <c r="C36" i="68" s="1"/>
  <c r="F50" i="11"/>
  <c r="C29" i="12"/>
  <c r="D28" i="12" s="1"/>
  <c r="F50" i="68"/>
  <c r="M59" i="15"/>
  <c r="F34" i="11"/>
  <c r="C34" i="11" s="1"/>
  <c r="C38" i="11" s="1"/>
  <c r="C10" i="71"/>
  <c r="D11"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1" i="11" l="1"/>
  <c r="C37" i="11"/>
  <c r="C34" i="68"/>
  <c r="C35" i="68" s="1"/>
  <c r="C37" i="68"/>
  <c r="C35" i="11"/>
  <c r="C36" i="11"/>
  <c r="C33" i="11" s="1"/>
  <c r="C39" i="11" s="1"/>
  <c r="C9" i="71"/>
  <c r="D10" i="71"/>
  <c r="Q49" i="67"/>
  <c r="J14" i="67"/>
  <c r="J13" i="67" s="1"/>
  <c r="J23" i="67" s="1"/>
  <c r="C36" i="67"/>
  <c r="C57" i="67"/>
  <c r="C64" i="67" s="1"/>
  <c r="C13" i="67"/>
  <c r="Q70" i="67"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C38" i="68" l="1"/>
  <c r="C33" i="68" s="1"/>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4" i="9" l="1"/>
  <c r="C92"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1" i="68" l="1"/>
  <c r="C46" i="68"/>
  <c r="C45" i="68" s="1"/>
  <c r="D7" i="71"/>
  <c r="C6"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9" i="68"/>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M24" i="43" l="1"/>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10" i="1"/>
  <c r="AO12" i="1"/>
  <c r="AO11" i="1"/>
  <c r="AO9" i="1"/>
  <c r="AO6" i="1"/>
  <c r="AO7" i="1"/>
  <c r="B3" i="36" l="1"/>
  <c r="E6" i="12" s="1"/>
  <c r="E8" i="12"/>
  <c r="B3" i="35"/>
  <c r="D6" i="12" s="1"/>
  <c r="D8" i="12"/>
  <c r="C4" i="12"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B2" i="70"/>
  <c r="B3" i="70" s="1"/>
  <c r="B56" i="39"/>
  <c r="F56" i="39" s="1"/>
  <c r="L123" i="9" s="1"/>
  <c r="B63" i="39"/>
  <c r="F63" i="39" s="1"/>
  <c r="B64" i="39"/>
  <c r="F64" i="39" s="1"/>
  <c r="B60" i="39"/>
  <c r="F60" i="39" s="1"/>
  <c r="B61" i="39"/>
  <c r="F61" i="39" s="1"/>
  <c r="L125" i="9" s="1"/>
  <c r="B57" i="39"/>
  <c r="F57" i="39" s="1"/>
  <c r="B58" i="39"/>
  <c r="F58" i="39" s="1"/>
  <c r="B62" i="39"/>
  <c r="F62" i="39" s="1"/>
  <c r="L124" i="9" s="1"/>
  <c r="B59" i="39"/>
  <c r="F59" i="39" s="1"/>
  <c r="I46" i="40"/>
  <c r="J46" i="40" s="1"/>
  <c r="R43" i="40"/>
  <c r="E42" i="40"/>
  <c r="G47" i="40"/>
  <c r="H47" i="40" s="1"/>
  <c r="G46" i="40"/>
  <c r="H46" i="40" s="1"/>
  <c r="M123" i="9" l="1"/>
  <c r="L126" i="9"/>
  <c r="C30" i="12"/>
  <c r="C28" i="12" s="1"/>
  <c r="C27" i="12"/>
  <c r="C25" i="12" s="1"/>
  <c r="F65" i="39"/>
  <c r="B2" i="39" s="1"/>
  <c r="C6" i="68" s="1"/>
  <c r="C7" i="68" s="1"/>
  <c r="C5" i="68" s="1"/>
  <c r="C42" i="40"/>
  <c r="C43" i="40"/>
  <c r="E47" i="40"/>
  <c r="F47" i="40" s="1"/>
  <c r="E46" i="40"/>
  <c r="F46" i="40" s="1"/>
  <c r="I47" i="40"/>
  <c r="J47" i="40" s="1"/>
  <c r="C32" i="12" l="1"/>
  <c r="B2" i="12" s="1"/>
  <c r="B3" i="39"/>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5" i="68"/>
  <c r="C22" i="68" s="1"/>
  <c r="D20" i="9"/>
  <c r="D103" i="9" l="1"/>
  <c r="C31" i="68"/>
  <c r="C52" i="68" s="1"/>
  <c r="B2" i="68" l="1"/>
  <c r="C57" i="68"/>
  <c r="C56" i="68" s="1"/>
  <c r="C19" i="9"/>
  <c r="G19" i="9" l="1"/>
  <c r="G21" i="9" s="1"/>
  <c r="C102" i="9"/>
  <c r="D22" i="9"/>
  <c r="C21" i="9"/>
  <c r="B3" i="68"/>
  <c r="D35" i="9"/>
  <c r="D34" i="9"/>
  <c r="C20" i="9"/>
  <c r="G20" i="9" l="1"/>
  <c r="C32" i="9" s="1"/>
  <c r="C103" i="9"/>
  <c r="C35" i="9" l="1"/>
  <c r="C34" i="9" s="1"/>
  <c r="D118" i="9" s="1"/>
  <c r="N123" i="9" s="1"/>
  <c r="P123" i="9" s="1"/>
  <c r="H118" i="9"/>
  <c r="H101" i="9" l="1"/>
  <c r="D14" i="74" s="1"/>
  <c r="E14" i="74" s="1"/>
  <c r="D119" i="9"/>
  <c r="D5" i="52" s="1"/>
  <c r="B49" i="72" s="1"/>
  <c r="F118" i="9"/>
  <c r="C104" i="9"/>
  <c r="I118" i="9"/>
  <c r="D4" i="52"/>
  <c r="B47" i="72" s="1"/>
  <c r="H119" i="9"/>
  <c r="H5" i="52" s="1"/>
  <c r="H4" i="52"/>
  <c r="M48" i="9" l="1"/>
  <c r="F14" i="74"/>
  <c r="D45" i="9"/>
  <c r="C93" i="9" s="1"/>
  <c r="C86" i="9" s="1"/>
  <c r="H107" i="9"/>
  <c r="G14" i="74" s="1"/>
  <c r="D5" i="53"/>
  <c r="B20" i="72" s="1"/>
  <c r="F4" i="52"/>
  <c r="B51" i="72" s="1"/>
  <c r="F119" i="9"/>
  <c r="F5" i="52" s="1"/>
  <c r="B53" i="72" s="1"/>
  <c r="G118" i="9"/>
  <c r="D55" i="9"/>
  <c r="M53" i="9" s="1"/>
  <c r="C105" i="9"/>
  <c r="H102" i="9"/>
  <c r="I4" i="52"/>
  <c r="D122" i="9" l="1"/>
  <c r="D8" i="52" s="1"/>
  <c r="D13" i="53"/>
  <c r="D14" i="53" s="1"/>
  <c r="B32" i="72" s="1"/>
  <c r="C72" i="9"/>
  <c r="D6" i="53"/>
  <c r="B22" i="72" s="1"/>
  <c r="C64" i="9"/>
  <c r="C63" i="9" s="1"/>
  <c r="C67" i="9" s="1"/>
  <c r="C68" i="9" s="1"/>
  <c r="D54" i="9" s="1"/>
  <c r="C85" i="9"/>
  <c r="C95" i="9" s="1"/>
  <c r="D52" i="9"/>
  <c r="C78" i="9"/>
  <c r="C73" i="9" s="1"/>
  <c r="D53" i="9"/>
  <c r="M49" i="9"/>
  <c r="L65" i="9" s="1"/>
  <c r="M65" i="9" s="1"/>
  <c r="G4" i="52"/>
  <c r="B52" i="72" s="1"/>
  <c r="E118" i="9"/>
  <c r="K112" i="9" s="1"/>
  <c r="L112" i="9" s="1"/>
  <c r="D7" i="53"/>
  <c r="B21" i="72" s="1"/>
  <c r="B30" i="72"/>
  <c r="H108" i="9"/>
  <c r="D59" i="9"/>
  <c r="M55" i="9" s="1"/>
  <c r="D123" i="9"/>
  <c r="D9" i="52" s="1"/>
  <c r="D48" i="9" l="1"/>
  <c r="M52" i="9" s="1"/>
  <c r="L68" i="9"/>
  <c r="M68" i="9" s="1"/>
  <c r="C79" i="9"/>
  <c r="L66" i="9"/>
  <c r="M66" i="9" s="1"/>
  <c r="L67" i="9"/>
  <c r="M67" i="9" s="1"/>
  <c r="L63" i="9"/>
  <c r="M63" i="9" s="1"/>
  <c r="L64" i="9"/>
  <c r="M64" i="9" s="1"/>
  <c r="E4" i="52"/>
  <c r="B48" i="72" s="1"/>
  <c r="C80" i="9"/>
  <c r="E80" i="9" s="1"/>
  <c r="E81" i="9" s="1"/>
  <c r="C96" i="9"/>
  <c r="E96" i="9" s="1"/>
  <c r="E97" i="9" s="1"/>
  <c r="D15" i="53"/>
  <c r="B31" i="72" s="1"/>
  <c r="M69" i="9" l="1"/>
  <c r="N69" i="9" s="1"/>
  <c r="C97" i="9"/>
  <c r="D58" i="9" s="1"/>
  <c r="D56" i="9" s="1"/>
  <c r="M54" i="9" s="1"/>
  <c r="N57" i="9" s="1"/>
  <c r="C81" i="9"/>
  <c r="P57" i="9" l="1"/>
  <c r="N58" i="9"/>
  <c r="N59" i="9"/>
  <c r="H111" i="9" s="1"/>
  <c r="I14" i="74" s="1"/>
  <c r="J14" i="74" s="1"/>
  <c r="D19" i="53" l="1"/>
  <c r="D126" i="9"/>
  <c r="N60" i="9"/>
  <c r="N61" i="9"/>
  <c r="H112" i="9" s="1"/>
  <c r="D21" i="53" l="1"/>
  <c r="B39" i="72" s="1"/>
  <c r="D127" i="9"/>
  <c r="D13" i="52" s="1"/>
  <c r="D12" i="52"/>
  <c r="B38" i="72"/>
  <c r="D20" i="53"/>
  <c r="B40" i="72" s="1"/>
  <c r="B6" i="74" l="1"/>
  <c r="F15" i="74"/>
  <c r="E15" i="74"/>
  <c r="B5" i="74"/>
  <c r="D6" i="74" l="1"/>
  <c r="C6" i="74"/>
  <c r="D5" i="74"/>
  <c r="C5" i="74"/>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<sst xmlns="http://schemas.openxmlformats.org/spreadsheetml/2006/main" count="11119" uniqueCount="5058">
  <si>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</si>
  <si>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</si>
  <si>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</si>
  <si>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</si>
  <si>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</si>
  <si>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</si>
  <si>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</si>
  <si>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</si>
  <si>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</si>
  <si>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</si>
  <si>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</si>
  <si>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</si>
  <si>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</si>
  <si>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</si>
  <si>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</si>
  <si>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</si>
  <si>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</si>
  <si>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</si>
  <si>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</si>
  <si>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</si>
  <si>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</si>
  <si>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</si>
  <si>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</si>
  <si>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</si>
  <si>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</si>
  <si>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</si>
  <si>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</si>
  <si>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</si>
  <si>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</si>
  <si>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</si>
  <si>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</si>
  <si>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</si>
  <si>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</si>
  <si>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</si>
  <si>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</si>
  <si>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</si>
  <si>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</si>
  <si>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</si>
  <si>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</si>
  <si>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</si>
  <si>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</si>
  <si>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</si>
  <si>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</si>
  <si>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</si>
  <si>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</si>
  <si>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</si>
  <si>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</si>
  <si>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</si>
  <si>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</si>
  <si>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</si>
  <si>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</si>
  <si>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</si>
  <si>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</si>
  <si>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</si>
  <si>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</si>
  <si>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</si>
  <si>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</si>
  <si>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</si>
  <si>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</si>
  <si>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</si>
  <si>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</si>
  <si>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</si>
  <si>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</si>
  <si>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</si>
  <si>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</si>
  <si>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</si>
  <si>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</si>
  <si>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</si>
  <si>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</si>
  <si>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</si>
  <si>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</si>
  <si>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</si>
  <si>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</si>
  <si>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</si>
  <si>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</si>
  <si>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</si>
  <si>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</si>
  <si>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</si>
  <si>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</si>
  <si>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</si>
  <si>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</si>
  <si>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</si>
  <si>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</si>
  <si>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</si>
  <si>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</si>
  <si>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</si>
  <si>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</si>
  <si>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</si>
  <si>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</si>
  <si>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</si>
  <si>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</si>
  <si>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</si>
  <si>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</si>
  <si>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</si>
  <si>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</si>
  <si>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</si>
  <si>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</si>
  <si>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</si>
  <si>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</si>
  <si>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</si>
  <si>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</si>
  <si>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</si>
  <si>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</si>
  <si>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</si>
  <si>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</si>
  <si>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</si>
  <si>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</si>
  <si>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</si>
  <si>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</si>
  <si>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</si>
  <si>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</si>
  <si>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</si>
  <si>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</si>
  <si>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</si>
  <si>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</si>
  <si>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</si>
  <si>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</si>
  <si>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</si>
  <si>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</si>
  <si>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</si>
  <si>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</si>
  <si>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</si>
  <si>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</si>
  <si>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</si>
  <si>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</si>
  <si>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</si>
  <si>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</si>
  <si>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</si>
  <si>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</si>
  <si>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</si>
  <si>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</si>
  <si>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</si>
  <si>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</si>
  <si>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</si>
  <si>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</si>
  <si>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</si>
  <si>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</si>
  <si>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</si>
  <si>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</si>
  <si>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</si>
  <si>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</si>
  <si>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</si>
  <si>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</si>
  <si>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</si>
  <si>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</si>
  <si>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</si>
  <si>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</si>
  <si>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</si>
  <si>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</si>
  <si>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</si>
  <si>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</si>
  <si>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</si>
  <si>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</si>
  <si>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</si>
  <si>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</si>
  <si>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</si>
  <si>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</si>
  <si>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</si>
  <si>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</si>
  <si>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</si>
  <si>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</si>
  <si>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</si>
  <si>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</si>
  <si>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</si>
  <si>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</si>
  <si>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</si>
  <si>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</si>
  <si>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</si>
  <si>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</si>
  <si>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</si>
  <si>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</si>
  <si>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</si>
  <si>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</si>
  <si>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</si>
  <si>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</si>
  <si>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</si>
  <si>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</si>
  <si>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</si>
  <si>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</si>
  <si>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</si>
  <si>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</si>
  <si>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</si>
  <si>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</si>
  <si>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</si>
  <si>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</si>
  <si>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</si>
  <si>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</si>
  <si>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</si>
  <si>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</si>
  <si>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</si>
  <si>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</si>
  <si>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</si>
  <si>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</si>
  <si>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</si>
  <si>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</si>
  <si>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</si>
  <si>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</si>
  <si>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</si>
  <si>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</si>
  <si>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</si>
  <si>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</si>
  <si>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</si>
  <si>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</si>
  <si>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</si>
  <si>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</si>
  <si>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</si>
  <si>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</si>
  <si>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</si>
  <si>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</si>
  <si>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</si>
  <si>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</si>
  <si>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</si>
  <si>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</si>
  <si>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</si>
  <si>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</si>
  <si>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</si>
  <si>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</si>
  <si>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</si>
  <si>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</si>
  <si>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</si>
  <si>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</si>
  <si>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</si>
  <si>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</si>
  <si>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</si>
  <si>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</si>
  <si>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</si>
  <si>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</si>
  <si>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</si>
  <si>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</si>
  <si>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</si>
  <si>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</si>
  <si>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</si>
  <si>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</si>
  <si>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</si>
  <si>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</si>
  <si>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</si>
  <si>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</si>
  <si>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</si>
  <si>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</si>
  <si>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</si>
  <si>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</si>
  <si>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</si>
  <si>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</si>
  <si>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</si>
  <si>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</si>
  <si>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</si>
  <si>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</si>
  <si>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</si>
  <si>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</si>
  <si>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</si>
  <si>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</si>
  <si>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</si>
  <si>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</si>
  <si>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</si>
  <si>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</si>
  <si>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</si>
  <si>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</si>
  <si>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</si>
  <si>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</si>
  <si>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</si>
  <si>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</si>
  <si>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</si>
  <si>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</si>
  <si>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</si>
  <si>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</si>
  <si>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</si>
  <si>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</si>
  <si>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</si>
  <si>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</si>
  <si>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</si>
  <si>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</si>
  <si>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</si>
  <si>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</si>
  <si>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</si>
  <si>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</si>
  <si>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</si>
  <si>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</si>
  <si>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</si>
  <si>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</si>
  <si>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</si>
  <si>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</si>
  <si>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</si>
  <si>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</si>
  <si>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</si>
  <si>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</si>
  <si>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</si>
  <si>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</si>
  <si>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</si>
  <si>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</si>
  <si>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</si>
  <si>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</si>
  <si>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</si>
  <si>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</si>
  <si>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</si>
  <si>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</si>
  <si>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</si>
  <si>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</si>
  <si>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</si>
  <si>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</si>
  <si>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</si>
  <si>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</si>
  <si>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</si>
  <si>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</si>
  <si>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</si>
  <si>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</si>
  <si>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</si>
  <si>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</si>
  <si>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</si>
  <si>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</si>
  <si>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</si>
  <si>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</si>
  <si>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</si>
  <si>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</si>
  <si>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</si>
  <si>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</si>
  <si>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</si>
  <si>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</si>
  <si>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</si>
  <si>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</si>
  <si>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</si>
  <si>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</si>
  <si>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</si>
  <si>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</si>
  <si>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</si>
  <si>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</si>
  <si>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</si>
  <si>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</si>
  <si>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</si>
  <si>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</si>
  <si>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</si>
  <si>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</si>
  <si>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</si>
  <si>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</si>
  <si>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</si>
  <si>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</si>
  <si>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</si>
  <si>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</si>
  <si>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</si>
  <si>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</si>
  <si>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</si>
  <si>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</si>
  <si>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</si>
  <si>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</si>
  <si>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</si>
  <si>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</si>
  <si>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</si>
  <si>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</si>
  <si>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</si>
  <si>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</si>
  <si>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</si>
  <si>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</si>
  <si>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</si>
  <si>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</si>
  <si>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</si>
  <si>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</si>
  <si>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</si>
  <si>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</si>
  <si>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</si>
  <si>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</si>
  <si>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</si>
  <si>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</si>
  <si>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</si>
  <si>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</si>
  <si>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</si>
  <si>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</si>
  <si>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</si>
  <si>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</si>
  <si>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</si>
  <si>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</si>
  <si>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</si>
  <si>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</si>
  <si>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</si>
  <si>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</si>
  <si>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</si>
  <si>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</si>
  <si>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</si>
  <si>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</si>
  <si>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</si>
  <si>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</si>
  <si>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</si>
  <si>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</si>
  <si>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</si>
  <si>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</si>
  <si>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</si>
  <si>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</si>
  <si>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</si>
  <si>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</si>
  <si>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</si>
  <si>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</si>
  <si>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</si>
  <si>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</si>
  <si>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</si>
  <si>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</si>
  <si>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</si>
  <si>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</si>
  <si>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</si>
  <si>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</si>
  <si>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</si>
  <si>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</si>
  <si>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</si>
  <si>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</si>
  <si>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</si>
  <si>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</si>
  <si>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</si>
  <si>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</si>
  <si>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</si>
  <si>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</si>
  <si>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</si>
  <si>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</si>
  <si>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</si>
  <si>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</si>
  <si>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</si>
  <si>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</si>
  <si>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</si>
  <si>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</si>
  <si>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</si>
  <si>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</si>
  <si>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</si>
  <si>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</si>
  <si>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</si>
  <si>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</si>
  <si>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</si>
  <si>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</si>
  <si>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</si>
  <si>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</si>
  <si>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</si>
  <si>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</si>
  <si>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</si>
  <si>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</si>
  <si>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</si>
  <si>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</si>
  <si>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</si>
  <si>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</si>
  <si>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</si>
  <si>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</si>
  <si>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</si>
  <si>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</si>
  <si>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</si>
  <si>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</si>
  <si>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</si>
  <si>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</si>
  <si>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</si>
  <si>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</si>
  <si>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</si>
  <si>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</si>
  <si>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</si>
  <si>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</si>
  <si>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</si>
  <si>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</si>
  <si>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</si>
  <si>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</si>
  <si>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</si>
  <si>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</si>
  <si>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</si>
  <si>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</si>
  <si>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</si>
  <si>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</si>
  <si>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</si>
  <si>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</si>
  <si>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</si>
  <si>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</si>
  <si>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</si>
  <si>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</si>
  <si>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</si>
  <si>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</si>
  <si>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</si>
  <si>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</si>
  <si>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</si>
  <si>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</si>
  <si>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</si>
  <si>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</si>
  <si>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</si>
  <si>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</si>
  <si>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</si>
  <si>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</si>
  <si>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</si>
  <si>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</si>
  <si>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</si>
  <si>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</si>
  <si>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</si>
  <si>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</si>
  <si>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</si>
  <si>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</si>
  <si>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</si>
  <si>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</si>
  <si>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</si>
  <si>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</si>
  <si>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</si>
  <si>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</si>
  <si>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</si>
  <si>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</si>
  <si>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</si>
  <si>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</si>
  <si>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</si>
  <si>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</si>
  <si>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</si>
  <si>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</si>
  <si>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</si>
  <si>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</si>
  <si>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</si>
  <si>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</si>
  <si>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</si>
  <si>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</si>
  <si>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</si>
  <si>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</si>
  <si>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</si>
  <si>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</si>
  <si>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</si>
  <si>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</si>
  <si>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</si>
  <si>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</si>
  <si>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</si>
  <si>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</si>
  <si>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</si>
  <si>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</si>
  <si>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</si>
  <si>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</si>
  <si>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</si>
  <si>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</si>
  <si>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</si>
  <si>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</si>
  <si>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</si>
  <si>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</si>
  <si>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</si>
  <si>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</si>
  <si>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</si>
  <si>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</si>
  <si>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</si>
  <si>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</si>
  <si>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</si>
  <si>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</si>
  <si>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</si>
  <si>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</si>
  <si>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</si>
  <si>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</si>
  <si>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</si>
  <si>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</si>
  <si>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</si>
  <si>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</si>
  <si>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</si>
  <si>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</si>
  <si>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</si>
  <si>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</si>
  <si>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</si>
  <si>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</si>
  <si>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</si>
  <si>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</si>
  <si>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</si>
  <si>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</si>
  <si>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</si>
  <si>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</si>
  <si>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</si>
  <si>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</si>
  <si>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</si>
  <si>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</si>
  <si>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</si>
  <si>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</si>
  <si>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</si>
  <si>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</si>
  <si>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</si>
  <si>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</si>
  <si>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</si>
  <si>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</si>
  <si>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</si>
  <si>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</si>
  <si>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</si>
  <si>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</si>
  <si>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</si>
  <si>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</si>
  <si>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</si>
  <si>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</si>
  <si>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</si>
  <si>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</si>
  <si>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</si>
  <si>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</si>
  <si>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</si>
  <si>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</si>
  <si>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</si>
  <si>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</si>
  <si>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</si>
  <si>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</si>
  <si>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</si>
  <si>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</si>
  <si>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</si>
  <si>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</si>
  <si>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</si>
  <si>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</si>
  <si>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</si>
  <si>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</si>
  <si>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</si>
  <si>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</si>
  <si>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</si>
  <si>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</si>
  <si>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</si>
  <si>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</si>
  <si>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</si>
  <si>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</si>
  <si>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</si>
  <si>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</si>
  <si>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</si>
  <si>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</si>
  <si>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</si>
  <si>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</si>
  <si>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</si>
  <si>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</si>
  <si>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</si>
  <si>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</si>
  <si>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</si>
  <si>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</si>
  <si>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</si>
  <si>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</si>
  <si>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</si>
  <si>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</si>
  <si>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</si>
  <si>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</si>
  <si>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</si>
  <si>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</si>
  <si>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</si>
  <si>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</si>
  <si>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</si>
  <si>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</si>
  <si>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</si>
  <si>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</si>
  <si>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</si>
  <si>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</si>
  <si>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</si>
  <si>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</si>
  <si>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</si>
  <si>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</si>
  <si>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</si>
  <si>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</si>
  <si>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</si>
  <si>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</si>
  <si>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</si>
  <si>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</si>
  <si>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</si>
  <si>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</si>
  <si>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</si>
  <si>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</si>
  <si>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</si>
  <si>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</si>
  <si>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</si>
  <si>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</si>
  <si>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</si>
  <si>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</si>
  <si>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</si>
  <si>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</si>
  <si>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</si>
  <si>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</si>
  <si>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</si>
  <si>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</si>
  <si>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</si>
  <si>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</si>
  <si>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</si>
  <si>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</si>
  <si>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</si>
  <si>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</si>
  <si>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</si>
  <si>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</si>
  <si>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</si>
  <si>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</si>
  <si>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</si>
  <si>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</si>
  <si>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</si>
  <si>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</si>
  <si>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</si>
  <si>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</si>
  <si>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</si>
  <si>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</si>
  <si>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</si>
  <si>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</si>
  <si>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</si>
  <si>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</si>
  <si>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</si>
  <si>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</si>
  <si>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</si>
  <si>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</si>
  <si>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</si>
  <si>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</si>
  <si>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</si>
  <si>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</si>
  <si>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</si>
  <si>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</si>
  <si>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</si>
  <si>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</si>
  <si>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</si>
  <si>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</si>
  <si>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</si>
  <si>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</si>
  <si>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</si>
  <si>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</si>
  <si>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</si>
  <si>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</si>
  <si>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</si>
  <si>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</si>
  <si>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</si>
  <si>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</si>
  <si>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</si>
  <si>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</si>
  <si>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</si>
  <si>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</si>
  <si>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</si>
  <si>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</si>
  <si>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</si>
  <si>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</si>
  <si>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</si>
  <si>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</si>
  <si>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</si>
  <si>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</si>
  <si>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</si>
  <si>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</si>
  <si>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</si>
  <si>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</si>
  <si>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</si>
  <si>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</si>
  <si>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</si>
  <si>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</si>
  <si>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</si>
  <si>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</si>
  <si>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</si>
  <si>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</si>
  <si>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</si>
  <si>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</si>
  <si>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</si>
  <si>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</si>
  <si>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</si>
  <si>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</si>
  <si>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</si>
  <si>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</si>
  <si>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</si>
  <si>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</si>
  <si>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</si>
  <si>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</si>
  <si>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</si>
  <si>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</si>
  <si>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</si>
  <si>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</si>
  <si>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</si>
  <si>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</si>
  <si>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</si>
  <si>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</si>
  <si>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</si>
  <si>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</si>
  <si>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</si>
  <si>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</si>
  <si>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</si>
  <si>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</si>
  <si>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</si>
  <si>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</si>
  <si>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</si>
  <si>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</si>
  <si>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</si>
  <si>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</si>
  <si>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</si>
  <si>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</si>
  <si>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</si>
  <si>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</si>
  <si>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</si>
  <si>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</si>
  <si>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</si>
  <si>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</si>
  <si>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</si>
  <si>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</si>
  <si>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</si>
  <si>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</si>
  <si>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</si>
  <si>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</si>
  <si>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</si>
  <si>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</si>
  <si>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</si>
  <si>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</si>
  <si>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</si>
  <si>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</si>
  <si>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</si>
  <si>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</si>
  <si>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</si>
  <si>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</si>
  <si>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</si>
  <si>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</si>
  <si>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</si>
  <si>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</si>
  <si>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</si>
  <si>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</si>
  <si>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</si>
  <si>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</si>
  <si>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</si>
  <si>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</si>
  <si>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</si>
  <si>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</si>
  <si>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</si>
  <si>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</si>
  <si>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</si>
  <si>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</si>
  <si>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</si>
  <si>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</si>
  <si>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</si>
  <si>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</si>
  <si>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</si>
  <si>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</si>
  <si>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</si>
  <si>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</si>
  <si>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</si>
  <si>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</si>
  <si>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</si>
  <si>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</si>
  <si>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</si>
  <si>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</si>
  <si>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</si>
  <si>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</si>
  <si>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</si>
  <si>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</si>
  <si>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</si>
  <si>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</si>
  <si>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</si>
  <si>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</si>
  <si>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</si>
  <si>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</si>
  <si>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</si>
  <si>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</si>
  <si>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</si>
  <si>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</si>
  <si>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</si>
  <si>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</si>
  <si>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</si>
  <si>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</si>
  <si>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</si>
  <si>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</si>
  <si>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</si>
  <si>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</si>
  <si>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</si>
  <si>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</si>
  <si>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</si>
  <si>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</si>
  <si>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</si>
  <si>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</si>
  <si>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</si>
  <si>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</si>
  <si>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</si>
  <si>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</si>
  <si>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</si>
  <si>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</si>
  <si>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</si>
  <si>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</si>
  <si>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</si>
  <si>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</si>
  <si>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</si>
  <si>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</si>
  <si>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</si>
  <si>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</si>
  <si>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</si>
  <si>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</si>
  <si>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</si>
  <si>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</si>
  <si>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</si>
  <si>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</si>
  <si>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</si>
  <si>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</si>
  <si>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</si>
  <si>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</si>
  <si>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</si>
  <si>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</si>
  <si>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</si>
  <si>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</si>
  <si>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</si>
  <si>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</si>
  <si>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</si>
  <si>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</si>
  <si>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</si>
  <si>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</si>
  <si>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</si>
  <si>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</si>
  <si>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</si>
  <si>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</si>
  <si>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</si>
  <si>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</si>
  <si>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</si>
  <si>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</si>
  <si>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</si>
  <si>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</si>
  <si>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</si>
  <si>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</si>
  <si>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</si>
  <si>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</si>
  <si>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</si>
  <si>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</si>
  <si>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</si>
  <si>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</si>
  <si>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</si>
  <si>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</si>
  <si>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</si>
  <si>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</si>
  <si>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</si>
  <si>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</si>
  <si>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</si>
  <si>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</si>
  <si>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</si>
  <si>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</si>
  <si>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</si>
  <si>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</si>
  <si>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</si>
  <si>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</si>
  <si>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</si>
  <si>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</si>
  <si>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</si>
  <si>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</si>
  <si>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</si>
  <si>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</si>
  <si>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</si>
  <si>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</si>
  <si>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</si>
  <si>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</si>
  <si>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</si>
  <si>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</si>
  <si>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</si>
  <si>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</si>
  <si>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</si>
  <si>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</si>
  <si>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</si>
  <si>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</si>
  <si>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</si>
  <si>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</si>
  <si>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</si>
  <si>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</si>
  <si>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</si>
  <si>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</si>
  <si>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</si>
  <si>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</si>
  <si>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</si>
  <si>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</si>
  <si>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</si>
  <si>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</si>
  <si>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</si>
  <si>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</si>
  <si>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</si>
  <si>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</si>
  <si>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</si>
  <si>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</si>
  <si>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</si>
  <si>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</si>
  <si>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</si>
  <si>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</si>
  <si>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</si>
  <si>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</si>
  <si>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</si>
  <si>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</si>
  <si>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</si>
  <si>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</si>
  <si>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</si>
  <si>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</si>
  <si>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</si>
  <si>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</si>
  <si>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</si>
  <si>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</si>
  <si>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</si>
  <si>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</si>
  <si>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</si>
  <si>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</si>
  <si>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</si>
  <si>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</si>
  <si>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</si>
  <si>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</si>
  <si>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</si>
  <si>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</si>
  <si>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</si>
  <si>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</si>
  <si>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</si>
  <si>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</si>
  <si>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</si>
  <si>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</si>
  <si>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</si>
  <si>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</si>
  <si>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</si>
  <si>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</si>
  <si>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</si>
  <si>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</si>
  <si>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</si>
  <si>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</si>
  <si>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</si>
  <si>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</si>
  <si>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</si>
  <si>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</si>
  <si>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</si>
  <si>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</si>
  <si>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</si>
  <si>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</si>
  <si>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</si>
  <si>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</si>
  <si>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</si>
  <si>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</si>
  <si>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</si>
  <si>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</si>
  <si>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</si>
  <si>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</si>
  <si>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</si>
  <si>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</si>
  <si>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</si>
  <si>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</si>
  <si>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</si>
  <si>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</si>
  <si>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</si>
  <si>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</si>
  <si>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</si>
  <si>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</si>
  <si>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</si>
  <si>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</si>
  <si>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</si>
  <si>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</si>
  <si>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</si>
  <si>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</si>
  <si>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</si>
  <si>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</si>
  <si>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</si>
  <si>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</si>
  <si>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</si>
  <si>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</si>
  <si>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</si>
  <si>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</si>
  <si>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</si>
  <si>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</si>
  <si>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</si>
  <si>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</si>
  <si>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</si>
  <si>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</si>
  <si>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</si>
  <si>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</si>
  <si>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</si>
  <si>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</si>
  <si>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</si>
  <si>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</si>
  <si>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</si>
  <si>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</si>
  <si>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</si>
  <si>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</si>
  <si>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</si>
  <si>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</si>
  <si>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</si>
  <si>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</si>
  <si>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</si>
  <si>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</si>
  <si>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</si>
  <si>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</si>
  <si>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</si>
  <si>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</si>
  <si>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</si>
  <si>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</si>
  <si>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</si>
  <si>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</si>
  <si>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</si>
  <si>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</si>
  <si>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</si>
  <si>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</si>
  <si>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</si>
  <si>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</si>
  <si>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</si>
  <si>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</si>
  <si>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</si>
  <si>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</si>
  <si>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</si>
  <si>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</si>
  <si>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</si>
  <si>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</si>
  <si>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</si>
  <si>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</si>
  <si>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</si>
  <si>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</si>
  <si>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</si>
  <si>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</si>
  <si>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</si>
  <si>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</si>
  <si>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</si>
  <si>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</si>
  <si>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</si>
  <si>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</si>
  <si>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</si>
  <si>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</si>
  <si>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</si>
  <si>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</si>
  <si>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</si>
  <si>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</si>
  <si>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</si>
  <si>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</si>
  <si>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</si>
  <si>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</si>
  <si>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</si>
  <si>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</si>
  <si>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</si>
  <si>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</si>
  <si>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</si>
  <si>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</si>
  <si>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</si>
  <si>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</si>
  <si>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</si>
  <si>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</si>
  <si>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</si>
  <si>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</si>
  <si>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</si>
  <si>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</si>
  <si>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</si>
  <si>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</si>
  <si>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</si>
  <si>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</si>
  <si>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</si>
  <si>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</si>
  <si>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</si>
  <si>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</si>
  <si>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</si>
  <si>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</si>
  <si>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</si>
  <si>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</si>
  <si>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</si>
  <si>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</si>
  <si>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</si>
  <si>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</si>
  <si>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</si>
  <si>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</si>
  <si>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</si>
  <si>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</si>
  <si>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</si>
  <si>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</si>
  <si>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</si>
  <si>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</si>
  <si>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</si>
  <si>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</si>
  <si>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</si>
  <si>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</si>
  <si>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</si>
  <si>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</si>
  <si>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</si>
  <si>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</si>
  <si>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</si>
  <si>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</si>
  <si>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</si>
  <si>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</si>
  <si>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</si>
  <si>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</si>
  <si>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</si>
  <si>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</si>
  <si>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</si>
  <si>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</si>
  <si>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</si>
  <si>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</si>
  <si>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</si>
  <si>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</si>
  <si>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</si>
  <si>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</si>
  <si>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</si>
  <si>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</si>
  <si>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</si>
  <si>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</si>
  <si>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</si>
  <si>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</si>
  <si>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</si>
  <si>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</si>
  <si>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</si>
  <si>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</si>
  <si>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</si>
  <si>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</si>
  <si>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</si>
  <si>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</si>
  <si>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</si>
  <si>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</si>
  <si>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</si>
  <si>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</si>
  <si>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</si>
  <si>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</si>
  <si>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</si>
  <si>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</si>
  <si>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</si>
  <si>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</si>
  <si>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</si>
  <si>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</si>
  <si>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</si>
  <si>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</si>
  <si>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</si>
  <si>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</si>
  <si>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</si>
  <si>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</si>
  <si>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</si>
  <si>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</si>
  <si>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</si>
  <si>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</si>
  <si>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</si>
  <si>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</si>
  <si>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</si>
  <si>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</si>
  <si>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</si>
  <si>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</si>
  <si>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</si>
  <si>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</si>
  <si>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</si>
  <si>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</si>
  <si>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</si>
  <si>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</si>
  <si>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</si>
  <si>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</si>
  <si>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</si>
  <si>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</si>
  <si>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</si>
  <si>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</si>
  <si>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</si>
  <si>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</si>
  <si>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</si>
  <si>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</si>
  <si>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</si>
  <si>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</si>
  <si>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</si>
  <si>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</si>
  <si>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</si>
  <si>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</si>
  <si>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</si>
  <si>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</si>
  <si>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</si>
  <si>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</si>
  <si>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</si>
  <si>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</si>
  <si>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</si>
  <si>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</si>
  <si>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</si>
  <si>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</si>
  <si>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</si>
  <si>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</si>
  <si>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</si>
  <si>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</si>
  <si>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</si>
  <si>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</si>
  <si>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</si>
  <si>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</si>
  <si>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</si>
  <si>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</si>
  <si>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</si>
  <si>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</si>
  <si>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</si>
  <si>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</si>
  <si>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</si>
  <si>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</si>
  <si>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</si>
  <si>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</si>
  <si>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</si>
  <si>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</si>
  <si>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</si>
  <si>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</si>
  <si>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</si>
  <si>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</si>
  <si>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</si>
  <si>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</si>
  <si>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</si>
  <si>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</si>
  <si>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</si>
  <si>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</si>
  <si>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</si>
  <si>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</si>
  <si>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</si>
  <si>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</si>
  <si>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</si>
  <si>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</si>
  <si>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</si>
  <si>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</si>
  <si>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</si>
  <si>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</si>
  <si>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</si>
  <si>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</si>
  <si>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</si>
  <si>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</si>
  <si>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</si>
  <si>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</si>
  <si>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</si>
  <si>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</si>
  <si>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</si>
  <si>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</si>
  <si>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</si>
  <si>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</si>
  <si>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</si>
  <si>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</si>
  <si>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</si>
  <si>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</si>
  <si>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</si>
  <si>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</si>
  <si>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</si>
  <si>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</si>
  <si>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</si>
  <si>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</si>
  <si>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</si>
  <si>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</si>
  <si>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</si>
  <si>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</si>
  <si>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</si>
  <si>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</si>
  <si>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</si>
  <si>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</si>
  <si>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</si>
  <si>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</si>
  <si>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</si>
  <si>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</si>
  <si>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</si>
  <si>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</si>
  <si>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</si>
  <si>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</si>
  <si>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</si>
  <si>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</si>
  <si>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</si>
  <si>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</si>
  <si>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</si>
  <si>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</si>
  <si>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</si>
  <si>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</si>
  <si>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</si>
  <si>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</si>
  <si>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</si>
  <si>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</si>
  <si>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</si>
  <si>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</si>
  <si>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</si>
  <si>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</si>
  <si>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</si>
  <si>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</si>
  <si>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</si>
  <si>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</si>
  <si>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</si>
  <si>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</si>
  <si>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</si>
  <si>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</si>
  <si>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</si>
  <si>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</si>
  <si>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</si>
  <si>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</si>
  <si>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</si>
  <si>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</si>
  <si>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</si>
  <si>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</si>
  <si>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</si>
  <si>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</si>
  <si>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</si>
  <si>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</si>
  <si>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</si>
  <si>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</si>
  <si>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</si>
  <si>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</si>
  <si>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</si>
  <si>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</si>
  <si>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</si>
  <si>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</si>
  <si>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</si>
  <si>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</si>
  <si>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</si>
  <si>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</si>
  <si>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</si>
  <si>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</si>
  <si>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</si>
  <si>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</si>
  <si>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</si>
  <si>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</si>
  <si>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</si>
  <si>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</si>
  <si>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</si>
  <si>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</si>
  <si>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</si>
  <si>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</si>
  <si>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</si>
  <si>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</si>
  <si>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</si>
  <si>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</si>
  <si>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</si>
  <si>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</si>
  <si>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</si>
  <si>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</si>
  <si>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</si>
  <si>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</si>
  <si>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</si>
  <si>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</si>
  <si>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</si>
  <si>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</si>
  <si>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</si>
  <si>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</si>
  <si>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</si>
  <si>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</si>
  <si>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</si>
  <si>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</si>
  <si>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</si>
  <si>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</si>
  <si>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</si>
  <si>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</si>
  <si>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</si>
  <si>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</si>
  <si>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</si>
  <si>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</si>
  <si>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</si>
  <si>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</si>
  <si>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</si>
  <si>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</si>
  <si>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</si>
  <si>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</si>
  <si>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</si>
  <si>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</si>
  <si>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</si>
  <si>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</si>
  <si>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</si>
  <si>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</si>
  <si>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</si>
  <si>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</si>
  <si>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</si>
  <si>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</si>
  <si>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</si>
  <si>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</si>
  <si>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</si>
  <si>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</si>
  <si>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</si>
  <si>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</si>
  <si>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</si>
  <si>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</si>
  <si>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</si>
  <si>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</si>
  <si>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</si>
  <si>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</si>
  <si>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</si>
  <si>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</si>
  <si>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</si>
  <si>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</si>
  <si>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</si>
  <si>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</si>
  <si>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</si>
  <si>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</si>
  <si>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</si>
  <si>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</si>
  <si>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</si>
  <si>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</si>
  <si>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</si>
  <si>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</si>
  <si>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</si>
  <si>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</si>
  <si>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</si>
  <si>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</si>
  <si>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</si>
  <si>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</si>
  <si>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</si>
  <si>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</si>
  <si>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</si>
  <si>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</si>
  <si>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</si>
  <si>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</si>
  <si>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</si>
  <si>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</si>
  <si>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</si>
  <si>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</si>
  <si>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</si>
  <si>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</si>
  <si>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</si>
  <si>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</si>
  <si>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</si>
  <si>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</si>
  <si>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</si>
  <si>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</si>
  <si>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</si>
  <si>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</si>
  <si>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</si>
  <si>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</si>
  <si>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</si>
  <si>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</si>
  <si>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</si>
  <si>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</si>
  <si>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</si>
  <si>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</si>
  <si>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</si>
  <si>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</si>
  <si>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</si>
  <si>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</si>
  <si>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</si>
  <si>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</si>
  <si>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</si>
  <si>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</si>
  <si>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</si>
  <si>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</si>
  <si>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</si>
  <si>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</si>
  <si>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</si>
  <si>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</si>
  <si>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</si>
  <si>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</si>
  <si>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</si>
  <si>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</si>
  <si>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</si>
  <si>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</si>
  <si>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</si>
  <si>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</si>
  <si>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</si>
  <si>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</si>
  <si>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</si>
  <si>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</si>
  <si>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</si>
  <si>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</si>
  <si>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</si>
  <si>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</si>
  <si>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</si>
  <si>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</si>
  <si>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</si>
  <si>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</si>
  <si>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</si>
  <si>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</si>
  <si>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</si>
  <si>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</si>
  <si>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</si>
  <si>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</si>
  <si>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</si>
  <si>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</si>
  <si>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</si>
  <si>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</si>
  <si>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</si>
  <si>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</si>
  <si>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</si>
  <si>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</si>
  <si>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</si>
  <si>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</si>
  <si>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</si>
  <si>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</si>
  <si>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</si>
  <si>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</si>
  <si>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</si>
  <si>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</si>
  <si>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</si>
  <si>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</si>
  <si>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</si>
  <si>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</si>
  <si>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</si>
  <si>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</si>
  <si>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</si>
  <si>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</si>
  <si>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</si>
  <si>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</si>
  <si>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</si>
  <si>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</si>
  <si>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</si>
  <si>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</si>
  <si>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</si>
  <si>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</si>
  <si>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</si>
  <si>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</si>
  <si>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</si>
  <si>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</si>
  <si>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</si>
  <si>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</si>
  <si>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</si>
  <si>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</si>
  <si>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</si>
  <si>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</si>
  <si>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</si>
  <si>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</si>
  <si>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</si>
  <si>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</si>
  <si>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</si>
  <si>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</si>
  <si>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</si>
  <si>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</si>
  <si>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</si>
  <si>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</si>
  <si>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</si>
  <si>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</si>
  <si>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</si>
  <si>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</si>
  <si>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</si>
  <si>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</si>
  <si>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</si>
  <si>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</si>
  <si>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</si>
  <si>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</si>
  <si>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</si>
  <si>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</si>
  <si>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</si>
  <si>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</si>
  <si>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</si>
  <si>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</si>
  <si>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</si>
  <si>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</si>
  <si>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</si>
  <si>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</si>
  <si>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</si>
  <si>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</si>
  <si>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</si>
  <si>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</si>
  <si>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</si>
  <si>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</si>
  <si>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</si>
  <si>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</si>
  <si>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</si>
  <si>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</si>
  <si>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</si>
  <si>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</si>
  <si>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</si>
  <si>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</si>
  <si>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</si>
  <si>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</si>
  <si>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</si>
  <si>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</si>
  <si>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</si>
  <si>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</si>
  <si>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</si>
  <si>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</si>
  <si>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</si>
  <si>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</si>
  <si>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</si>
  <si>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</si>
  <si>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</si>
  <si>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</si>
  <si>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</si>
  <si>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</si>
  <si>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</si>
  <si>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</si>
  <si>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</si>
  <si>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</si>
  <si>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</si>
  <si>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</si>
  <si>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</si>
  <si>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</si>
  <si>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</si>
  <si>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</si>
  <si>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</si>
  <si>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</si>
  <si>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</si>
  <si>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</si>
  <si>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</si>
  <si>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</si>
  <si>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</si>
  <si>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</si>
  <si>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</si>
  <si>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</si>
  <si>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</si>
  <si>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</si>
  <si>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</si>
  <si>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</si>
  <si>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</si>
  <si>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</si>
  <si>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</si>
  <si>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</si>
  <si>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</si>
  <si>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</si>
  <si>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</si>
  <si>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</si>
  <si>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</si>
  <si>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</si>
  <si>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</si>
  <si>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</si>
  <si>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</si>
  <si>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</si>
  <si>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</si>
  <si>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</si>
  <si>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</si>
  <si>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</si>
  <si>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</si>
  <si>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</si>
  <si>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</si>
  <si>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</si>
  <si>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</si>
  <si>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</si>
  <si>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</si>
  <si>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</si>
  <si>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</si>
  <si>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</si>
  <si>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</si>
  <si>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</si>
  <si>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</si>
  <si>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</si>
  <si>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</si>
  <si>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</si>
  <si>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</si>
  <si>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</si>
  <si>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</si>
  <si>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</si>
  <si>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</si>
  <si>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</si>
  <si>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</si>
  <si>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</si>
  <si>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</si>
  <si>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</si>
  <si>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</si>
  <si>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</si>
  <si>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</si>
  <si>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</si>
  <si>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</si>
  <si>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</si>
  <si>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</si>
  <si>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</si>
  <si>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</si>
  <si>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</si>
  <si>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</si>
  <si>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</si>
  <si>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</si>
  <si>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</si>
  <si>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</si>
  <si>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</si>
  <si>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</si>
  <si>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</si>
  <si>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</si>
  <si>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</si>
  <si>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</si>
  <si>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</si>
  <si>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</si>
  <si>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</si>
  <si>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</si>
  <si>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</si>
  <si>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</si>
  <si>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</si>
  <si>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</si>
  <si>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</si>
  <si>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</si>
  <si>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</si>
  <si>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</si>
  <si>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</si>
  <si>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</si>
  <si>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</si>
  <si>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</si>
  <si>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</si>
  <si>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</si>
  <si>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</si>
  <si>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</si>
  <si>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</si>
  <si>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</si>
  <si>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</si>
  <si>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</si>
  <si>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</si>
  <si>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</si>
  <si>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</si>
  <si>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</si>
  <si>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</si>
  <si>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</si>
  <si>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</si>
  <si>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</si>
  <si>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</si>
  <si>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</si>
  <si>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</si>
  <si>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</si>
  <si>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</si>
  <si>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</si>
  <si>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</si>
  <si>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</si>
  <si>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</si>
  <si>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</si>
  <si>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</si>
  <si>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</si>
  <si>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</si>
  <si>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</si>
  <si>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</si>
  <si>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</si>
  <si>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</si>
  <si>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</si>
  <si>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</si>
  <si>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</si>
  <si>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</si>
  <si>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</si>
  <si>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</si>
  <si>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</si>
  <si>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</si>
  <si>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</si>
  <si>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</si>
  <si>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</si>
  <si>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</si>
  <si>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</si>
  <si>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</si>
  <si>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</si>
  <si>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</si>
  <si>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</si>
  <si>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</si>
  <si>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</si>
  <si>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</si>
  <si>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</si>
  <si>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</si>
  <si>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</si>
  <si>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</si>
  <si>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</si>
  <si>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</si>
  <si>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</si>
  <si>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</si>
  <si>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</si>
  <si>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</si>
  <si>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</si>
  <si>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</si>
  <si>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</si>
  <si>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</si>
  <si>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</si>
  <si>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</si>
  <si>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</si>
  <si>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</si>
  <si>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</si>
  <si>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</si>
  <si>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</si>
  <si>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</si>
  <si>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</si>
  <si>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</si>
  <si>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</si>
  <si>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</si>
  <si>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</si>
  <si>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</si>
  <si>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</si>
  <si>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</si>
  <si>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</si>
  <si>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</si>
  <si>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</si>
  <si>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</si>
  <si>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</si>
  <si>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</si>
  <si>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</si>
  <si>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</si>
  <si>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</si>
  <si>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</si>
  <si>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</si>
  <si>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</si>
  <si>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</si>
  <si>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</si>
  <si>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</si>
  <si>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</si>
  <si>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</si>
  <si>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</si>
  <si>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</si>
  <si>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</si>
  <si>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</si>
  <si>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</si>
  <si>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</si>
  <si>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</si>
  <si>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</si>
  <si>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</si>
  <si>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</si>
  <si>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</si>
  <si>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</si>
  <si>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</si>
  <si>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</si>
  <si>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</si>
  <si>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</si>
  <si>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</si>
  <si>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</si>
  <si>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</si>
  <si>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</si>
  <si>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</si>
  <si>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</si>
  <si>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</si>
  <si>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</si>
  <si>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</si>
  <si>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</si>
  <si>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</si>
  <si>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</si>
  <si>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</si>
  <si>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</si>
  <si>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</si>
  <si>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</si>
  <si>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</si>
  <si>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</si>
  <si>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</si>
  <si>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</si>
  <si>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</si>
  <si>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</si>
  <si>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</si>
  <si>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</si>
  <si>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</si>
  <si>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</si>
  <si>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</si>
  <si>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</si>
  <si>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</si>
  <si>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</si>
  <si>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</si>
  <si>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</si>
  <si>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</si>
  <si>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</si>
  <si>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</si>
  <si>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</si>
  <si>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</si>
  <si>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</si>
  <si>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</si>
  <si>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</si>
  <si>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</si>
  <si>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</si>
  <si>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</si>
  <si>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</si>
  <si>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</si>
  <si>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</si>
  <si>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</si>
  <si>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</si>
  <si>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</si>
  <si>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</si>
  <si>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</si>
  <si>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</si>
  <si>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</si>
  <si>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</si>
  <si>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</si>
  <si>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</si>
  <si>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</si>
  <si>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</si>
  <si>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</si>
  <si>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</si>
  <si>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</si>
  <si>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</si>
  <si>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</si>
  <si>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</si>
  <si>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</si>
  <si>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</si>
  <si>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</si>
  <si>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</si>
  <si>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</si>
  <si>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</si>
  <si>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</si>
  <si>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</si>
  <si>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</si>
  <si>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</si>
  <si>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</si>
  <si>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</si>
  <si>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</si>
  <si>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</si>
  <si>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</si>
  <si>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</si>
  <si>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</si>
  <si>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</si>
  <si>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</si>
  <si>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</si>
  <si>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</si>
  <si>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</si>
  <si>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</si>
  <si>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</si>
  <si>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</si>
  <si>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</si>
  <si>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</si>
  <si>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</si>
  <si>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</si>
  <si>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</si>
  <si>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</si>
  <si>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</si>
  <si>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</si>
  <si>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</si>
  <si>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</si>
  <si>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</si>
  <si>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</si>
  <si>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</si>
  <si>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</si>
  <si>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</si>
  <si>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</si>
  <si>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</si>
  <si>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</si>
  <si>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</si>
  <si>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</si>
  <si>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</si>
  <si>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</si>
  <si>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</si>
  <si>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</si>
  <si>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</si>
  <si>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</si>
  <si>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</si>
  <si>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</si>
  <si>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</si>
  <si>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</si>
  <si>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</si>
  <si>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</si>
  <si>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</si>
  <si>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</si>
  <si>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</si>
  <si>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</si>
  <si>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</si>
  <si>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</si>
  <si>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</si>
  <si>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</si>
  <si>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</si>
  <si>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</si>
  <si>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</si>
  <si>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</si>
  <si>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</si>
  <si>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</si>
  <si>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</si>
  <si>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</si>
  <si>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</si>
  <si>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</si>
  <si>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</si>
  <si>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</si>
  <si>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</si>
  <si>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</si>
  <si>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</si>
  <si>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</si>
  <si>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</si>
  <si>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</si>
  <si>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</si>
  <si>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</si>
  <si>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</si>
  <si>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</si>
  <si>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</si>
  <si>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</si>
  <si>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</si>
  <si>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</si>
  <si>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</si>
  <si>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</si>
  <si>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</si>
  <si>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</si>
  <si>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</si>
  <si>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</si>
  <si>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</si>
  <si>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</si>
  <si>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</si>
  <si>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</si>
  <si>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</si>
  <si>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</si>
  <si>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</si>
  <si>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</si>
  <si>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</si>
  <si>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</si>
  <si>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</si>
  <si>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</si>
  <si>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</si>
  <si>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</si>
  <si>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</si>
  <si>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</si>
  <si>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</si>
  <si>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</si>
  <si>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</si>
  <si>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</si>
  <si>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</si>
  <si>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</si>
  <si>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</si>
  <si>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</si>
  <si>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</si>
  <si>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</si>
  <si>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</si>
  <si>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</si>
  <si>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</si>
  <si>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</si>
  <si>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</si>
  <si>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</si>
  <si>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</si>
  <si>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</si>
  <si>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</si>
  <si>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</si>
  <si>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</si>
  <si>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</si>
  <si>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</si>
  <si>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</si>
  <si>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</si>
  <si>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</si>
  <si>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</si>
  <si>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</si>
  <si>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</si>
  <si>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</si>
  <si>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</si>
  <si>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</si>
  <si>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</si>
  <si>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</si>
  <si>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</si>
  <si>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</si>
  <si>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</si>
  <si>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</si>
  <si>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</si>
  <si>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</si>
  <si>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</si>
  <si>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</si>
  <si>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</si>
  <si>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</si>
  <si>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</si>
  <si>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</si>
  <si>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</si>
  <si>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</si>
  <si>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</si>
  <si>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</si>
  <si>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</si>
  <si>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</si>
  <si>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</si>
  <si>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</si>
  <si>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</si>
  <si>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</si>
  <si>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</si>
  <si>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</si>
  <si>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</si>
  <si>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</si>
  <si>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</si>
  <si>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</si>
  <si>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</si>
  <si>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</si>
  <si>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</si>
  <si>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</si>
  <si>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</si>
  <si>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</si>
  <si>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</si>
  <si>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</si>
  <si>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</si>
  <si>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</si>
  <si>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</si>
  <si>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</si>
  <si>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</si>
  <si>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</si>
  <si>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</si>
  <si>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</si>
  <si>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</si>
  <si>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</si>
  <si>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</si>
  <si>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</si>
  <si>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</si>
  <si>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</si>
  <si>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</si>
  <si>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</si>
  <si>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</si>
  <si>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</si>
  <si>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</si>
  <si>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</si>
  <si>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</si>
  <si>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</si>
  <si>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</si>
  <si>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</si>
  <si>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</si>
  <si>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</si>
  <si>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</si>
  <si>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</si>
  <si>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</si>
  <si>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</si>
  <si>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</si>
  <si>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</si>
  <si>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</si>
  <si>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</si>
  <si>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</si>
  <si>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</si>
  <si>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</si>
  <si>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</si>
  <si>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</si>
  <si>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</si>
  <si>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</si>
  <si>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</si>
  <si>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</si>
  <si>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</si>
  <si>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</si>
  <si>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</si>
  <si>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</si>
  <si>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</si>
  <si>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</si>
  <si>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</si>
  <si>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</si>
  <si>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</si>
  <si>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</si>
  <si>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</si>
  <si>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</si>
  <si>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</si>
  <si>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</si>
  <si>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</si>
  <si>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</si>
  <si>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</si>
  <si>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</si>
  <si>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</si>
  <si>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</si>
  <si>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</si>
  <si>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</si>
  <si>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</si>
  <si>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</si>
  <si>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</si>
  <si>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</si>
  <si>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</si>
  <si>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</si>
  <si>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</si>
  <si>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</si>
  <si>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</si>
  <si>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</si>
  <si>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</si>
  <si>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</si>
  <si>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</si>
  <si>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</si>
  <si>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</si>
  <si>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</si>
  <si>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</si>
  <si>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</si>
  <si>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</si>
  <si>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</si>
  <si>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</si>
  <si>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</si>
  <si>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</si>
  <si>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</si>
  <si>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</si>
  <si>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</si>
  <si>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</si>
  <si>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</si>
  <si>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</si>
  <si>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</si>
  <si>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</si>
  <si>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</si>
  <si>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</si>
  <si>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</si>
  <si>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</si>
  <si>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</si>
  <si>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</si>
  <si>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</si>
  <si>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</si>
  <si>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</si>
  <si>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</si>
  <si>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</si>
  <si>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</si>
  <si>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</si>
  <si>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</si>
  <si>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</si>
  <si>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</si>
  <si>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</si>
  <si>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</si>
  <si>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</si>
  <si>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</si>
  <si>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</si>
  <si>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</si>
  <si>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</si>
  <si>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</si>
  <si>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</si>
  <si>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</si>
  <si>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</si>
  <si>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</si>
  <si>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</si>
  <si>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</si>
  <si>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</si>
  <si>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</si>
  <si>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</si>
  <si>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</si>
  <si>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</si>
  <si>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</si>
  <si>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</si>
  <si>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</si>
  <si>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</si>
  <si>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</si>
  <si>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</si>
  <si>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</si>
  <si>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</si>
  <si>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</si>
  <si>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</si>
  <si>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</si>
  <si>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</si>
  <si>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</si>
  <si>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</si>
  <si>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</si>
  <si>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</si>
  <si>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</si>
  <si>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</si>
  <si>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</si>
  <si>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</si>
  <si>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</si>
  <si>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</si>
  <si>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</si>
  <si>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</si>
  <si>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</si>
  <si>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</si>
  <si>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</si>
  <si>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</si>
  <si>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</si>
  <si>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</si>
  <si>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</si>
  <si>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</si>
  <si>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</si>
  <si>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</si>
  <si>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</si>
  <si>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</si>
  <si>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</si>
  <si>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</si>
  <si>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</si>
  <si>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</si>
  <si>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</si>
  <si>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</si>
  <si>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</si>
  <si>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</si>
  <si>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</si>
  <si>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</si>
  <si>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</si>
  <si>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</si>
  <si>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</si>
  <si>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</si>
  <si>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</si>
  <si>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</si>
  <si>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</si>
  <si>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</si>
  <si>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</si>
  <si>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</si>
  <si>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</si>
  <si>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</si>
  <si>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</si>
  <si>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</si>
  <si>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</si>
  <si>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</si>
  <si>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</si>
  <si>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</si>
  <si>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</si>
  <si>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</si>
  <si>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</si>
  <si>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</si>
  <si>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</si>
  <si>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</si>
  <si>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</si>
  <si>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</si>
  <si>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</si>
  <si>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</si>
  <si>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</si>
  <si>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</si>
  <si>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</si>
  <si>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</si>
  <si>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</si>
  <si>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</si>
  <si>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</si>
  <si>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</si>
  <si>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</si>
  <si>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</si>
  <si>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</si>
  <si>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</si>
  <si>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</si>
  <si>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</si>
  <si>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</si>
  <si>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</si>
  <si>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</si>
  <si>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</si>
  <si>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</si>
  <si>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</si>
  <si>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</si>
  <si>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</si>
  <si>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</si>
  <si>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</si>
  <si>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</si>
  <si>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</si>
  <si>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</si>
  <si>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</si>
  <si>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</si>
  <si>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</si>
  <si>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</si>
  <si>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</si>
  <si>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</si>
  <si>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</si>
  <si>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</si>
  <si>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</si>
  <si>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</si>
  <si>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</si>
  <si>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</si>
  <si>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</si>
  <si>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</si>
  <si>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</si>
  <si>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</si>
  <si>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</si>
  <si>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</si>
  <si>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</si>
  <si>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</si>
  <si>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</si>
  <si>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</si>
  <si>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</si>
  <si>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</si>
  <si>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</si>
  <si>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</si>
  <si>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</si>
  <si>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</si>
  <si>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</si>
  <si>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</si>
  <si>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</si>
  <si>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</si>
  <si>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</si>
  <si>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</si>
  <si>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</si>
  <si>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</si>
  <si>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</si>
  <si>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</si>
  <si>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</si>
  <si>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</si>
  <si>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</si>
  <si>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</si>
  <si>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</si>
  <si>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</si>
  <si>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</si>
  <si>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</si>
  <si>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</si>
  <si>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</si>
  <si>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</si>
  <si>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</si>
  <si>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</si>
  <si>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</si>
  <si>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</si>
  <si>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</si>
  <si>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</si>
  <si>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</si>
  <si>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</si>
  <si>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</si>
  <si>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</si>
  <si>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</si>
  <si>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</si>
  <si>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</si>
  <si>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</si>
  <si>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</si>
  <si>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</si>
  <si>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</si>
  <si>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</si>
  <si>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</si>
  <si>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</si>
  <si>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</si>
  <si>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</si>
  <si>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</si>
  <si>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</si>
  <si>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</si>
  <si>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</si>
  <si>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</si>
  <si>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</si>
  <si>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</si>
  <si>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</si>
  <si>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</si>
  <si>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</si>
  <si>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</si>
  <si>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</si>
  <si>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</si>
  <si>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</si>
  <si>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</si>
  <si>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</si>
  <si>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</si>
  <si>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</si>
  <si>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</si>
  <si>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</si>
  <si>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</si>
  <si>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</si>
  <si>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</si>
  <si>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</si>
  <si>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</si>
  <si>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</si>
  <si>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</si>
  <si>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</si>
  <si>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</si>
  <si>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</si>
  <si>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</si>
  <si>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</si>
  <si>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</si>
  <si>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</si>
  <si>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</si>
  <si>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</si>
  <si>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</si>
  <si>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</si>
  <si>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</si>
  <si>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</si>
  <si>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</si>
  <si>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</si>
  <si>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</si>
  <si>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</si>
  <si>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</si>
  <si>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</si>
  <si>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</si>
  <si>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</si>
  <si>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</si>
  <si>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</si>
  <si>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</si>
  <si>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</si>
  <si>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</si>
  <si>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</si>
  <si>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</si>
  <si>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</si>
  <si>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</si>
  <si>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</si>
  <si>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</si>
  <si>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</si>
  <si>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</si>
  <si>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</si>
  <si>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</si>
  <si>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</si>
  <si>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</si>
  <si>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</si>
  <si>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</si>
  <si>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</si>
  <si>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</si>
  <si>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</si>
  <si>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</si>
  <si>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</si>
  <si>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</si>
  <si>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</si>
  <si>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</si>
  <si>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</si>
  <si>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</si>
  <si>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</si>
  <si>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</si>
  <si>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</si>
  <si>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</si>
  <si>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</si>
  <si>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</si>
  <si>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</si>
  <si>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</si>
  <si>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</si>
  <si>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</si>
  <si>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</si>
  <si>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</si>
  <si>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</si>
  <si>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</si>
  <si>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</si>
  <si>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</si>
  <si>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</si>
  <si>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</si>
  <si>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</si>
  <si>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</si>
  <si>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</si>
  <si>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</si>
  <si>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</si>
  <si>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</si>
  <si>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</si>
  <si>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</si>
  <si>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</si>
  <si>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</si>
  <si>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</si>
  <si>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</si>
  <si>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</si>
  <si>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</si>
  <si>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</si>
  <si>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</si>
  <si>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</si>
  <si>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</si>
  <si>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</si>
  <si>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</si>
  <si>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</si>
  <si>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</si>
  <si>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</si>
  <si>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</si>
  <si>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</si>
  <si>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</si>
  <si>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</si>
  <si>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</si>
  <si>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</si>
  <si>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</si>
  <si>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</si>
  <si>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</si>
  <si>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</si>
  <si>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</si>
  <si>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</si>
  <si>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</si>
  <si>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</si>
  <si>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</si>
  <si>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</si>
  <si>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</si>
  <si>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</si>
  <si>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</si>
  <si>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</si>
  <si>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</si>
  <si>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</si>
  <si>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</si>
  <si>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</si>
  <si>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</si>
  <si>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</si>
  <si>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</si>
  <si>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</si>
  <si>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</si>
  <si>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</si>
  <si>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</si>
  <si>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</si>
  <si>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</si>
  <si>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</si>
  <si>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</si>
  <si>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</si>
  <si>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</si>
  <si>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</si>
  <si>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</si>
  <si>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</si>
  <si>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</si>
  <si>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</si>
  <si>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</si>
  <si>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</si>
  <si>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</si>
  <si>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</si>
  <si>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</si>
  <si>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</si>
  <si>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</si>
  <si>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</si>
  <si>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</si>
  <si>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</si>
  <si>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</si>
  <si>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</si>
  <si>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</si>
  <si>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</si>
  <si>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</si>
  <si>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</si>
  <si>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</si>
  <si>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</si>
  <si>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</si>
  <si>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</si>
  <si>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</si>
  <si>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</si>
  <si>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</si>
  <si>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</si>
  <si>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</si>
  <si>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</si>
  <si>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</si>
  <si>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</si>
  <si>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</si>
  <si>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</si>
  <si>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</si>
  <si>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</si>
  <si>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</si>
  <si>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</si>
  <si>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</si>
  <si>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</si>
  <si>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</si>
  <si>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</si>
  <si>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</si>
  <si>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</si>
  <si>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</si>
  <si>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</si>
  <si>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</si>
  <si>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</si>
  <si>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</si>
  <si>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</si>
  <si>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</si>
  <si>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</si>
  <si>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</si>
  <si>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</si>
  <si>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</si>
  <si>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</si>
  <si>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</si>
  <si>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</si>
  <si>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</si>
  <si>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</si>
  <si>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</si>
  <si>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</si>
  <si>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</si>
  <si>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</si>
  <si>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</si>
  <si>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</si>
  <si>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</si>
  <si>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</si>
  <si>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</si>
  <si>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</si>
  <si>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</si>
  <si>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</si>
  <si>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</si>
  <si>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</si>
  <si>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</si>
  <si>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</si>
  <si>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</si>
  <si>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</si>
  <si>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</si>
  <si>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</si>
  <si>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</si>
  <si>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</si>
  <si>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</si>
  <si>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</si>
  <si>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</si>
  <si>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</si>
  <si>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</si>
  <si>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</si>
  <si>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</si>
  <si>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</si>
  <si>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</si>
  <si>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</si>
  <si>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</si>
  <si>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</si>
  <si>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</si>
  <si>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</si>
  <si>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</si>
  <si>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</si>
  <si>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</si>
  <si>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</si>
  <si>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</si>
  <si>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</si>
  <si>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</si>
  <si>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</si>
  <si>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</si>
  <si>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</si>
  <si>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</si>
  <si>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</si>
  <si>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</si>
  <si>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</si>
  <si>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</si>
  <si>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</si>
  <si>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</si>
  <si>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</si>
  <si>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</si>
  <si>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</si>
  <si>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</si>
  <si>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</si>
  <si>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</si>
  <si>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</si>
  <si>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</si>
  <si>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</si>
  <si>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</si>
  <si>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</si>
  <si>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</si>
  <si>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</si>
  <si>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</si>
  <si>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</si>
  <si>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</si>
  <si>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</si>
  <si>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</si>
  <si>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</si>
  <si>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</si>
  <si>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</si>
  <si>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</si>
  <si>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</si>
  <si>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</si>
  <si>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</si>
  <si>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</si>
  <si>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</si>
  <si>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</si>
  <si>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</si>
  <si>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</si>
  <si>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</si>
  <si>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</si>
  <si>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</si>
  <si>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</si>
  <si>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</si>
  <si>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</si>
  <si>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</si>
  <si>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</si>
  <si>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</si>
  <si>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</si>
  <si>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</si>
  <si>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</si>
  <si>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</si>
  <si>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</si>
  <si>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</si>
  <si>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</si>
  <si>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</si>
  <si>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</si>
  <si>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</si>
  <si>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</si>
  <si>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</si>
  <si>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</si>
  <si>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</si>
  <si>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</si>
  <si>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</si>
  <si>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</si>
  <si>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</si>
  <si>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</si>
  <si>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</si>
  <si>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</si>
  <si>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</si>
  <si>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</si>
  <si>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</si>
  <si>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</si>
  <si>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</si>
  <si>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</si>
  <si>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</si>
  <si>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</si>
  <si>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</si>
  <si>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</si>
  <si>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</si>
  <si>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</si>
  <si>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</si>
  <si>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</si>
  <si>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</si>
  <si>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</si>
  <si>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</si>
  <si>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</si>
  <si>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</si>
  <si>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</si>
  <si>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</si>
  <si>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</si>
  <si>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</si>
  <si>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</si>
  <si>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</si>
  <si>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</si>
  <si>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</si>
  <si>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</si>
  <si>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</si>
  <si>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</si>
  <si>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</si>
  <si>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</si>
  <si>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</si>
  <si>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</si>
  <si>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</si>
  <si>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</si>
  <si>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</si>
  <si>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</si>
  <si>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</si>
  <si>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</si>
  <si>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</si>
  <si>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</si>
  <si>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</si>
  <si>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</si>
  <si>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</si>
  <si>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</si>
  <si>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</si>
  <si>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</si>
  <si>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</si>
  <si>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</si>
  <si>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</si>
  <si>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</si>
  <si>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</si>
  <si>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</si>
  <si>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</si>
  <si>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</si>
  <si>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</si>
  <si>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</si>
  <si>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</si>
  <si>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</si>
  <si>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</si>
  <si>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</si>
  <si>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</si>
  <si>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</si>
  <si>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</si>
  <si>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</si>
  <si>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</si>
  <si>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</si>
  <si>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</si>
  <si>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</si>
  <si>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</si>
  <si>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</si>
  <si>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</si>
  <si>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</si>
  <si>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</si>
  <si>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</si>
  <si>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</si>
  <si>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</si>
  <si>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</si>
  <si>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</si>
  <si>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</si>
  <si>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</si>
  <si>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</si>
  <si>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</si>
  <si>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</si>
  <si>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</si>
  <si>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</si>
  <si>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</si>
  <si>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</si>
  <si>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</si>
  <si>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</si>
  <si>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</si>
  <si>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</si>
  <si>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</si>
  <si>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</si>
  <si>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</si>
  <si>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</si>
  <si>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</si>
  <si>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</si>
  <si>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</si>
  <si>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</si>
  <si>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</si>
  <si>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</si>
  <si>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</si>
  <si>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</si>
  <si>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</si>
  <si>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</si>
  <si>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</si>
  <si>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</si>
  <si>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</si>
  <si>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</si>
  <si>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</si>
  <si>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</si>
  <si>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</si>
  <si>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</si>
  <si>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</si>
  <si>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</si>
  <si>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</si>
  <si>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</si>
  <si>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</si>
  <si>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</si>
  <si>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</si>
  <si>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</si>
  <si>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</si>
  <si>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</si>
  <si>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</si>
  <si>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</si>
  <si>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</si>
  <si>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</si>
  <si>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</si>
  <si>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</si>
  <si>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</si>
  <si>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</si>
  <si>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</si>
  <si>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</si>
  <si>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</si>
  <si>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</si>
  <si>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</si>
  <si>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</si>
  <si>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</si>
  <si>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</si>
  <si>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</si>
  <si>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</si>
  <si>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</si>
  <si>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</si>
  <si>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</si>
  <si>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</si>
  <si>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</si>
  <si>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</si>
  <si>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</si>
  <si>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</si>
  <si>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</si>
  <si>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</si>
  <si>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</si>
  <si>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</si>
  <si>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</si>
  <si>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</si>
  <si>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</si>
  <si>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</si>
  <si>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</si>
  <si>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</si>
  <si>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</si>
  <si>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</si>
  <si>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</si>
  <si>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</si>
  <si>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</si>
  <si>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</si>
  <si>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</si>
  <si>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</si>
  <si>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</si>
  <si>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</si>
  <si>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</si>
  <si>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</si>
  <si>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</si>
  <si>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</si>
  <si>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</si>
  <si>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</si>
  <si>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</si>
  <si>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</si>
  <si>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</si>
  <si>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</si>
  <si>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</si>
  <si>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</si>
  <si>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</si>
  <si>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</si>
  <si>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</si>
  <si>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</si>
  <si>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</si>
  <si>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</si>
  <si>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</si>
  <si>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</si>
  <si>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</si>
  <si>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</si>
  <si>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</si>
  <si>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</si>
  <si>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</si>
  <si>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</si>
  <si>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</si>
  <si>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</si>
  <si>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</si>
  <si>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</si>
  <si>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</si>
  <si>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</si>
  <si>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</si>
  <si>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</si>
  <si>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</si>
  <si>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</si>
  <si>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</si>
  <si>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</si>
  <si>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</si>
  <si>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</si>
  <si>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</si>
  <si>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</si>
  <si>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</si>
  <si>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</si>
  <si>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</si>
  <si>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</si>
  <si>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</si>
  <si>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</si>
  <si>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</si>
  <si>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</si>
  <si>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</si>
  <si>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</si>
  <si>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</si>
  <si>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</si>
  <si>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</si>
  <si>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</si>
  <si>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</si>
  <si>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</si>
  <si>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</si>
  <si>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</si>
  <si>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</si>
  <si>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</si>
  <si>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</si>
  <si>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</si>
  <si>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</si>
  <si>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</si>
  <si>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</si>
  <si>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</si>
  <si>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</si>
  <si>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</si>
  <si>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</si>
  <si>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</si>
  <si>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</si>
  <si>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</si>
  <si>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</si>
  <si>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</si>
  <si>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</si>
  <si>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</si>
  <si>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</si>
  <si>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</si>
  <si>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</si>
  <si>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</si>
  <si>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</si>
  <si>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</si>
  <si>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</si>
  <si>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</si>
  <si>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</si>
  <si>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</si>
  <si>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</si>
  <si>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</si>
  <si>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</si>
  <si>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</si>
  <si>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</si>
  <si>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</si>
  <si>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</si>
  <si>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</si>
  <si>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</si>
  <si>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</si>
  <si>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</si>
  <si>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</si>
  <si>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</si>
  <si>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</si>
  <si>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</si>
  <si>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</si>
  <si>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</si>
  <si>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</si>
  <si>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</si>
  <si>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</si>
  <si>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</si>
  <si>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</si>
  <si>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</si>
  <si>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</si>
  <si>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</si>
  <si>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</si>
  <si>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</si>
  <si>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</si>
  <si>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</si>
  <si>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</si>
  <si>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</si>
  <si>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</si>
  <si>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</si>
  <si>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</si>
  <si>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</si>
  <si>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</si>
  <si>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</si>
  <si>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</si>
  <si>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</si>
  <si>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</si>
  <si>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</si>
  <si>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</si>
  <si>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</si>
  <si>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</si>
  <si>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</si>
  <si>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</si>
  <si>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</si>
  <si>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</si>
  <si>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</si>
  <si>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</si>
  <si>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</si>
  <si>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</si>
  <si>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</si>
  <si>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</si>
  <si>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</si>
  <si>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</si>
  <si>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</si>
  <si>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</si>
  <si>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</si>
  <si>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</si>
  <si>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</si>
  <si>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</si>
  <si>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</si>
  <si>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</si>
  <si>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</si>
  <si>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</si>
  <si>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</si>
  <si>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</si>
  <si>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</si>
  <si>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</si>
  <si>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</si>
  <si>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</si>
  <si>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</si>
  <si>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</si>
  <si>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</si>
  <si>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</si>
  <si>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</si>
  <si>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</si>
  <si>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</si>
  <si>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</si>
  <si>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</si>
  <si>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</si>
  <si>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</si>
  <si>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</si>
  <si>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</si>
  <si>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</si>
  <si>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</si>
  <si>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</si>
  <si>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</si>
  <si>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</si>
  <si>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</si>
  <si>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</si>
  <si>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</si>
  <si>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</si>
  <si>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</si>
  <si>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</si>
  <si>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</si>
  <si>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</si>
  <si>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</si>
  <si>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</si>
  <si>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</si>
  <si>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</si>
  <si>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</si>
  <si>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</si>
  <si>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</si>
  <si>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</si>
  <si>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</si>
  <si>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</si>
  <si>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</si>
  <si>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</si>
  <si>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</si>
  <si>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</si>
  <si>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</si>
  <si>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</si>
  <si>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</si>
  <si>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</si>
  <si>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</si>
  <si>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</si>
  <si>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</si>
  <si>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</si>
  <si>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</si>
  <si>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</si>
  <si>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</si>
  <si>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</si>
  <si>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</si>
  <si>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</si>
  <si>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</si>
  <si>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</si>
  <si>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</si>
  <si>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</si>
  <si>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</si>
  <si>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</si>
  <si>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</si>
  <si>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</si>
  <si>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</si>
  <si>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</si>
  <si>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</si>
  <si>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</si>
  <si>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</si>
  <si>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</si>
  <si>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</si>
  <si>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</si>
  <si>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</si>
  <si>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</si>
  <si>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</si>
  <si>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</si>
  <si>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</si>
  <si>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</si>
  <si>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</si>
  <si>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</si>
  <si>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</si>
  <si>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</si>
  <si>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</si>
  <si>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</si>
  <si>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</si>
  <si>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</si>
  <si>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</si>
  <si>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</si>
  <si>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</si>
  <si>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</si>
  <si>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</si>
  <si>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</si>
  <si>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</si>
  <si>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</si>
  <si>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</si>
  <si>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</si>
  <si>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</si>
  <si>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</si>
  <si>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</si>
  <si>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</si>
  <si>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</si>
  <si>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</si>
  <si>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</si>
  <si>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</si>
  <si>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</si>
  <si>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</si>
  <si>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</si>
  <si>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</si>
  <si>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</si>
  <si>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</si>
  <si>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</si>
  <si>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</si>
  <si>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</si>
  <si>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</si>
  <si>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</si>
  <si>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</si>
  <si>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</si>
  <si>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</si>
  <si>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</si>
  <si>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</si>
  <si>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</si>
  <si>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</si>
  <si>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</si>
  <si>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</si>
  <si>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</si>
  <si>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</si>
  <si>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</si>
  <si>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</si>
  <si>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</si>
  <si>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</si>
  <si>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</si>
  <si>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</si>
  <si>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</si>
  <si>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</si>
  <si>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</si>
  <si>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</si>
  <si>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</si>
  <si>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</si>
  <si>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</si>
  <si>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</si>
  <si>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</si>
  <si>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</si>
  <si>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</si>
  <si>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</si>
  <si>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</si>
  <si>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</si>
  <si>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</si>
  <si>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</si>
  <si>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</si>
  <si>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</si>
  <si>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</si>
  <si>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</si>
  <si>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</si>
  <si>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</si>
  <si>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</si>
  <si>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</si>
  <si>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</si>
  <si>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</si>
  <si>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</si>
  <si>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</si>
  <si>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</si>
  <si>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</si>
  <si>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</si>
  <si>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</si>
  <si>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</si>
  <si>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</si>
  <si>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</si>
  <si>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</si>
  <si>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</si>
  <si>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</si>
  <si>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</si>
  <si>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</si>
  <si>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</si>
  <si>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</si>
  <si>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</si>
  <si>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</si>
  <si>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</si>
  <si>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</si>
  <si>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</si>
  <si>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</si>
  <si>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</si>
  <si>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</si>
  <si>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</si>
  <si>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</si>
  <si>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</si>
  <si>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</si>
  <si>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</si>
  <si>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</si>
  <si>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</si>
  <si>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</si>
  <si>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</si>
  <si>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</si>
  <si>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</si>
  <si>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</si>
  <si>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</si>
  <si>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</si>
  <si>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</si>
  <si>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</si>
  <si>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</si>
  <si>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</si>
  <si>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</si>
  <si>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</si>
  <si>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</si>
  <si>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</si>
  <si>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</si>
  <si>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</si>
  <si>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</si>
  <si>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</si>
  <si>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</si>
  <si>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</si>
  <si>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</si>
  <si>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</si>
  <si>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</si>
  <si>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</si>
  <si>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</si>
  <si>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</si>
  <si>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</si>
  <si>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</si>
  <si>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</si>
  <si>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</si>
  <si>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</si>
  <si>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</si>
  <si>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</si>
  <si>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</si>
  <si>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</si>
  <si>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</si>
  <si>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</si>
  <si>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</si>
  <si>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</si>
  <si>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</si>
  <si>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</si>
  <si>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</si>
  <si>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</si>
  <si>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</si>
  <si>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</si>
  <si>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</si>
  <si>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</si>
  <si>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</si>
  <si>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</si>
  <si>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</si>
  <si>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</si>
  <si>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</si>
  <si>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</si>
  <si>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</si>
  <si>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</si>
  <si>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</si>
  <si>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</si>
  <si>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</si>
  <si>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</si>
  <si>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</si>
  <si>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</si>
  <si>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</si>
  <si>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</si>
  <si>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</si>
  <si>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</si>
  <si>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</si>
  <si>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</si>
  <si>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</si>
  <si>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</si>
  <si>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</si>
  <si>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</si>
  <si>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</si>
  <si>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</si>
  <si>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</si>
  <si>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</si>
  <si>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</si>
  <si>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</si>
  <si>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</si>
  <si>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</si>
  <si>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</si>
  <si>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</si>
  <si>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</si>
  <si>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</si>
  <si>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</si>
  <si>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</si>
  <si>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</si>
  <si>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</si>
  <si>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</si>
  <si>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</si>
  <si>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</si>
  <si>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</si>
  <si>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</si>
  <si>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</si>
  <si>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</si>
  <si>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</si>
  <si>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</si>
  <si>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</si>
  <si>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</si>
  <si>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</si>
  <si>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</si>
  <si>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</si>
  <si>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</si>
  <si>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</si>
  <si>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</si>
  <si>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</si>
  <si>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</si>
  <si>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</si>
  <si>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</si>
  <si>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</si>
  <si>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</si>
  <si>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</si>
  <si>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</si>
  <si>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</si>
  <si>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</si>
  <si>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</si>
  <si>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</si>
  <si>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</si>
  <si>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</si>
  <si>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</si>
  <si>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</si>
  <si>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</si>
  <si>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</si>
  <si>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</si>
  <si>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</si>
  <si>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</si>
  <si>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</si>
  <si>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</si>
  <si>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</si>
  <si>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</si>
  <si>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</si>
  <si>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</si>
  <si>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</si>
  <si>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</si>
  <si>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</si>
  <si>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</si>
  <si>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</si>
  <si>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</si>
  <si>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</si>
  <si>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</si>
  <si>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</si>
  <si>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</si>
  <si>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</si>
  <si>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</si>
  <si>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</si>
  <si>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</si>
  <si>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</si>
  <si>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</si>
  <si>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</si>
  <si>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</si>
  <si>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</si>
  <si>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</si>
  <si>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</si>
  <si>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</si>
  <si>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</si>
  <si>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</si>
  <si>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</si>
  <si>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</si>
  <si>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</si>
  <si>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</si>
  <si>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</si>
  <si>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</si>
  <si>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</si>
  <si>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</si>
  <si>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</si>
  <si>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</si>
  <si>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</si>
  <si>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</si>
  <si>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</si>
  <si>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</si>
  <si>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</si>
  <si>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</si>
  <si>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</si>
  <si>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</si>
  <si>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</si>
  <si>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</si>
  <si>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</si>
  <si>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</si>
  <si>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</si>
  <si>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</si>
  <si>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</si>
  <si>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</si>
  <si>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</si>
  <si>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</si>
  <si>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</si>
  <si>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</si>
  <si>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</si>
  <si>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</si>
  <si>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</si>
  <si>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</si>
  <si>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</si>
  <si>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</si>
  <si>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</si>
  <si>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</si>
  <si>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</si>
  <si>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</si>
  <si>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</si>
  <si>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</si>
  <si>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</si>
  <si>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</si>
  <si>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</si>
  <si>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</si>
  <si>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</si>
  <si>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</si>
  <si>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</si>
  <si>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</si>
  <si>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</si>
  <si>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</si>
  <si>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</si>
  <si>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</si>
  <si>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</si>
  <si>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</si>
  <si>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</si>
  <si>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</si>
  <si>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</si>
  <si>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</si>
  <si>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</si>
  <si>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</si>
  <si>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</si>
  <si>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</si>
  <si>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</si>
  <si>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</si>
  <si>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</si>
  <si>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</si>
  <si>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</si>
  <si>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</si>
  <si>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</si>
  <si>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</si>
  <si>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</si>
  <si>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</si>
  <si>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</si>
  <si>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</si>
  <si>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</si>
  <si>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</si>
  <si>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</si>
  <si>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</si>
  <si>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</si>
  <si>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</si>
  <si>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</si>
  <si>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</si>
  <si>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</si>
  <si>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</si>
  <si>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</si>
  <si>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</si>
  <si>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</si>
  <si>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</si>
  <si>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</si>
  <si>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</si>
  <si>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</si>
  <si>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</si>
  <si>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</si>
  <si>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</si>
  <si>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</si>
  <si>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</si>
  <si>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</si>
  <si>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</si>
  <si>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</si>
  <si>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</si>
  <si>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</si>
  <si>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</si>
  <si>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</si>
  <si>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</si>
  <si>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</si>
  <si>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</si>
  <si>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</si>
  <si>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</si>
  <si>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</si>
  <si>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</si>
  <si>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</si>
  <si>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</si>
  <si>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</si>
  <si>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</si>
  <si>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</si>
  <si>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</si>
  <si>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</si>
  <si>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</si>
  <si>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</si>
  <si>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</si>
  <si>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</si>
  <si>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</si>
  <si>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</si>
  <si>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</si>
  <si>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</si>
  <si>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</si>
  <si>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</si>
  <si>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</si>
  <si>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</si>
  <si>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</si>
  <si>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</si>
  <si>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</si>
  <si>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</si>
  <si>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</si>
  <si>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</si>
  <si>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</si>
  <si>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</si>
  <si>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</si>
  <si>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</si>
  <si>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</si>
  <si>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</si>
  <si>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</si>
  <si>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</si>
  <si>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</si>
  <si>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</si>
  <si>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</si>
  <si>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</si>
  <si>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</si>
  <si>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</si>
  <si>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</si>
  <si>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</si>
  <si>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</si>
  <si>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</si>
  <si>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</si>
  <si>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</si>
  <si>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</si>
  <si>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</si>
  <si>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</si>
  <si>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</si>
  <si>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</si>
  <si>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</si>
  <si>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</si>
  <si>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</si>
  <si>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</si>
  <si>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</si>
  <si>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</si>
  <si>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</si>
  <si>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</si>
  <si>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</si>
  <si>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</si>
  <si>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</si>
  <si>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</si>
  <si>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</si>
  <si>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</si>
  <si>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</si>
  <si>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</si>
  <si>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</si>
  <si>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</si>
  <si>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</si>
  <si>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</si>
  <si>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</si>
  <si>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</si>
  <si>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</si>
  <si>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</si>
  <si>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</si>
  <si>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</si>
  <si>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</si>
  <si>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</si>
  <si>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</si>
  <si>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</si>
  <si>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</si>
  <si>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</si>
  <si>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</si>
  <si>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</si>
  <si>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</si>
  <si>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</si>
  <si>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</si>
  <si>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</si>
  <si>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</si>
  <si>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</si>
  <si>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</si>
  <si>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</si>
  <si>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</si>
  <si>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</si>
  <si>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</si>
  <si>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</si>
  <si>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</si>
  <si>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</si>
  <si>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</si>
  <si>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</si>
  <si>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</si>
  <si>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</si>
  <si>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</si>
  <si>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</si>
  <si>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</si>
  <si>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</si>
  <si>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</si>
  <si>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</si>
  <si>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</si>
  <si>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</si>
  <si>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</si>
  <si>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</si>
  <si>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</si>
  <si>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</si>
  <si>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</si>
  <si>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</si>
  <si>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</si>
  <si>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</si>
  <si>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</si>
  <si>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</si>
  <si>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</si>
  <si>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</si>
  <si>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</si>
  <si>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</si>
  <si>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</si>
  <si>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</si>
  <si>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</si>
  <si>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</si>
  <si>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</si>
  <si>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</si>
  <si>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</si>
  <si>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</si>
  <si>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</si>
  <si>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</si>
  <si>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</si>
  <si>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</si>
  <si>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</si>
  <si>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</si>
  <si>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</si>
  <si>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</si>
  <si>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</si>
  <si>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</si>
  <si>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</si>
  <si>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</si>
  <si>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</si>
  <si>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</si>
  <si>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</si>
  <si>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</si>
  <si>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</si>
  <si>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</si>
  <si>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</si>
  <si>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</si>
  <si>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</si>
  <si>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</si>
  <si>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</si>
  <si>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</si>
  <si>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</si>
  <si>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</si>
  <si>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</si>
  <si>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</si>
  <si>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</si>
  <si>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</si>
  <si>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</si>
  <si>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</si>
  <si>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</si>
  <si>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</si>
  <si>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</si>
  <si>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</si>
  <si>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</si>
  <si>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</si>
  <si>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</si>
  <si>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</si>
  <si>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</si>
  <si>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</si>
  <si>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</si>
  <si>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</si>
  <si>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</si>
  <si>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</si>
  <si>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</si>
  <si>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</si>
  <si>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</si>
  <si>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</si>
  <si>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</si>
  <si>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</si>
  <si>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</si>
  <si>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</si>
  <si>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</si>
  <si>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</si>
  <si>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</si>
  <si>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</si>
  <si>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</si>
  <si>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</si>
  <si>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</si>
  <si>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</si>
  <si>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</si>
  <si>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</si>
  <si>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</si>
  <si>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</si>
  <si>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</si>
  <si>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</si>
  <si>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</si>
  <si>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</si>
  <si>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</si>
  <si>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</si>
  <si>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</si>
  <si>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</si>
  <si>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</si>
  <si>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</si>
  <si>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</si>
  <si>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</si>
  <si>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</si>
  <si>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</si>
  <si>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</si>
  <si>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</si>
  <si>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</si>
  <si>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</si>
  <si>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</si>
  <si>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</si>
  <si>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</si>
  <si>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</si>
  <si>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</si>
  <si>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</si>
  <si>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</si>
  <si>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</si>
  <si>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</si>
  <si>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</si>
  <si>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</si>
  <si>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</si>
  <si>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</si>
  <si>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</si>
  <si>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</si>
  <si>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</si>
  <si>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</si>
  <si>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</si>
  <si>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</si>
  <si>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</si>
  <si>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</si>
  <si>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</si>
  <si>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</si>
  <si>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</si>
  <si>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</si>
  <si>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</si>
  <si>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</si>
  <si>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</si>
  <si>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</si>
  <si>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</si>
  <si>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</si>
  <si>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</si>
  <si>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</si>
  <si>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</si>
  <si>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</si>
  <si>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</si>
  <si>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</si>
  <si>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</si>
  <si>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</si>
  <si>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</si>
  <si>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</si>
  <si>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</si>
  <si>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</si>
  <si>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</si>
  <si>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</si>
  <si>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</si>
  <si>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</si>
  <si>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</si>
  <si>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</si>
  <si>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</si>
  <si>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</si>
  <si>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</si>
  <si>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</si>
  <si>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</si>
  <si>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</si>
  <si>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</si>
  <si>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</si>
  <si>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</si>
  <si>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</si>
  <si>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</si>
  <si>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</si>
  <si>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</si>
  <si>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</si>
  <si>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</si>
  <si>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</si>
  <si>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</si>
  <si>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</si>
  <si>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</si>
  <si>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</si>
  <si>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</si>
  <si>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</si>
  <si>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</si>
  <si>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</si>
  <si>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</si>
  <si>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</si>
  <si>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</si>
  <si>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</si>
  <si>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</si>
  <si>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</si>
  <si>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</si>
  <si>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</si>
  <si>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</si>
  <si>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</si>
  <si>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</si>
  <si>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</si>
  <si>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</si>
  <si>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</si>
  <si>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</si>
  <si>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</si>
  <si>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</si>
  <si>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</si>
  <si>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</si>
  <si>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</si>
  <si>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</si>
  <si>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</si>
  <si>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</si>
  <si>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</si>
  <si>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</si>
  <si>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</si>
  <si>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</si>
  <si>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</si>
  <si>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</si>
  <si>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</si>
  <si>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</si>
  <si>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</si>
  <si>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</si>
  <si>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</si>
  <si>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</si>
  <si>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</si>
  <si>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</si>
  <si>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</si>
  <si>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</si>
  <si>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</si>
  <si>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</si>
  <si>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</si>
  <si>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</si>
  <si>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</si>
  <si>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</si>
  <si>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</si>
  <si>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</si>
  <si>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</si>
  <si>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</si>
  <si>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</si>
  <si>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</si>
  <si>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</si>
  <si>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</si>
  <si>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</si>
  <si>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</si>
  <si>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</si>
  <si>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</si>
  <si>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</si>
  <si>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</si>
  <si>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</si>
  <si>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</si>
  <si>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</si>
  <si>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</si>
  <si>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</si>
  <si>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</si>
  <si>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</si>
  <si>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</si>
  <si>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</si>
  <si>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</si>
  <si>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</si>
  <si>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</si>
  <si>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</si>
  <si>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</si>
  <si>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</si>
  <si>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</si>
  <si>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</si>
  <si>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</si>
  <si>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</si>
  <si>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</si>
  <si>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</si>
  <si>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</si>
  <si>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</si>
  <si>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</si>
  <si>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</si>
  <si>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</si>
  <si>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</si>
  <si>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</si>
  <si>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</si>
  <si>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</si>
  <si>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</si>
  <si>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</si>
  <si>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</si>
  <si>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</si>
  <si>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</si>
  <si>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</si>
  <si>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</si>
  <si>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</si>
  <si>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</si>
  <si>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</si>
  <si>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</si>
  <si>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</si>
  <si>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</si>
  <si>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</si>
  <si>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</si>
  <si>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</si>
  <si>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</si>
  <si>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</si>
  <si>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</si>
  <si>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</si>
  <si>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</si>
  <si>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</si>
  <si>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</si>
  <si>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</si>
  <si>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</si>
  <si>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</si>
  <si>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</si>
  <si>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</si>
  <si>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</si>
  <si>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</si>
  <si>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</si>
  <si>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</si>
  <si>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</si>
  <si>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</si>
  <si>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</si>
  <si>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</si>
  <si>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</si>
  <si>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</si>
  <si>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</si>
  <si>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</si>
  <si>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</si>
  <si>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</si>
  <si>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</si>
  <si>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</si>
  <si>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</si>
  <si>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</si>
  <si>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</si>
  <si>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</si>
  <si>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</si>
  <si>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</si>
  <si>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</si>
  <si>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</si>
  <si>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</si>
  <si>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</si>
  <si>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</si>
  <si>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</si>
  <si>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</si>
  <si>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</si>
  <si>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</si>
  <si>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</si>
  <si>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</si>
  <si>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</si>
  <si>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</si>
  <si>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</si>
  <si>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</si>
  <si>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</si>
  <si>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</si>
  <si>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</si>
  <si>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</si>
  <si>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</si>
  <si>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</si>
  <si>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</si>
  <si>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</si>
  <si>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</si>
  <si>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</si>
  <si>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</si>
  <si>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</si>
  <si>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</si>
  <si>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</si>
  <si>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</si>
  <si>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</si>
  <si>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</si>
  <si>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</si>
  <si>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</si>
  <si>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</si>
  <si>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</si>
  <si>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</si>
  <si>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</si>
  <si>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</si>
  <si>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</si>
  <si>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</si>
  <si>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</si>
  <si>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</si>
  <si>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</si>
  <si>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</si>
  <si>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</si>
  <si>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</si>
  <si>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</si>
  <si>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</si>
  <si>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</si>
  <si>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</si>
  <si>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</si>
  <si>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</si>
  <si>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</si>
  <si>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</si>
  <si>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</si>
  <si>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</si>
  <si>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</si>
  <si>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</si>
  <si>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</si>
  <si>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</si>
  <si>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</si>
  <si>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</si>
  <si>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</si>
  <si>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</si>
  <si>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</si>
  <si>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</si>
  <si>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</si>
  <si>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</si>
  <si>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</si>
  <si>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</si>
  <si>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</si>
  <si>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</si>
  <si>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</si>
  <si>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</si>
  <si>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</si>
  <si>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</si>
  <si>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</si>
  <si>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</si>
  <si>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</si>
  <si>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</si>
  <si>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</si>
  <si>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</si>
  <si>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</si>
  <si>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</si>
  <si>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</si>
  <si>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</si>
  <si>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</si>
  <si>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</si>
  <si>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</si>
  <si>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</si>
  <si>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</si>
  <si>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</si>
  <si>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</si>
  <si>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</si>
  <si>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</si>
  <si>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</si>
  <si>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</si>
  <si>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</si>
  <si>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</si>
  <si>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</si>
  <si>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</si>
  <si>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</si>
  <si>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</si>
  <si>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</si>
  <si>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</si>
  <si>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</si>
  <si>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</si>
  <si>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</si>
  <si>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</si>
  <si>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</si>
  <si>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</si>
  <si>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</si>
  <si>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</si>
  <si>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</si>
  <si>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</si>
  <si>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</si>
  <si>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</si>
  <si>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</si>
  <si>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</si>
  <si>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</si>
  <si>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</si>
  <si>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</si>
  <si>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</si>
  <si>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</si>
  <si>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</si>
  <si>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</si>
  <si>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</si>
  <si>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</si>
  <si>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</si>
  <si>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</si>
  <si>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</si>
  <si>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</si>
  <si>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</si>
  <si>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</si>
  <si>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</si>
  <si>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</si>
  <si>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</si>
  <si>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</si>
  <si>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</si>
  <si>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</si>
  <si>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</si>
  <si>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</si>
  <si>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</si>
  <si>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</si>
  <si>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</si>
  <si>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</si>
  <si>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</si>
  <si>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</si>
  <si>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</si>
  <si>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</si>
  <si>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</si>
  <si>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</si>
  <si>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</si>
  <si>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</si>
  <si>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</si>
  <si>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</si>
  <si>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</si>
  <si>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</si>
  <si>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</si>
  <si>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</si>
  <si>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</si>
  <si>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</si>
  <si>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</si>
  <si>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</si>
  <si>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</si>
  <si>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</si>
  <si>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</si>
  <si>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</si>
  <si>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</si>
  <si>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</si>
  <si>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</si>
  <si>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</si>
  <si>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</si>
  <si>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</si>
  <si>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</si>
  <si>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</si>
  <si>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</si>
  <si>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</si>
  <si>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</si>
  <si>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</si>
  <si>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</si>
  <si>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</si>
  <si>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</si>
  <si>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</si>
  <si>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</si>
  <si>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</si>
  <si>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</si>
  <si>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</si>
  <si>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</si>
  <si>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</si>
  <si>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</si>
  <si>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</si>
  <si>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</si>
  <si>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</si>
  <si>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</si>
  <si>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</si>
  <si>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</si>
  <si>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</si>
  <si>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</si>
  <si>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</si>
  <si>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</si>
  <si>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</si>
  <si>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</si>
  <si>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</si>
  <si>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</si>
  <si>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</si>
  <si>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</si>
  <si>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</si>
  <si>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</si>
  <si>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</si>
  <si>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</si>
  <si>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</si>
  <si>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</si>
  <si>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</si>
  <si>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</si>
  <si>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</si>
  <si>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</si>
  <si>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</si>
  <si>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</si>
  <si>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</si>
  <si>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</si>
  <si>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</si>
  <si>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</si>
  <si>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</si>
  <si>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</si>
  <si>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</si>
  <si>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</si>
  <si>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</si>
  <si>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</si>
  <si>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</si>
  <si>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</si>
  <si>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</si>
  <si>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</si>
  <si>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</si>
  <si>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</si>
  <si>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</si>
  <si>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</si>
  <si>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</si>
  <si>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</si>
  <si>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</si>
  <si>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</si>
  <si>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</si>
  <si>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</si>
  <si>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</si>
  <si>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</si>
  <si>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</si>
  <si>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</si>
  <si>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</si>
  <si>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</si>
  <si>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</si>
  <si>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</si>
  <si>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</si>
  <si>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</si>
  <si>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</si>
  <si>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</si>
  <si>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</si>
  <si>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</si>
  <si>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</si>
  <si>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</si>
  <si>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</si>
  <si>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</si>
  <si>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</si>
  <si>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</si>
  <si>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</si>
  <si>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</si>
  <si>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</si>
  <si>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</si>
  <si>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</si>
  <si>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</si>
  <si>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</si>
  <si>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</si>
  <si>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</si>
  <si>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</si>
  <si>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</si>
  <si>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</si>
  <si>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</si>
  <si>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</si>
  <si>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</si>
  <si>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</si>
  <si>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</si>
  <si>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</si>
  <si>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</si>
  <si>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</si>
  <si>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</si>
  <si>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</si>
  <si>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</si>
  <si>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</si>
  <si>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</si>
  <si>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</si>
  <si>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</si>
  <si>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</si>
  <si>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</si>
  <si>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</si>
  <si>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</si>
  <si>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</si>
  <si>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</si>
  <si>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</si>
  <si>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</si>
  <si>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</si>
  <si>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</si>
  <si>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</si>
  <si>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</si>
  <si>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</si>
  <si>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</si>
  <si>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</si>
  <si>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</si>
  <si>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</si>
  <si>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</si>
  <si>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</si>
  <si>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</si>
  <si>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</si>
  <si>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</si>
  <si>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</si>
  <si>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</si>
  <si>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</si>
  <si>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</si>
  <si>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</si>
  <si>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</si>
  <si>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</si>
  <si>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</si>
  <si>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</si>
  <si>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</si>
  <si>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</si>
  <si>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</si>
  <si>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</si>
  <si>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</si>
  <si>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</si>
  <si>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</si>
  <si>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</si>
  <si>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</si>
  <si>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</si>
  <si>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</si>
  <si>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</si>
  <si>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</si>
  <si>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</si>
  <si>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</si>
  <si>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</si>
  <si>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</si>
  <si>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</si>
  <si>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</si>
  <si>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</si>
  <si>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</si>
  <si>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</si>
  <si>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</si>
  <si>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</si>
  <si>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</si>
  <si>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</si>
  <si>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</si>
  <si>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</si>
  <si>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</si>
  <si>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</si>
  <si>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</si>
  <si>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</si>
  <si>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</si>
  <si>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</si>
  <si>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</si>
  <si>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</si>
  <si>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</si>
  <si>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</si>
  <si>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</si>
  <si>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</si>
  <si>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</si>
  <si>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</si>
  <si>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</si>
  <si>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</si>
  <si>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</si>
  <si>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</si>
  <si>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</si>
  <si>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</si>
  <si>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</si>
  <si>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</si>
  <si>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</si>
  <si>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</si>
  <si>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</si>
  <si>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</si>
  <si>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</si>
  <si>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</si>
  <si>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</si>
  <si>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</si>
  <si>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</si>
  <si>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</si>
  <si>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</si>
  <si>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</si>
  <si>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</si>
  <si>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</si>
  <si>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</si>
  <si>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</si>
  <si>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</si>
  <si>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</si>
  <si>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</si>
  <si>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</si>
  <si>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</si>
  <si>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</si>
  <si>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</si>
  <si>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</si>
  <si>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</si>
  <si>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</si>
  <si>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</si>
  <si>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</si>
  <si>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</si>
  <si>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</si>
  <si>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</si>
  <si>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</si>
  <si>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</si>
  <si>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</si>
  <si>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</si>
  <si>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</si>
  <si>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</si>
  <si>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</si>
  <si>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</si>
  <si>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</si>
  <si>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</si>
  <si>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</si>
  <si>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</si>
  <si>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</si>
  <si>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</si>
  <si>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</si>
  <si>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</si>
  <si>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</si>
  <si>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</si>
  <si>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</si>
  <si>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</si>
  <si>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</si>
  <si>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</si>
  <si>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</si>
  <si>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</si>
  <si>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</si>
  <si>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</si>
  <si>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</si>
  <si>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</si>
  <si>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</si>
  <si>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</si>
  <si>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</si>
  <si>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</si>
  <si>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</si>
  <si>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</si>
  <si>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</si>
  <si>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</si>
  <si>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</si>
  <si>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</si>
  <si>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</si>
  <si>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</si>
  <si>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</si>
  <si>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</si>
  <si>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</si>
  <si>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</si>
  <si>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</si>
  <si>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</si>
  <si>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</si>
  <si>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</si>
  <si>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</si>
  <si>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</si>
  <si>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</si>
  <si>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</si>
  <si>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</si>
  <si>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</si>
  <si>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</si>
  <si>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</si>
  <si>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</si>
  <si>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</si>
  <si>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</si>
  <si>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</si>
  <si>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</si>
  <si>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</si>
  <si>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</si>
  <si>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</si>
  <si>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</si>
  <si>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</si>
  <si>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</si>
  <si>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</si>
  <si>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</si>
  <si>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</si>
  <si>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</si>
  <si>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</si>
  <si>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</si>
  <si>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</si>
  <si>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</si>
  <si>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</si>
  <si>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</si>
  <si>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</si>
  <si>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</si>
  <si>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</si>
  <si>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</si>
  <si>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</si>
  <si>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</si>
  <si>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</si>
  <si>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</si>
  <si>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</si>
  <si>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</si>
  <si>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</si>
  <si>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</si>
  <si>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</si>
  <si>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</si>
  <si>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</si>
  <si>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</si>
  <si>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</si>
  <si>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</si>
  <si>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</si>
  <si>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</si>
  <si>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</si>
  <si>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</si>
  <si>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</si>
  <si>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</si>
  <si>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</si>
  <si>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</si>
  <si>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</si>
  <si>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</si>
  <si>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</si>
  <si>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</si>
  <si>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</si>
  <si>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</si>
  <si>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</si>
  <si>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</si>
  <si>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</si>
  <si>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</si>
  <si>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</si>
  <si>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</si>
  <si>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</si>
  <si>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</si>
  <si>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</si>
  <si>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</si>
  <si>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</si>
  <si>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</si>
  <si>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</si>
  <si>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</si>
  <si>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</si>
  <si>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</si>
  <si>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</si>
  <si>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</si>
  <si>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</si>
  <si>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</si>
  <si>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</si>
  <si>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</si>
  <si>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</si>
  <si>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</si>
  <si>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</si>
  <si>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</si>
  <si>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</si>
  <si>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</si>
  <si>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</si>
  <si>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</si>
  <si>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</si>
  <si>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</si>
  <si>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</si>
  <si>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</si>
  <si>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</si>
  <si>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</si>
  <si>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</si>
  <si>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</si>
  <si>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</si>
  <si>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</si>
  <si>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</si>
  <si>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</si>
  <si>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</si>
  <si>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</si>
  <si>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</si>
  <si>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</si>
  <si>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</si>
  <si>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</si>
  <si>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</si>
  <si>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</si>
  <si>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</si>
  <si>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</si>
  <si>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</si>
  <si>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</si>
  <si>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</si>
  <si>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</si>
  <si>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</si>
  <si>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</si>
  <si>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</si>
  <si>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</si>
  <si>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</si>
  <si>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</si>
  <si>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</si>
  <si>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</si>
  <si>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</si>
  <si>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</si>
  <si>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</si>
  <si>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</si>
  <si>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</si>
  <si>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</si>
  <si>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</si>
  <si>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</si>
  <si>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</si>
  <si>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</si>
  <si>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</si>
  <si>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</si>
  <si>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</si>
  <si>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</si>
  <si>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</si>
  <si>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</si>
  <si>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</si>
  <si>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</si>
  <si>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</si>
  <si>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</si>
  <si>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</si>
  <si>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</si>
  <si>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</si>
  <si>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</si>
  <si>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</si>
  <si>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</si>
  <si>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</si>
  <si>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</si>
  <si>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</si>
  <si>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</si>
  <si>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</si>
  <si>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</si>
  <si>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</si>
  <si>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</si>
  <si>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</si>
  <si>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</si>
  <si>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</si>
  <si>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</si>
  <si>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</si>
  <si>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</si>
  <si>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</si>
  <si>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</si>
  <si>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</si>
  <si>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</si>
  <si>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</si>
  <si>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</si>
  <si>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</si>
  <si>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</si>
  <si>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</si>
  <si>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</si>
  <si>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</si>
  <si>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</si>
  <si>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</si>
  <si>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</si>
  <si>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</si>
  <si>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</si>
  <si>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</si>
  <si>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</si>
  <si>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</si>
  <si>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</si>
  <si>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</si>
  <si>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</si>
  <si>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</si>
  <si>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</si>
  <si>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</si>
  <si>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</si>
  <si>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</si>
  <si>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</si>
  <si>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</si>
  <si>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</si>
  <si>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</si>
  <si>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</si>
  <si>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</si>
  <si>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</si>
  <si>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</si>
  <si>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</si>
  <si>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</si>
  <si>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</si>
  <si>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</si>
  <si>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</si>
  <si>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</si>
  <si>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</si>
  <si>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</si>
  <si>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</si>
  <si>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</si>
  <si>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</si>
  <si>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</si>
  <si>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</si>
  <si>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</si>
  <si>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</si>
  <si>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</si>
  <si>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</si>
  <si>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</si>
  <si>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</si>
  <si>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</si>
  <si>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</si>
  <si>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</si>
  <si>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</si>
  <si>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</si>
  <si>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</si>
  <si>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</si>
  <si>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</si>
  <si>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</si>
  <si>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</si>
  <si>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</si>
  <si>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</si>
  <si>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</si>
  <si>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</si>
  <si>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</si>
  <si>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</si>
  <si>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</si>
  <si>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</si>
  <si>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</si>
  <si>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</si>
  <si>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</si>
  <si>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</si>
  <si>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</si>
  <si>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</si>
  <si>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</si>
  <si>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</si>
  <si>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</si>
  <si>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</si>
  <si>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</si>
  <si>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</si>
  <si>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</si>
  <si>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</si>
  <si>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</si>
  <si>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</si>
  <si>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</si>
  <si>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</si>
  <si>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</si>
  <si>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</si>
  <si>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</si>
  <si>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</si>
  <si>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</si>
  <si>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</si>
  <si>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</si>
  <si>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</si>
  <si>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</si>
  <si>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</si>
  <si>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</si>
  <si>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</si>
  <si>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</si>
  <si>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</si>
  <si>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</si>
  <si>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</si>
  <si>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</si>
  <si>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</si>
  <si>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</si>
  <si>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</si>
  <si>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</si>
  <si>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</si>
  <si>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</si>
  <si>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</si>
  <si>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</si>
  <si>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</si>
  <si>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</si>
  <si>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</si>
  <si>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</si>
  <si>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</si>
  <si>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</si>
  <si>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</si>
  <si>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</si>
  <si>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</si>
  <si>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</si>
  <si>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</si>
  <si>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</si>
  <si>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</si>
  <si>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</si>
  <si>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</si>
  <si>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</si>
  <si>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</si>
  <si>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</si>
  <si>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</si>
  <si>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</si>
  <si>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</si>
  <si>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</si>
  <si>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</si>
  <si>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</si>
  <si>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</si>
  <si>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</si>
  <si>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</si>
  <si>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</si>
  <si>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</si>
  <si>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</si>
  <si>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</si>
  <si>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</si>
  <si>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</si>
  <si>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</si>
  <si>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</si>
  <si>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</si>
  <si>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</si>
  <si>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</si>
  <si>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</si>
  <si>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</si>
  <si>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</si>
  <si>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</si>
  <si>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</si>
  <si>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</si>
  <si>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</si>
  <si>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</si>
  <si>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</si>
  <si>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</si>
  <si>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</si>
  <si>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</si>
  <si>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</si>
  <si>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</si>
  <si>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</si>
  <si>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</si>
  <si>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</si>
  <si>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</si>
  <si>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</si>
  <si>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</si>
  <si>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</si>
  <si>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</si>
  <si>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</si>
  <si>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</si>
  <si>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</si>
  <si>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</si>
  <si>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</si>
  <si>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</si>
  <si>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</si>
  <si>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</si>
  <si>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</si>
  <si>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</si>
  <si>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</si>
  <si>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</si>
  <si>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</si>
  <si>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</si>
  <si>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</si>
  <si>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</si>
  <si>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</si>
  <si>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</si>
  <si>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</si>
  <si>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</si>
  <si>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</si>
  <si>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</si>
  <si>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</si>
  <si>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</si>
  <si>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</si>
  <si>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</si>
  <si>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</si>
  <si>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</si>
  <si>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</si>
  <si>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</si>
  <si>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</si>
  <si>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</si>
  <si>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</si>
  <si>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</si>
  <si>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</si>
  <si>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</si>
  <si>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</si>
  <si>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</si>
  <si>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</si>
  <si>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</si>
  <si>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</si>
  <si>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</si>
  <si>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</si>
  <si>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</si>
  <si>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</si>
  <si>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</si>
  <si>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</si>
  <si>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</si>
  <si>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</si>
  <si>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</si>
  <si>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</si>
  <si>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</si>
  <si>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</si>
  <si>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</si>
  <si>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</si>
  <si>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</si>
  <si>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</si>
  <si>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</si>
  <si>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</si>
  <si>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</si>
  <si>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</si>
  <si>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</si>
  <si>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</si>
  <si>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</si>
  <si>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</si>
  <si>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</si>
  <si>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</si>
  <si>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</si>
  <si>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</si>
  <si>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</si>
  <si>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</si>
  <si>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</si>
  <si>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</si>
  <si>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</si>
  <si>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</si>
  <si>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</si>
  <si>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</si>
  <si>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</si>
  <si>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</si>
  <si>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</si>
  <si>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</si>
  <si>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</si>
  <si>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</si>
  <si>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</si>
  <si>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</si>
  <si>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</si>
  <si>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</si>
  <si>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</si>
  <si>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</si>
  <si>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</si>
  <si>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</si>
  <si>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</si>
  <si>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</si>
  <si>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</si>
  <si>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</si>
  <si>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</si>
  <si>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</si>
  <si>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</si>
  <si>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</si>
  <si>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</si>
  <si>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</si>
  <si>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</si>
  <si>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</si>
  <si>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</si>
  <si>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</si>
  <si>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</si>
  <si>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</si>
  <si>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</si>
  <si>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</si>
  <si>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</si>
  <si>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</si>
  <si>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</si>
  <si>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</si>
  <si>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</si>
  <si>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</si>
  <si>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</si>
  <si>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</si>
  <si>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</si>
  <si>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</si>
  <si>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</si>
  <si>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</si>
  <si>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</si>
  <si>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</si>
  <si>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</si>
  <si>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</si>
  <si>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</si>
  <si>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</si>
  <si>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</si>
  <si>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</si>
  <si>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</si>
  <si>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</si>
  <si>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</si>
  <si>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</si>
  <si>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</si>
  <si>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</si>
  <si>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</si>
  <si>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</si>
  <si>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</si>
  <si>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</si>
  <si>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</si>
  <si>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</si>
  <si>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</si>
  <si>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</si>
  <si>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</si>
  <si>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</si>
  <si>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</si>
  <si>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</si>
  <si>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</si>
  <si>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</si>
  <si>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</si>
  <si>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</si>
  <si>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</si>
  <si>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</si>
  <si>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</si>
  <si>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</si>
  <si>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</si>
  <si>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</si>
  <si>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</si>
  <si>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</si>
  <si>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</si>
  <si>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</si>
  <si>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</si>
  <si>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</si>
  <si>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</si>
  <si>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</si>
  <si>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</si>
  <si>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</si>
  <si>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</si>
  <si>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</si>
  <si>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</si>
  <si>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</si>
  <si>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</si>
  <si>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</si>
  <si>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</si>
  <si>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</si>
  <si>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</si>
  <si>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</si>
  <si>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</si>
  <si>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</si>
  <si>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</si>
  <si>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</si>
  <si>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</si>
  <si>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</si>
  <si>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</si>
  <si>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</si>
  <si>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</si>
  <si>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</si>
  <si>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</si>
  <si>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</si>
  <si>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</si>
  <si>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</si>
  <si>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</si>
  <si>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</si>
  <si>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</si>
  <si>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</si>
  <si>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</si>
  <si>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</si>
  <si>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</si>
  <si>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</si>
  <si>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</si>
  <si>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</si>
  <si>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</si>
  <si>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</si>
  <si>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</si>
  <si>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</si>
  <si>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</si>
  <si>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</si>
  <si>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</si>
  <si>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</si>
  <si>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</si>
  <si>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</si>
  <si>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</si>
  <si>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</si>
  <si>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</si>
  <si>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</si>
  <si>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</si>
  <si>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</si>
  <si>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</si>
  <si>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</si>
  <si>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</si>
  <si>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</si>
  <si>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</si>
  <si>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</si>
  <si>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</si>
  <si>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</si>
  <si>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</si>
  <si>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</si>
  <si>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</si>
  <si>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</si>
  <si>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</si>
  <si>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</si>
  <si>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</si>
  <si>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</si>
  <si>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</si>
  <si>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</si>
  <si>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</si>
  <si>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</si>
  <si>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</si>
  <si>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</si>
  <si>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</si>
  <si>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</si>
  <si>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</si>
  <si>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</si>
  <si>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</si>
  <si>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</si>
  <si>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</si>
  <si>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</si>
  <si>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</si>
  <si>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</si>
  <si>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</si>
  <si>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</si>
  <si>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</si>
  <si>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</si>
  <si>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</si>
  <si>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</si>
  <si>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</si>
  <si>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</si>
  <si>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</si>
  <si>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</si>
  <si>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</si>
  <si>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</si>
  <si>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</si>
  <si>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</si>
  <si>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</si>
  <si>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</si>
  <si>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</si>
  <si>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</si>
  <si>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</si>
  <si>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</si>
  <si>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</si>
  <si>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</si>
  <si>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</si>
  <si>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</si>
  <si>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</si>
  <si>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</si>
  <si>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</si>
  <si>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</si>
  <si>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</si>
  <si>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</si>
  <si>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</si>
  <si>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</si>
  <si>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</si>
  <si>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</si>
  <si>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</si>
  <si>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</si>
  <si>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</si>
  <si>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</si>
  <si>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</si>
  <si>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</si>
  <si>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</si>
  <si>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</si>
  <si>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</si>
  <si>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</si>
  <si>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</si>
  <si>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</si>
  <si>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</si>
  <si>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</si>
  <si>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</si>
  <si>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</si>
  <si>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</si>
  <si>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</si>
  <si>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</si>
  <si>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</si>
  <si>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</si>
  <si>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</si>
  <si>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</si>
  <si>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</si>
  <si>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</si>
  <si>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</si>
  <si>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</si>
  <si>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</si>
  <si>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</si>
  <si>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</si>
  <si>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</si>
  <si>
    <t>已包含在土地取得成本中</t>
  </si>
  <si>
    <t>住宅、综合</t>
    <phoneticPr fontId="30" type="noConversion"/>
  </si>
  <si>
    <t>住宅</t>
    <phoneticPr fontId="30" type="noConversion"/>
  </si>
  <si>
    <t>住宅、综合</t>
    <phoneticPr fontId="30" type="noConversion"/>
  </si>
  <si>
    <t>未包含在土地购买价格中</t>
  </si>
  <si>
    <t>全部缴纳</t>
  </si>
  <si>
    <r>
      <t>12#</t>
    </r>
    <r>
      <rPr>
        <sz val="10"/>
        <color indexed="8"/>
        <rFont val="宋体"/>
        <family val="3"/>
        <charset val="134"/>
      </rPr>
      <t>楼</t>
    </r>
    <r>
      <rPr>
        <sz val="10"/>
        <color indexed="8"/>
        <rFont val="Arial"/>
        <family val="2"/>
      </rPr>
      <t xml:space="preserve"> 11F/11F</t>
    </r>
  </si>
  <si>
    <t>面积</t>
    <phoneticPr fontId="3" type="noConversion"/>
  </si>
  <si>
    <t>工程进度</t>
    <phoneticPr fontId="3" type="noConversion"/>
  </si>
  <si>
    <t>住宅</t>
    <phoneticPr fontId="3" type="noConversion"/>
  </si>
  <si>
    <t>仓储</t>
    <phoneticPr fontId="3" type="noConversion"/>
  </si>
  <si>
    <t>车库</t>
    <phoneticPr fontId="3" type="noConversion"/>
  </si>
  <si>
    <t>土地部分</t>
    <phoneticPr fontId="8" type="noConversion"/>
  </si>
  <si>
    <t>在建部分</t>
    <phoneticPr fontId="8" type="noConversion"/>
  </si>
  <si>
    <t>住宅</t>
    <phoneticPr fontId="8" type="noConversion"/>
  </si>
  <si>
    <t>地下车库</t>
    <phoneticPr fontId="8" type="noConversion"/>
  </si>
  <si>
    <t>地下仓储</t>
    <phoneticPr fontId="8" type="noConversion"/>
  </si>
  <si>
    <t>土地购买价格</t>
    <phoneticPr fontId="8" type="noConversion"/>
  </si>
  <si>
    <t>占比</t>
    <phoneticPr fontId="8" type="noConversion"/>
  </si>
  <si>
    <t>土地分值</t>
    <phoneticPr fontId="8" type="noConversion"/>
  </si>
  <si>
    <t>建筑面积占比</t>
    <phoneticPr fontId="8" type="noConversion"/>
  </si>
  <si>
    <t>土地价值</t>
    <phoneticPr fontId="8" type="noConversion"/>
  </si>
  <si>
    <t>分在建部分与土地部分价值</t>
    <phoneticPr fontId="8" type="noConversion"/>
  </si>
  <si>
    <r>
      <t>1#</t>
    </r>
    <r>
      <rPr>
        <sz val="10"/>
        <color indexed="8"/>
        <rFont val="宋体"/>
        <family val="3"/>
        <charset val="134"/>
      </rPr>
      <t>楼</t>
    </r>
    <r>
      <rPr>
        <sz val="10"/>
        <color indexed="8"/>
        <rFont val="Arial"/>
        <family val="2"/>
      </rPr>
      <t xml:space="preserve"> 8F/11F</t>
    </r>
    <phoneticPr fontId="3" type="noConversion"/>
  </si>
  <si>
    <r>
      <t>2#</t>
    </r>
    <r>
      <rPr>
        <sz val="10"/>
        <color indexed="8"/>
        <rFont val="宋体"/>
        <family val="3"/>
        <charset val="134"/>
      </rPr>
      <t>楼</t>
    </r>
    <r>
      <rPr>
        <sz val="10"/>
        <color indexed="8"/>
        <rFont val="Arial"/>
        <family val="2"/>
      </rPr>
      <t xml:space="preserve"> 9F/9F</t>
    </r>
    <phoneticPr fontId="3" type="noConversion"/>
  </si>
  <si>
    <r>
      <t>3#</t>
    </r>
    <r>
      <rPr>
        <sz val="10"/>
        <color indexed="8"/>
        <rFont val="宋体"/>
        <family val="3"/>
        <charset val="134"/>
      </rPr>
      <t>楼</t>
    </r>
    <r>
      <rPr>
        <sz val="10"/>
        <color indexed="8"/>
        <rFont val="Arial"/>
        <family val="2"/>
      </rPr>
      <t xml:space="preserve"> 9F/9F</t>
    </r>
    <phoneticPr fontId="3" type="noConversion"/>
  </si>
  <si>
    <r>
      <t>4#</t>
    </r>
    <r>
      <rPr>
        <sz val="10"/>
        <color indexed="8"/>
        <rFont val="宋体"/>
        <family val="3"/>
        <charset val="134"/>
      </rPr>
      <t>楼</t>
    </r>
    <r>
      <rPr>
        <sz val="10"/>
        <color indexed="8"/>
        <rFont val="Arial"/>
        <family val="2"/>
      </rPr>
      <t xml:space="preserve"> 7F/11F</t>
    </r>
    <phoneticPr fontId="3" type="noConversion"/>
  </si>
  <si>
    <r>
      <t>5#</t>
    </r>
    <r>
      <rPr>
        <sz val="10"/>
        <color indexed="8"/>
        <rFont val="宋体"/>
        <family val="3"/>
        <charset val="134"/>
      </rPr>
      <t>楼</t>
    </r>
    <r>
      <rPr>
        <sz val="10"/>
        <color indexed="8"/>
        <rFont val="Arial"/>
        <family val="2"/>
      </rPr>
      <t xml:space="preserve"> 5F/9F</t>
    </r>
    <phoneticPr fontId="3" type="noConversion"/>
  </si>
  <si>
    <r>
      <t>6#</t>
    </r>
    <r>
      <rPr>
        <sz val="10"/>
        <color indexed="8"/>
        <rFont val="宋体"/>
        <family val="3"/>
        <charset val="134"/>
      </rPr>
      <t>楼</t>
    </r>
    <r>
      <rPr>
        <sz val="10"/>
        <color indexed="8"/>
        <rFont val="Arial"/>
        <family val="2"/>
      </rPr>
      <t xml:space="preserve"> 5F/9F</t>
    </r>
    <phoneticPr fontId="3" type="noConversion"/>
  </si>
  <si>
    <r>
      <t>7#</t>
    </r>
    <r>
      <rPr>
        <sz val="10"/>
        <color indexed="8"/>
        <rFont val="宋体"/>
        <family val="3"/>
        <charset val="134"/>
      </rPr>
      <t>楼</t>
    </r>
    <r>
      <rPr>
        <sz val="10"/>
        <color indexed="8"/>
        <rFont val="Arial"/>
        <family val="2"/>
      </rPr>
      <t xml:space="preserve"> 11F/11F</t>
    </r>
    <phoneticPr fontId="3" type="noConversion"/>
  </si>
  <si>
    <r>
      <t>8#</t>
    </r>
    <r>
      <rPr>
        <sz val="10"/>
        <color indexed="8"/>
        <rFont val="宋体"/>
        <family val="3"/>
        <charset val="134"/>
      </rPr>
      <t>楼</t>
    </r>
    <r>
      <rPr>
        <sz val="10"/>
        <color indexed="8"/>
        <rFont val="Arial"/>
        <family val="2"/>
      </rPr>
      <t xml:space="preserve"> 3F/9F</t>
    </r>
    <phoneticPr fontId="3" type="noConversion"/>
  </si>
  <si>
    <r>
      <t>9#</t>
    </r>
    <r>
      <rPr>
        <sz val="10"/>
        <color indexed="8"/>
        <rFont val="宋体"/>
        <family val="3"/>
        <charset val="134"/>
      </rPr>
      <t>楼</t>
    </r>
    <r>
      <rPr>
        <sz val="10"/>
        <color indexed="8"/>
        <rFont val="Arial"/>
        <family val="2"/>
      </rPr>
      <t xml:space="preserve"> 5F/9F</t>
    </r>
    <phoneticPr fontId="3" type="noConversion"/>
  </si>
  <si>
    <r>
      <t>10#</t>
    </r>
    <r>
      <rPr>
        <sz val="10"/>
        <color indexed="8"/>
        <rFont val="宋体"/>
        <family val="3"/>
        <charset val="134"/>
      </rPr>
      <t>楼</t>
    </r>
    <r>
      <rPr>
        <sz val="10"/>
        <color indexed="8"/>
        <rFont val="Arial"/>
        <family val="2"/>
      </rPr>
      <t xml:space="preserve"> 7F/11F</t>
    </r>
    <phoneticPr fontId="3" type="noConversion"/>
  </si>
  <si>
    <r>
      <t>11#</t>
    </r>
    <r>
      <rPr>
        <sz val="10"/>
        <color indexed="8"/>
        <rFont val="宋体"/>
        <family val="3"/>
        <charset val="134"/>
      </rPr>
      <t>楼</t>
    </r>
    <r>
      <rPr>
        <sz val="10"/>
        <color indexed="8"/>
        <rFont val="Arial"/>
        <family val="2"/>
      </rPr>
      <t xml:space="preserve"> 8F/11F</t>
    </r>
    <phoneticPr fontId="3" type="noConversion"/>
  </si>
  <si>
    <r>
      <t>13#</t>
    </r>
    <r>
      <rPr>
        <sz val="10"/>
        <color indexed="8"/>
        <rFont val="宋体"/>
        <family val="3"/>
        <charset val="134"/>
      </rPr>
      <t>楼</t>
    </r>
    <r>
      <rPr>
        <sz val="10"/>
        <color indexed="8"/>
        <rFont val="Arial"/>
        <family val="2"/>
      </rPr>
      <t xml:space="preserve"> 11F/11F</t>
    </r>
    <phoneticPr fontId="3" type="noConversion"/>
  </si>
  <si>
    <r>
      <t>14#</t>
    </r>
    <r>
      <rPr>
        <sz val="10"/>
        <color indexed="8"/>
        <rFont val="宋体"/>
        <family val="3"/>
        <charset val="134"/>
      </rPr>
      <t>楼</t>
    </r>
    <r>
      <rPr>
        <sz val="10"/>
        <color indexed="8"/>
        <rFont val="Arial"/>
        <family val="2"/>
      </rPr>
      <t xml:space="preserve"> 8F/11F</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</si>
</sst>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
      <sz val="10"/>
      <color rgb="FFC00000"/>
      <name val="Arial"/>
      <family val="2"/>
    </font>
    <font>
      <sz val="10"/>
      <color rgb="FFC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77" fillId="7" borderId="0" xfId="0" applyFont="1" applyFill="1" applyProtection="1">
      <alignment vertical="center"/>
      <protection locked="0"/>
    </xf>
    <xf numFmtId="0" fontId="274" fillId="7" borderId="0" xfId="0" applyFont="1" applyFill="1" applyProtection="1">
      <alignment vertical="center"/>
      <protection locked="0"/>
    </xf>
    <xf numFmtId="0" fontId="275"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60" xfId="0" applyFont="1" applyBorder="1" applyAlignment="1">
      <alignment horizontal="center" vertical="center"/>
    </xf>
    <xf numFmtId="0" fontId="107" fillId="0" borderId="1"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cuments/WeChat%20Files/moqikay/FileStorage/File/2023-0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估价对象为北京市房地产，为所有。根据《国有土地使用证》[]，估价对象（分摊）出让国有建设用地使用权面积为22768.44平方米，建筑面积为69908.28平方米。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估价对象为北京市房地产,属开发建设的，该项目尚在开发建设中。根据《国有土地使用证》[]，估价对象（分摊）出让国有建设用地使用权面积为22768.44平方米，规划建筑面积为69908.28平方米。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2023年6月26日</v>
      </c>
    </row>
    <row r="13" spans="1:2" s="1202" customFormat="1">
      <c r="A13" s="1200" t="s">
        <v>529</v>
      </c>
      <c r="B13" s="1201"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121726</v>
      </c>
    </row>
    <row r="21" spans="1:2" s="1202" customFormat="1">
      <c r="A21" s="1200" t="s">
        <v>537</v>
      </c>
      <c r="B21" s="1201">
        <f ca="1">'预评函-2'!D7</f>
        <v>17412</v>
      </c>
    </row>
    <row r="22" spans="1:2" s="1202" customFormat="1">
      <c r="A22" s="1200" t="s">
        <v>538</v>
      </c>
      <c r="B22" s="1201" t="str">
        <f ca="1">'预评函-2'!D6</f>
        <v>壹拾贰亿壹仟柒佰贰拾陆万元整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121726</v>
      </c>
    </row>
    <row r="31" spans="1:2" s="1202" customFormat="1">
      <c r="A31" s="1200" t="s">
        <v>576</v>
      </c>
      <c r="B31" s="1201">
        <f ca="1">'预评函-2'!D15</f>
        <v>17412</v>
      </c>
    </row>
    <row r="32" spans="1:2" s="1202" customFormat="1">
      <c r="A32" s="1200" t="s">
        <v>543</v>
      </c>
      <c r="B32" s="1201" t="str">
        <f ca="1">'预评函-2'!D14</f>
        <v>壹拾贰亿壹仟柒佰贰拾陆万元整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115289</v>
      </c>
    </row>
    <row r="39" spans="1:2" s="1202" customFormat="1">
      <c r="A39" s="1200" t="s">
        <v>545</v>
      </c>
      <c r="B39" s="1201">
        <f ca="1">'预评函-2'!D21</f>
        <v>16491</v>
      </c>
    </row>
    <row r="40" spans="1:2" s="1202" customFormat="1">
      <c r="A40" s="1200" t="s">
        <v>546</v>
      </c>
      <c r="B40" s="1201" t="str">
        <f ca="1">'预评函-2'!D20</f>
        <v>壹拾壹亿伍仟贰佰捌拾玖万元整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69908.279999999955</v>
      </c>
    </row>
    <row r="44" spans="1:2" s="1202" customFormat="1">
      <c r="A44" s="1200" t="s">
        <v>575</v>
      </c>
      <c r="B44" s="1201" t="str">
        <f>'预评函-3'!C2</f>
        <v>(分摊)土地面积</v>
      </c>
    </row>
    <row r="45" spans="1:2" s="1202" customFormat="1">
      <c r="A45" s="1200" t="s">
        <v>547</v>
      </c>
      <c r="B45" s="1201">
        <f>'预评函-3'!C4</f>
        <v>22768.44</v>
      </c>
    </row>
    <row r="46" spans="1:2" s="1202" customFormat="1">
      <c r="A46" s="1200" t="s">
        <v>573</v>
      </c>
      <c r="B46" s="1201" t="str">
        <f>'预评函-3'!D2</f>
        <v>出让国有建设用地使用权价值</v>
      </c>
    </row>
    <row r="47" spans="1:2" s="1202" customFormat="1">
      <c r="A47" s="1200" t="s">
        <v>548</v>
      </c>
      <c r="B47" s="1201">
        <f ca="1">'预评函-3'!D4</f>
        <v>101033</v>
      </c>
    </row>
    <row r="48" spans="1:2" s="1202" customFormat="1">
      <c r="A48" s="1200" t="s">
        <v>549</v>
      </c>
      <c r="B48" s="1201">
        <f ca="1">'预评函-3'!E4</f>
        <v>14452</v>
      </c>
    </row>
    <row r="49" spans="1:2" s="1202" customFormat="1">
      <c r="A49" s="1200" t="s">
        <v>550</v>
      </c>
      <c r="B49" s="1201" t="str">
        <f ca="1">'预评函-3'!D5</f>
        <v>壹拾亿壹仟零叁拾叁万元整</v>
      </c>
    </row>
    <row r="50" spans="1:2" s="1202" customFormat="1">
      <c r="A50" s="1200" t="s">
        <v>574</v>
      </c>
      <c r="B50" s="1201" t="str">
        <f>'预评函-3'!F2</f>
        <v>在建建筑物价值</v>
      </c>
    </row>
    <row r="51" spans="1:2" s="1202" customFormat="1">
      <c r="A51" s="1200" t="s">
        <v>551</v>
      </c>
      <c r="B51" s="1201">
        <f ca="1">'预评函-3'!F4</f>
        <v>20693</v>
      </c>
    </row>
    <row r="52" spans="1:2" s="1202" customFormat="1">
      <c r="A52" s="1200" t="s">
        <v>552</v>
      </c>
      <c r="B52" s="1201">
        <f ca="1">'预评函-3'!G4</f>
        <v>2960</v>
      </c>
    </row>
    <row r="53" spans="1:2" s="1202" customFormat="1">
      <c r="A53" s="1200" t="s">
        <v>580</v>
      </c>
      <c r="B53" s="1201" t="str">
        <f ca="1">'预评函-3'!F5</f>
        <v>贰亿零陆佰玖拾叁万元整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3" t="s">
        <v>385</v>
      </c>
      <c r="C54" s="1550" t="s">
        <v>583</v>
      </c>
    </row>
    <row r="55" spans="1:4">
      <c r="A55" s="3553"/>
      <c r="B55" s="1553" t="s">
        <v>386</v>
      </c>
      <c r="C55" s="1550" t="s">
        <v>584</v>
      </c>
    </row>
    <row r="56" spans="1:4">
      <c r="A56" s="3553"/>
      <c r="B56" s="1553" t="s">
        <v>387</v>
      </c>
      <c r="C56" s="1550" t="s">
        <v>588</v>
      </c>
    </row>
    <row r="57" spans="1:4">
      <c r="A57" s="355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54" t="s">
        <v>2583</v>
      </c>
      <c r="J2" s="3554"/>
      <c r="K2" s="3554"/>
      <c r="L2" s="3554"/>
      <c r="M2" s="3554"/>
      <c r="N2" s="3554"/>
      <c r="O2" s="3554"/>
      <c r="P2" s="3554"/>
      <c r="Q2" s="3554"/>
      <c r="R2" s="3554"/>
    </row>
    <row r="3" spans="1:18">
      <c r="A3" s="3016" t="s">
        <v>2504</v>
      </c>
      <c r="B3" s="3017">
        <f>项目基本情况!D3</f>
        <v>45103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3.48</v>
      </c>
      <c r="D5" s="3021">
        <f>IF(ISERROR(ROUND(POWER(1+E5,A5-C5)*(POWER(1+E5,C5)-1)/(POWER(1+E5,A5)-1),3)),0,ROUND(POWER(1+E5,A5-C5)*(POWER(1+E5,C5)-1)/(POWER(1+E5,A5)-1),4))</f>
        <v>0.16109999999999999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13.49</v>
      </c>
      <c r="D6" s="3021">
        <f>IF(ISERROR(ROUND(POWER(1+E6,A6-C6)*(POWER(1+E6,C6)-1)/(POWER(1+E6,A6)-1),3)),0,ROUND(POWER(1+E6,A6-C6)*(POWER(1+E6,C6)-1)/(POWER(1+E6,A6)-1),4))</f>
        <v>0.47810000000000002</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33.5</v>
      </c>
      <c r="D7" s="3021">
        <f>IF(ISERROR(ROUND(POWER(1+E7,A7-C7)*(POWER(1+E7,C7)-1)/(POWER(1+E7,A7)-1),3)),0,ROUND(POWER(1+E7,A7-C7)*(POWER(1+E7,C7)-1)/(POWER(1+E7,A7)-1),4))</f>
        <v>0.78139999999999998</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4.25" thickBot="1">
      <c r="A18" s="3027" t="s">
        <v>2519</v>
      </c>
      <c r="B18" s="3028">
        <f>ROUND(B17*F11/F12,2)</f>
        <v>5541.87</v>
      </c>
      <c r="C18" s="3028">
        <f>ROUND(F11/F12,4)</f>
        <v>1.1521999999999999</v>
      </c>
      <c r="D18" s="3029"/>
      <c r="E18" s="3029"/>
      <c r="F18" s="3030"/>
    </row>
    <row r="19" spans="1:13" ht="14.25" thickBot="1"/>
    <row r="20" spans="1:13" s="3065" customFormat="1" ht="14.2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4.2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0" sqref="M3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45103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58" t="s">
        <v>2177</v>
      </c>
      <c r="E8" s="2387" t="s">
        <v>3524</v>
      </c>
      <c r="F8" s="2388"/>
      <c r="G8" s="2659"/>
      <c r="H8" s="2659"/>
      <c r="I8" s="2659"/>
      <c r="J8" s="2435"/>
      <c r="K8" s="2610"/>
      <c r="L8" s="2609"/>
      <c r="M8" s="2609"/>
      <c r="N8" s="2435"/>
      <c r="O8" s="2446"/>
      <c r="P8" s="2435"/>
      <c r="Q8" s="2435"/>
      <c r="R8" s="2435"/>
    </row>
    <row r="9" spans="1:30" ht="13.5" thickBot="1">
      <c r="A9" s="2389" t="s">
        <v>2178</v>
      </c>
      <c r="B9" s="2390" t="s">
        <v>3524</v>
      </c>
      <c r="C9" s="2391"/>
      <c r="D9" s="3559"/>
      <c r="E9" s="2390" t="s">
        <v>587</v>
      </c>
      <c r="F9" s="2392"/>
      <c r="G9" s="2661"/>
      <c r="H9" s="2661"/>
      <c r="I9" s="2661"/>
      <c r="J9" s="2435"/>
      <c r="K9" s="2612"/>
      <c r="L9" s="2609"/>
      <c r="M9" s="2609"/>
      <c r="N9" s="2435"/>
      <c r="O9" s="2446"/>
      <c r="P9" s="2435"/>
      <c r="Q9" s="2435"/>
      <c r="R9" s="2435"/>
    </row>
    <row r="10" spans="1:30" ht="13.5"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68.7</v>
      </c>
      <c r="D15" s="2406">
        <f>IF(A13="出让",IF(D13="","",ROUNDDOWN(MIN((D13-$D$3)/365,D14),2)),D14)</f>
        <v>38.68</v>
      </c>
      <c r="E15" s="2406" t="str">
        <f>IF(A13="出让",IF(E13="","",ROUNDDOWN(MIN((E13-$D$3)/365,E14),2)),E14)</f>
        <v/>
      </c>
      <c r="F15" s="2406">
        <f>IF(A13="出让",IF(F13="","",ROUNDDOWN(MIN((F13-$D$3)/365,F14),2)),F14)</f>
        <v>48.68</v>
      </c>
      <c r="G15" s="2406">
        <f>IF(A13="出让",IF(G13="","",ROUNDDOWN(MIN((G13-$D$3)/365,G14),2)),G14)</f>
        <v>48.68</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65"/>
      <c r="C16" s="3566"/>
      <c r="D16" s="3567"/>
      <c r="E16" s="2409" t="s">
        <v>2194</v>
      </c>
      <c r="F16" s="3568"/>
      <c r="G16" s="3569"/>
      <c r="H16" s="3569"/>
      <c r="I16" s="3570"/>
      <c r="J16" s="2435"/>
      <c r="K16" s="2613"/>
      <c r="L16" s="2447"/>
      <c r="M16" s="2447"/>
      <c r="N16" s="2505"/>
      <c r="O16" s="2447"/>
      <c r="P16" s="2505"/>
      <c r="Q16" s="2435"/>
      <c r="R16" s="2435"/>
    </row>
    <row r="17" spans="1:28">
      <c r="A17" s="313" t="s">
        <v>2195</v>
      </c>
      <c r="B17" s="302" t="s">
        <v>2196</v>
      </c>
      <c r="C17" s="8">
        <f>'数据-汇总表'!E3</f>
        <v>69908.279999999955</v>
      </c>
      <c r="D17" s="2318" t="s">
        <v>2197</v>
      </c>
      <c r="E17" s="3571" t="s">
        <v>2198</v>
      </c>
      <c r="F17" s="3572"/>
      <c r="G17" s="3572"/>
      <c r="H17" s="3572"/>
      <c r="I17" s="3573"/>
      <c r="J17" s="2435"/>
      <c r="K17" s="2614"/>
      <c r="L17" s="2447"/>
      <c r="M17" s="2447"/>
      <c r="N17" s="2505"/>
      <c r="O17" s="2447"/>
      <c r="P17" s="2505"/>
      <c r="Q17" s="2435"/>
      <c r="R17" s="2435"/>
      <c r="S17" s="2435"/>
      <c r="T17" s="2435"/>
      <c r="U17" s="2435"/>
      <c r="V17" s="2435"/>
    </row>
    <row r="18" spans="1:28" ht="24.75" thickBot="1">
      <c r="A18" s="2410" t="s">
        <v>2199</v>
      </c>
      <c r="B18" s="1090" t="s">
        <v>2200</v>
      </c>
      <c r="C18" s="2411">
        <f>'数据-汇总表'!D3</f>
        <v>22768.44</v>
      </c>
      <c r="D18" s="1092" t="s">
        <v>2201</v>
      </c>
      <c r="E18" s="3574" t="s">
        <v>2202</v>
      </c>
      <c r="F18" s="3575"/>
      <c r="G18" s="3575"/>
      <c r="H18" s="3575"/>
      <c r="I18" s="3576"/>
      <c r="J18" s="2435"/>
      <c r="K18" s="2614"/>
      <c r="L18" s="2447"/>
      <c r="M18" s="2447"/>
      <c r="N18" s="2505"/>
      <c r="O18" s="2447"/>
      <c r="P18" s="2505"/>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61" t="s">
        <v>2206</v>
      </c>
      <c r="C20" s="3562"/>
      <c r="D20" s="3563" t="s">
        <v>2207</v>
      </c>
      <c r="E20" s="3564"/>
      <c r="F20" s="2643" t="s">
        <v>1056</v>
      </c>
      <c r="G20" s="2660"/>
      <c r="H20" s="2660"/>
      <c r="I20" s="2660"/>
      <c r="J20" s="2435"/>
      <c r="K20" s="356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8"/>
      <c r="B21" s="2629" t="s">
        <v>2209</v>
      </c>
      <c r="C21" s="2630" t="s">
        <v>1057</v>
      </c>
      <c r="D21" s="1567" t="s">
        <v>2210</v>
      </c>
      <c r="E21" s="2631" t="s">
        <v>1057</v>
      </c>
      <c r="F21" s="2644"/>
      <c r="G21" s="2660"/>
      <c r="H21" s="2660"/>
      <c r="I21" s="2660"/>
      <c r="J21" s="2435"/>
      <c r="K21" s="35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8"/>
      <c r="B22" s="2632" t="s">
        <v>2211</v>
      </c>
      <c r="C22" s="2630" t="s">
        <v>1058</v>
      </c>
      <c r="D22" s="2659"/>
      <c r="E22" s="2659"/>
      <c r="F22" s="2659"/>
      <c r="G22" s="2660"/>
      <c r="H22" s="2660"/>
      <c r="I22" s="2660"/>
      <c r="J22" s="2435"/>
      <c r="K22" s="35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8"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8"/>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8"/>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9"/>
      <c r="B30" s="302" t="s">
        <v>2218</v>
      </c>
      <c r="C30" s="3580"/>
      <c r="D30" s="3581"/>
      <c r="E30" s="2660"/>
      <c r="F30" s="2660"/>
      <c r="G30" s="2660"/>
      <c r="H30" s="2660"/>
      <c r="I30" s="2660"/>
      <c r="J30" s="2435"/>
      <c r="K30" s="2612"/>
      <c r="L30" s="2609"/>
      <c r="M30" s="2609"/>
      <c r="N30" s="2435"/>
      <c r="O30" s="2446"/>
      <c r="P30" s="2435"/>
      <c r="Q30" s="2435"/>
      <c r="R30" s="2435"/>
      <c r="S30" s="2435"/>
      <c r="T30" s="2435"/>
      <c r="U30" s="2435"/>
      <c r="V30" s="2435"/>
    </row>
    <row r="31" spans="1:28">
      <c r="A31" s="3582"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83"/>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83"/>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77" t="s">
        <v>2228</v>
      </c>
      <c r="T34" s="2424" t="str">
        <f>NUMBERSTRING(7-K34,1)&amp;"通"</f>
        <v>七通</v>
      </c>
      <c r="U34" s="2435"/>
      <c r="V34" s="2435"/>
    </row>
    <row r="35" spans="1:30">
      <c r="A35" s="2425"/>
      <c r="B35" s="3584" t="s">
        <v>2229</v>
      </c>
      <c r="C35" s="3584"/>
      <c r="D35" s="3584"/>
      <c r="E35" s="3584"/>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土地分摊表!K195+土地分摊表!L187</f>
        <v>22768.439999999995</v>
      </c>
      <c r="B3" s="11">
        <f>IF(C3="否",G5-AT5,G5)</f>
        <v>69908.279999999955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69908.279999999955</v>
      </c>
      <c r="H5" s="13">
        <f t="shared" ref="H5:AT5" si="0">SUM(H13:H656)</f>
        <v>69908.279999999955</v>
      </c>
      <c r="I5" s="13">
        <f t="shared" si="0"/>
        <v>42310.899999999994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69908.279999999955</v>
      </c>
      <c r="BA5" s="15">
        <f t="shared" si="1"/>
        <v>69908.279999999955</v>
      </c>
      <c r="BB5" s="15">
        <f t="shared" si="1"/>
        <v>42310.899999999994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22768.43</v>
      </c>
      <c r="F6" s="13" t="s">
        <v>0</v>
      </c>
      <c r="G6" s="13" t="s">
        <v>1</v>
      </c>
      <c r="H6" s="17">
        <f>SUMIF(I$12:AB$12,"总值",I6:AB6)</f>
        <v>22768.43</v>
      </c>
      <c r="I6" s="13">
        <f t="shared" ref="I6:AB6" si="2">ROUND($A$3*I5/$B$3,2)</f>
        <v>13780.24</v>
      </c>
      <c r="J6" s="13">
        <f t="shared" si="2"/>
        <v>0</v>
      </c>
      <c r="K6" s="13">
        <f t="shared" si="2"/>
        <v>6988.91</v>
      </c>
      <c r="L6" s="13">
        <f t="shared" si="2"/>
        <v>0</v>
      </c>
      <c r="M6" s="13">
        <f t="shared" si="2"/>
        <v>1999.28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22768.44</v>
      </c>
      <c r="AZ6" s="13" t="s">
        <v>2</v>
      </c>
      <c r="BA6" s="13">
        <f>ROUND($AY$6*BA5/$AZ$5,2)</f>
        <v>22768.44</v>
      </c>
      <c r="BB6" s="13">
        <f>ROUND($AY$6*BB5/$AZ$5,2)</f>
        <v>13780.24</v>
      </c>
      <c r="BC6" s="13">
        <f t="shared" ref="BC6:BH6" si="4">ROUND($AY$6*BC5/$AZ$5,2)</f>
        <v>6988.91</v>
      </c>
      <c r="BD6" s="13">
        <f t="shared" si="4"/>
        <v>1999.28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3526</v>
      </c>
      <c r="E13" s="13">
        <f>IF($C$3="是",ROUND($A$3*G13/$B$3,2),ROUND($A$3*(G13-AT13)/$B$3,2))</f>
        <v>22768.44</v>
      </c>
      <c r="F13" s="29"/>
      <c r="G13" s="30">
        <f>H13+AC13+AT13</f>
        <v>69908.279999999955</v>
      </c>
      <c r="H13" s="17">
        <f>SUMIF(I$12:AB$12,"总值",I13:AB13)</f>
        <v>69908.279999999955</v>
      </c>
      <c r="I13" s="1625">
        <f>土地分摊表!J192+土地分摊表!K187</f>
        <v>42310.899999999994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22768.44</v>
      </c>
      <c r="AZ13" s="13">
        <f>BA13+BL13</f>
        <v>69908.279999999955</v>
      </c>
      <c r="BA13" s="13">
        <f>SUM(BB13:BK13)</f>
        <v>69908.279999999955</v>
      </c>
      <c r="BB13" s="13">
        <f>IF($D13="是",I13-J13,0)</f>
        <v>42310.899999999994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F24" sqref="F24"/>
    </sheetView>
  </sheetViews>
  <sheetFormatPr defaultColWidth="9" defaultRowHeight="12"/>
  <cols>
    <col min="1" max="1" width="9" style="3453"/>
    <col min="2" max="2" width="12.5" style="3453" bestFit="1" customWidth="1"/>
    <col min="3" max="3" width="9.625" style="3453" bestFit="1" customWidth="1"/>
    <col min="4" max="4" width="11.375" style="3453" bestFit="1" customWidth="1"/>
    <col min="5" max="5" width="9" style="3453"/>
    <col min="6" max="6" width="6.75" style="3453" bestFit="1" customWidth="1"/>
    <col min="7" max="7" width="6.375" style="3453" bestFit="1" customWidth="1"/>
    <col min="8" max="9" width="9.625" style="3453" bestFit="1" customWidth="1"/>
    <col min="10" max="10" width="11.375" style="3453" bestFit="1" customWidth="1"/>
    <col min="11" max="11" width="8" style="3453" bestFit="1" customWidth="1"/>
    <col min="12" max="12" width="6.75" style="3453" bestFit="1" customWidth="1"/>
    <col min="13" max="13" width="8" style="3453" bestFit="1" customWidth="1"/>
    <col min="14" max="14" width="7.625" style="3453" bestFit="1" customWidth="1"/>
    <col min="15" max="15" width="8.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3.5">
      <c r="B5" s="3454" t="s">
        <v>3482</v>
      </c>
      <c r="C5" s="3454">
        <v>6082.71</v>
      </c>
      <c r="D5" s="3454">
        <v>5492.21</v>
      </c>
      <c r="E5" s="3454">
        <v>5492.21</v>
      </c>
      <c r="F5" s="3454"/>
      <c r="G5" s="3454"/>
      <c r="H5" s="3454"/>
      <c r="I5" s="3454"/>
      <c r="J5" s="3454">
        <v>590.5</v>
      </c>
      <c r="K5" s="3454"/>
      <c r="L5" s="3454"/>
      <c r="M5" s="3454"/>
      <c r="N5" s="3454">
        <v>590.5</v>
      </c>
      <c r="O5" s="3454"/>
    </row>
    <row r="6" spans="2:15" ht="13.5">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3.5">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3.5">
      <c r="B8" s="3454" t="s">
        <v>3485</v>
      </c>
      <c r="C8" s="3454">
        <v>6413.21</v>
      </c>
      <c r="D8" s="3454">
        <v>5532.28</v>
      </c>
      <c r="E8" s="3454">
        <v>5532.28</v>
      </c>
      <c r="F8" s="3454"/>
      <c r="G8" s="3454"/>
      <c r="H8" s="3454"/>
      <c r="I8" s="3454"/>
      <c r="J8" s="3454">
        <v>880.93</v>
      </c>
      <c r="K8" s="3454"/>
      <c r="L8" s="3454"/>
      <c r="M8" s="3454"/>
      <c r="N8" s="3454">
        <v>880.93</v>
      </c>
      <c r="O8" s="3454"/>
    </row>
    <row r="9" spans="2:15" ht="13.5">
      <c r="B9" s="3454" t="s">
        <v>3486</v>
      </c>
      <c r="C9" s="3454">
        <v>6443.65</v>
      </c>
      <c r="D9" s="3454">
        <v>5532.28</v>
      </c>
      <c r="E9" s="3454">
        <v>5532.28</v>
      </c>
      <c r="F9" s="3454"/>
      <c r="G9" s="3454"/>
      <c r="H9" s="3454"/>
      <c r="I9" s="3454"/>
      <c r="J9" s="3454">
        <v>911.37</v>
      </c>
      <c r="K9" s="3454"/>
      <c r="L9" s="3454"/>
      <c r="M9" s="3454"/>
      <c r="N9" s="3454">
        <v>911.37</v>
      </c>
      <c r="O9" s="3454"/>
    </row>
    <row r="10" spans="2:15" ht="13.5">
      <c r="B10" s="3454" t="s">
        <v>3487</v>
      </c>
      <c r="C10" s="3454">
        <v>3803.3</v>
      </c>
      <c r="D10" s="3454">
        <v>3548.44</v>
      </c>
      <c r="E10" s="3454">
        <v>3548.44</v>
      </c>
      <c r="F10" s="3454"/>
      <c r="G10" s="3454"/>
      <c r="H10" s="3454"/>
      <c r="I10" s="3454"/>
      <c r="J10" s="3454">
        <v>254.86</v>
      </c>
      <c r="K10" s="3454"/>
      <c r="L10" s="3454"/>
      <c r="M10" s="3454">
        <v>254.86</v>
      </c>
      <c r="N10" s="3454"/>
      <c r="O10" s="3454"/>
    </row>
    <row r="11" spans="2:15" ht="13.5">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3.5">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3.5">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3.5">
      <c r="B14" s="3454" t="s">
        <v>3491</v>
      </c>
      <c r="C14" s="3454">
        <v>3809.51</v>
      </c>
      <c r="D14" s="3454">
        <v>3548.44</v>
      </c>
      <c r="E14" s="3454">
        <v>3548.44</v>
      </c>
      <c r="F14" s="3454"/>
      <c r="G14" s="3454"/>
      <c r="H14" s="3454"/>
      <c r="I14" s="3454"/>
      <c r="J14" s="3454">
        <v>261.07</v>
      </c>
      <c r="K14" s="3454"/>
      <c r="L14" s="3454"/>
      <c r="M14" s="3454">
        <v>261.07</v>
      </c>
      <c r="N14" s="3454"/>
      <c r="O14" s="3454"/>
    </row>
    <row r="15" spans="2:15" ht="13.5">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3.5">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3.5">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A11" workbookViewId="0">
      <selection activeCell="C14" sqref="C14"/>
    </sheetView>
  </sheetViews>
  <sheetFormatPr defaultColWidth="9"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85">
        <f>SUM(C18:C794)</f>
        <v>5020.1199999999981</v>
      </c>
      <c r="C15" s="3585"/>
      <c r="D15" s="3585">
        <f t="shared" ref="D15" si="1">SUM(E18:E794)</f>
        <v>6091.9499999999989</v>
      </c>
      <c r="E15" s="3585"/>
      <c r="F15" s="3585">
        <f t="shared" ref="F15" si="2">SUM(G18:G794)</f>
        <v>6092.3700000000044</v>
      </c>
      <c r="G15" s="3585"/>
      <c r="H15" s="3585">
        <f t="shared" ref="H15" si="3">SUM(I18:I794)</f>
        <v>5113.9600000000055</v>
      </c>
      <c r="I15" s="3585"/>
      <c r="J15" s="3585">
        <f t="shared" ref="J15" si="4">SUM(K18:K794)</f>
        <v>6411.5299999999979</v>
      </c>
      <c r="K15" s="3585"/>
      <c r="L15" s="3585">
        <f t="shared" ref="L15" si="5">SUM(M18:M794)</f>
        <v>6443.55</v>
      </c>
      <c r="M15" s="3585"/>
      <c r="N15" s="3585">
        <f t="shared" ref="N15" si="6">SUM(O18:O794)</f>
        <v>3538.4999999999986</v>
      </c>
      <c r="O15" s="3585"/>
      <c r="P15" s="3585">
        <f t="shared" ref="P15" si="7">SUM(Q18:Q794)</f>
        <v>6655.819999999997</v>
      </c>
      <c r="Q15" s="3585"/>
      <c r="R15" s="3585">
        <f t="shared" ref="R15" si="8">SUM(S18:S794)</f>
        <v>6607.6299999999947</v>
      </c>
      <c r="S15" s="3585"/>
      <c r="T15" s="3585">
        <f t="shared" ref="T15" si="9">SUM(U18:U794)</f>
        <v>3752.0200000000009</v>
      </c>
      <c r="U15" s="3585"/>
      <c r="V15" s="3585">
        <f t="shared" ref="V15" si="10">SUM(W18:W794)</f>
        <v>3538.4999999999986</v>
      </c>
      <c r="W15" s="3585"/>
      <c r="X15" s="3585">
        <f t="shared" ref="X15" si="11">SUM(Y18:Y794)</f>
        <v>6914.5700000000006</v>
      </c>
      <c r="Y15" s="3585"/>
      <c r="Z15" s="3585">
        <f t="shared" ref="Z15" si="12">SUM(AA18:AA794)</f>
        <v>6941.279999999997</v>
      </c>
      <c r="AA15" s="3585"/>
      <c r="AB15" s="3585">
        <f t="shared" ref="AB15" si="13">SUM(AC18:AC794)</f>
        <v>3538.4999999999986</v>
      </c>
      <c r="AC15" s="3585"/>
      <c r="AD15" s="3585">
        <f>SUM(AE18:AE794)</f>
        <v>21458.779999999977</v>
      </c>
      <c r="AE15" s="3585"/>
    </row>
    <row r="16" spans="1:31">
      <c r="B16" s="3586" t="s">
        <v>3502</v>
      </c>
      <c r="C16" s="3586"/>
      <c r="D16" s="3586" t="s">
        <v>3503</v>
      </c>
      <c r="E16" s="3586"/>
      <c r="F16" s="3586" t="s">
        <v>3505</v>
      </c>
      <c r="G16" s="3586"/>
      <c r="H16" s="3586" t="s">
        <v>3506</v>
      </c>
      <c r="I16" s="3586"/>
      <c r="J16" s="3586" t="s">
        <v>3508</v>
      </c>
      <c r="K16" s="3586"/>
      <c r="L16" s="3586" t="s">
        <v>3509</v>
      </c>
      <c r="M16" s="3586"/>
      <c r="N16" s="3586" t="s">
        <v>3510</v>
      </c>
      <c r="O16" s="3586"/>
      <c r="P16" s="3586" t="s">
        <v>3511</v>
      </c>
      <c r="Q16" s="3586"/>
      <c r="R16" s="3586" t="s">
        <v>3512</v>
      </c>
      <c r="S16" s="3586"/>
      <c r="T16" s="3586" t="s">
        <v>3515</v>
      </c>
      <c r="U16" s="3586"/>
      <c r="V16" s="3586" t="s">
        <v>3516</v>
      </c>
      <c r="W16" s="3586"/>
      <c r="X16" s="3586" t="s">
        <v>3517</v>
      </c>
      <c r="Y16" s="3586"/>
      <c r="Z16" s="3586" t="s">
        <v>3518</v>
      </c>
      <c r="AA16" s="3586"/>
      <c r="AB16" s="3586" t="s">
        <v>3519</v>
      </c>
      <c r="AC16" s="3586"/>
      <c r="AD16" s="3586" t="s">
        <v>3514</v>
      </c>
      <c r="AE16" s="3586"/>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L16:M16"/>
    <mergeCell ref="B16:C16"/>
    <mergeCell ref="D16:E16"/>
    <mergeCell ref="F16:G16"/>
    <mergeCell ref="H16:I16"/>
    <mergeCell ref="J16:K16"/>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AB15:AC15"/>
    <mergeCell ref="AD15:AE15"/>
    <mergeCell ref="P15:Q15"/>
    <mergeCell ref="R15:S15"/>
    <mergeCell ref="T15:U15"/>
    <mergeCell ref="V15:W15"/>
    <mergeCell ref="X15:Y15"/>
    <mergeCell ref="Z15:AA15"/>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opLeftCell="D185" zoomScale="130" zoomScaleNormal="130" workbookViewId="0">
      <selection activeCell="J200" sqref="J200"/>
    </sheetView>
  </sheetViews>
  <sheetFormatPr defaultRowHeight="13.5"/>
  <cols>
    <col min="3" max="3" width="18.875" bestFit="1" customWidth="1"/>
    <col min="4" max="4" width="11.875" customWidth="1"/>
    <col min="5" max="5" width="14.75" customWidth="1"/>
    <col min="6" max="6" width="10.875" customWidth="1"/>
    <col min="9" max="9" width="21.25" customWidth="1"/>
    <col min="10" max="11" width="12" customWidth="1"/>
    <col min="12" max="12" width="11.75" customWidth="1"/>
  </cols>
  <sheetData>
    <row r="2" spans="2:12" ht="14.25" thickBot="1"/>
    <row r="3" spans="2:12" ht="14.25" thickBot="1">
      <c r="B3" s="3587" t="s">
        <v>5009</v>
      </c>
      <c r="C3" s="3588"/>
      <c r="D3" s="3588"/>
      <c r="E3" s="3588"/>
      <c r="F3" s="3589"/>
      <c r="H3" s="3587" t="s">
        <v>4791</v>
      </c>
      <c r="I3" s="3588"/>
      <c r="J3" s="3588"/>
      <c r="K3" s="3588"/>
      <c r="L3" s="3589"/>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18.75" thickBot="1">
      <c r="B187" s="3488">
        <v>183</v>
      </c>
      <c r="C187" s="3490" t="s">
        <v>4974</v>
      </c>
      <c r="D187" s="3490" t="s">
        <v>3759</v>
      </c>
      <c r="E187" s="3490">
        <v>72.239999999999995</v>
      </c>
      <c r="F187" s="3490">
        <v>23.53</v>
      </c>
      <c r="H187" s="3587" t="s">
        <v>4790</v>
      </c>
      <c r="I187" s="3588"/>
      <c r="J187" s="3589"/>
      <c r="K187" s="3487">
        <v>16854.86</v>
      </c>
      <c r="L187" s="3487">
        <v>5489.13</v>
      </c>
      <c r="N187">
        <f>182+285</f>
        <v>467</v>
      </c>
    </row>
    <row r="188" spans="2:14" ht="18.75" thickBot="1">
      <c r="B188" s="3488">
        <v>184</v>
      </c>
      <c r="C188" s="3490" t="s">
        <v>4974</v>
      </c>
      <c r="D188" s="3490" t="s">
        <v>3760</v>
      </c>
      <c r="E188" s="3490">
        <v>88.55</v>
      </c>
      <c r="F188" s="3490">
        <v>28.84</v>
      </c>
    </row>
    <row r="189" spans="2:14" ht="18.75" thickBot="1">
      <c r="B189" s="3488">
        <v>185</v>
      </c>
      <c r="C189" s="3490" t="s">
        <v>4974</v>
      </c>
      <c r="D189" s="3490" t="s">
        <v>3761</v>
      </c>
      <c r="E189" s="3490">
        <v>72.290000000000006</v>
      </c>
      <c r="F189" s="3490">
        <v>23.54</v>
      </c>
    </row>
    <row r="190" spans="2:14" ht="18.75" thickBot="1">
      <c r="B190" s="3488">
        <v>186</v>
      </c>
      <c r="C190" s="3490" t="s">
        <v>4974</v>
      </c>
      <c r="D190" s="3490" t="s">
        <v>3762</v>
      </c>
      <c r="E190" s="3490">
        <v>88.55</v>
      </c>
      <c r="F190" s="3490">
        <v>28.84</v>
      </c>
    </row>
    <row r="191" spans="2:14" ht="18.75" thickBot="1">
      <c r="B191" s="3488">
        <v>187</v>
      </c>
      <c r="C191" s="3490" t="s">
        <v>4974</v>
      </c>
      <c r="D191" s="3490" t="s">
        <v>3763</v>
      </c>
      <c r="E191" s="3490">
        <v>72.290000000000006</v>
      </c>
      <c r="F191" s="3490">
        <v>23.54</v>
      </c>
      <c r="I191" s="3452" t="s">
        <v>4976</v>
      </c>
      <c r="J191" s="3452" t="s">
        <v>4997</v>
      </c>
      <c r="K191" s="3452" t="s">
        <v>4998</v>
      </c>
      <c r="L191" s="3501" t="s">
        <v>4999</v>
      </c>
    </row>
    <row r="192" spans="2:14" ht="18.75"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18.75"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18.75"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18.75"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18.75" thickBot="1">
      <c r="B196" s="3488">
        <v>192</v>
      </c>
      <c r="C196" s="3490" t="s">
        <v>4974</v>
      </c>
      <c r="D196" s="3490" t="s">
        <v>3768</v>
      </c>
      <c r="E196" s="3490">
        <v>88.55</v>
      </c>
      <c r="F196" s="3490">
        <v>28.84</v>
      </c>
    </row>
    <row r="197" spans="2:12" ht="18.75" thickBot="1">
      <c r="B197" s="3488">
        <v>193</v>
      </c>
      <c r="C197" s="3490" t="s">
        <v>4974</v>
      </c>
      <c r="D197" s="3490" t="s">
        <v>3769</v>
      </c>
      <c r="E197" s="3490">
        <v>72.290000000000006</v>
      </c>
      <c r="F197" s="3490">
        <v>23.54</v>
      </c>
      <c r="J197">
        <f>J195+K187</f>
        <v>69908.279999999955</v>
      </c>
      <c r="K197">
        <f>K195+L187</f>
        <v>22768.439999999995</v>
      </c>
    </row>
    <row r="198" spans="2:12" ht="18.75" thickBot="1">
      <c r="B198" s="3488">
        <v>194</v>
      </c>
      <c r="C198" s="3490" t="s">
        <v>4974</v>
      </c>
      <c r="D198" s="3490" t="s">
        <v>3770</v>
      </c>
      <c r="E198" s="3490">
        <v>72.239999999999995</v>
      </c>
      <c r="F198" s="3490">
        <v>23.53</v>
      </c>
    </row>
    <row r="199" spans="2:12" ht="18.75" thickBot="1">
      <c r="B199" s="3488">
        <v>195</v>
      </c>
      <c r="C199" s="3490" t="s">
        <v>4974</v>
      </c>
      <c r="D199" s="3490" t="s">
        <v>3771</v>
      </c>
      <c r="E199" s="3490">
        <v>88.5</v>
      </c>
      <c r="F199" s="3490">
        <v>28.82</v>
      </c>
    </row>
    <row r="200" spans="2:12" ht="18.75" thickBot="1">
      <c r="B200" s="3488">
        <v>196</v>
      </c>
      <c r="C200" s="3490" t="s">
        <v>4974</v>
      </c>
      <c r="D200" s="3490" t="s">
        <v>3772</v>
      </c>
      <c r="E200" s="3490">
        <v>72.290000000000006</v>
      </c>
      <c r="F200" s="3490">
        <v>23.54</v>
      </c>
    </row>
    <row r="201" spans="2:12" ht="18.75" thickBot="1">
      <c r="B201" s="3488">
        <v>197</v>
      </c>
      <c r="C201" s="3490" t="s">
        <v>4974</v>
      </c>
      <c r="D201" s="3490" t="s">
        <v>3773</v>
      </c>
      <c r="E201" s="3490">
        <v>88.55</v>
      </c>
      <c r="F201" s="3490">
        <v>28.84</v>
      </c>
    </row>
    <row r="202" spans="2:12" ht="18.75" thickBot="1">
      <c r="B202" s="3488">
        <v>198</v>
      </c>
      <c r="C202" s="3490" t="s">
        <v>4974</v>
      </c>
      <c r="D202" s="3490" t="s">
        <v>3774</v>
      </c>
      <c r="E202" s="3490">
        <v>72.290000000000006</v>
      </c>
      <c r="F202" s="3490">
        <v>23.54</v>
      </c>
    </row>
    <row r="203" spans="2:12" ht="18.75" thickBot="1">
      <c r="B203" s="3488">
        <v>199</v>
      </c>
      <c r="C203" s="3490" t="s">
        <v>4974</v>
      </c>
      <c r="D203" s="3490" t="s">
        <v>3775</v>
      </c>
      <c r="E203" s="3490">
        <v>88.55</v>
      </c>
      <c r="F203" s="3490">
        <v>28.84</v>
      </c>
    </row>
    <row r="204" spans="2:12" ht="18.75" thickBot="1">
      <c r="B204" s="3488">
        <v>200</v>
      </c>
      <c r="C204" s="3490" t="s">
        <v>4974</v>
      </c>
      <c r="D204" s="3490" t="s">
        <v>3776</v>
      </c>
      <c r="E204" s="3490">
        <v>72.290000000000006</v>
      </c>
      <c r="F204" s="3490">
        <v>23.54</v>
      </c>
    </row>
    <row r="205" spans="2:12" ht="18.75" thickBot="1">
      <c r="B205" s="3488">
        <v>201</v>
      </c>
      <c r="C205" s="3490" t="s">
        <v>4974</v>
      </c>
      <c r="D205" s="3490" t="s">
        <v>3777</v>
      </c>
      <c r="E205" s="3490">
        <v>88.55</v>
      </c>
      <c r="F205" s="3490">
        <v>28.84</v>
      </c>
    </row>
    <row r="206" spans="2:12" ht="18.75" thickBot="1">
      <c r="B206" s="3488">
        <v>202</v>
      </c>
      <c r="C206" s="3490" t="s">
        <v>4974</v>
      </c>
      <c r="D206" s="3490" t="s">
        <v>3778</v>
      </c>
      <c r="E206" s="3490">
        <v>72.290000000000006</v>
      </c>
      <c r="F206" s="3490">
        <v>23.54</v>
      </c>
    </row>
    <row r="207" spans="2:12" ht="18.75" thickBot="1">
      <c r="B207" s="3488">
        <v>203</v>
      </c>
      <c r="C207" s="3490" t="s">
        <v>4974</v>
      </c>
      <c r="D207" s="3490" t="s">
        <v>3779</v>
      </c>
      <c r="E207" s="3490">
        <v>88.55</v>
      </c>
      <c r="F207" s="3490">
        <v>28.84</v>
      </c>
    </row>
    <row r="208" spans="2:12" ht="18.75" thickBot="1">
      <c r="B208" s="3488">
        <v>204</v>
      </c>
      <c r="C208" s="3490" t="s">
        <v>4974</v>
      </c>
      <c r="D208" s="3490" t="s">
        <v>3780</v>
      </c>
      <c r="E208" s="3490">
        <v>72.290000000000006</v>
      </c>
      <c r="F208" s="3490">
        <v>23.54</v>
      </c>
    </row>
    <row r="209" spans="2:6" ht="18.75" thickBot="1">
      <c r="B209" s="3488">
        <v>205</v>
      </c>
      <c r="C209" s="3490" t="s">
        <v>4974</v>
      </c>
      <c r="D209" s="3490" t="s">
        <v>3781</v>
      </c>
      <c r="E209" s="3490">
        <v>88.55</v>
      </c>
      <c r="F209" s="3490">
        <v>28.84</v>
      </c>
    </row>
    <row r="210" spans="2:6" ht="18.75" thickBot="1">
      <c r="B210" s="3488">
        <v>206</v>
      </c>
      <c r="C210" s="3490" t="s">
        <v>4974</v>
      </c>
      <c r="D210" s="3490" t="s">
        <v>3782</v>
      </c>
      <c r="E210" s="3490">
        <v>88.51</v>
      </c>
      <c r="F210" s="3490">
        <v>28.83</v>
      </c>
    </row>
    <row r="211" spans="2:6" ht="18.75" thickBot="1">
      <c r="B211" s="3488">
        <v>207</v>
      </c>
      <c r="C211" s="3490" t="s">
        <v>4974</v>
      </c>
      <c r="D211" s="3490" t="s">
        <v>3783</v>
      </c>
      <c r="E211" s="3490">
        <v>72.239999999999995</v>
      </c>
      <c r="F211" s="3490">
        <v>23.53</v>
      </c>
    </row>
    <row r="212" spans="2:6" ht="18.75" thickBot="1">
      <c r="B212" s="3488">
        <v>208</v>
      </c>
      <c r="C212" s="3490" t="s">
        <v>4974</v>
      </c>
      <c r="D212" s="3490" t="s">
        <v>3784</v>
      </c>
      <c r="E212" s="3490">
        <v>88.56</v>
      </c>
      <c r="F212" s="3490">
        <v>28.84</v>
      </c>
    </row>
    <row r="213" spans="2:6" ht="18.75" thickBot="1">
      <c r="B213" s="3488">
        <v>209</v>
      </c>
      <c r="C213" s="3490" t="s">
        <v>4974</v>
      </c>
      <c r="D213" s="3490" t="s">
        <v>3785</v>
      </c>
      <c r="E213" s="3490">
        <v>72.290000000000006</v>
      </c>
      <c r="F213" s="3490">
        <v>23.54</v>
      </c>
    </row>
    <row r="214" spans="2:6" ht="18.75" thickBot="1">
      <c r="B214" s="3488">
        <v>210</v>
      </c>
      <c r="C214" s="3490" t="s">
        <v>4974</v>
      </c>
      <c r="D214" s="3490" t="s">
        <v>3786</v>
      </c>
      <c r="E214" s="3490">
        <v>88.56</v>
      </c>
      <c r="F214" s="3490">
        <v>28.84</v>
      </c>
    </row>
    <row r="215" spans="2:6" ht="18.75" thickBot="1">
      <c r="B215" s="3488">
        <v>211</v>
      </c>
      <c r="C215" s="3490" t="s">
        <v>4974</v>
      </c>
      <c r="D215" s="3490" t="s">
        <v>3787</v>
      </c>
      <c r="E215" s="3489">
        <v>88.56</v>
      </c>
      <c r="F215" s="3490">
        <v>28.84</v>
      </c>
    </row>
    <row r="216" spans="2:6" ht="18.75" thickBot="1">
      <c r="B216" s="3488">
        <v>212</v>
      </c>
      <c r="C216" s="3490" t="s">
        <v>4974</v>
      </c>
      <c r="D216" s="3490" t="s">
        <v>3788</v>
      </c>
      <c r="E216" s="3489">
        <v>72.290000000000006</v>
      </c>
      <c r="F216" s="3490">
        <v>23.54</v>
      </c>
    </row>
    <row r="217" spans="2:6" ht="18.75" thickBot="1">
      <c r="B217" s="3488">
        <v>213</v>
      </c>
      <c r="C217" s="3490" t="s">
        <v>4974</v>
      </c>
      <c r="D217" s="3490" t="s">
        <v>3789</v>
      </c>
      <c r="E217" s="3489">
        <v>72.239999999999995</v>
      </c>
      <c r="F217" s="3490">
        <v>23.53</v>
      </c>
    </row>
    <row r="218" spans="2:6" ht="18.75" thickBot="1">
      <c r="B218" s="3488">
        <v>214</v>
      </c>
      <c r="C218" s="3490" t="s">
        <v>4974</v>
      </c>
      <c r="D218" s="3490" t="s">
        <v>3790</v>
      </c>
      <c r="E218" s="3489">
        <v>88.51</v>
      </c>
      <c r="F218" s="3490">
        <v>28.83</v>
      </c>
    </row>
    <row r="219" spans="2:6" ht="18.75" thickBot="1">
      <c r="B219" s="3488">
        <v>215</v>
      </c>
      <c r="C219" s="3490" t="s">
        <v>4974</v>
      </c>
      <c r="D219" s="3490" t="s">
        <v>3791</v>
      </c>
      <c r="E219" s="3489">
        <v>72.290000000000006</v>
      </c>
      <c r="F219" s="3490">
        <v>23.54</v>
      </c>
    </row>
    <row r="220" spans="2:6" ht="18.75" thickBot="1">
      <c r="B220" s="3488">
        <v>216</v>
      </c>
      <c r="C220" s="3490" t="s">
        <v>4974</v>
      </c>
      <c r="D220" s="3490" t="s">
        <v>3792</v>
      </c>
      <c r="E220" s="3489">
        <v>88.56</v>
      </c>
      <c r="F220" s="3490">
        <v>28.84</v>
      </c>
    </row>
    <row r="221" spans="2:6" ht="18.75" thickBot="1">
      <c r="B221" s="3488">
        <v>217</v>
      </c>
      <c r="C221" s="3490" t="s">
        <v>4974</v>
      </c>
      <c r="D221" s="3490" t="s">
        <v>3793</v>
      </c>
      <c r="E221" s="3489">
        <v>88.56</v>
      </c>
      <c r="F221" s="3490">
        <v>28.84</v>
      </c>
    </row>
    <row r="222" spans="2:6" ht="18.75" thickBot="1">
      <c r="B222" s="3488">
        <v>218</v>
      </c>
      <c r="C222" s="3490" t="s">
        <v>4974</v>
      </c>
      <c r="D222" s="3490" t="s">
        <v>3794</v>
      </c>
      <c r="E222" s="3489">
        <v>88.56</v>
      </c>
      <c r="F222" s="3490">
        <v>28.84</v>
      </c>
    </row>
    <row r="223" spans="2:6" ht="18.75" thickBot="1">
      <c r="B223" s="3488">
        <v>219</v>
      </c>
      <c r="C223" s="3490" t="s">
        <v>4974</v>
      </c>
      <c r="D223" s="3490" t="s">
        <v>3795</v>
      </c>
      <c r="E223" s="3489">
        <v>98.48</v>
      </c>
      <c r="F223" s="3490">
        <v>32.07</v>
      </c>
    </row>
    <row r="224" spans="2:6" ht="18.75" thickBot="1">
      <c r="B224" s="3488">
        <v>220</v>
      </c>
      <c r="C224" s="3490" t="s">
        <v>4974</v>
      </c>
      <c r="D224" s="3490" t="s">
        <v>3796</v>
      </c>
      <c r="E224" s="3489">
        <v>72.28</v>
      </c>
      <c r="F224" s="3490">
        <v>23.54</v>
      </c>
    </row>
    <row r="225" spans="2:6" ht="18.75" thickBot="1">
      <c r="B225" s="3488">
        <v>221</v>
      </c>
      <c r="C225" s="3490" t="s">
        <v>4974</v>
      </c>
      <c r="D225" s="3490" t="s">
        <v>3797</v>
      </c>
      <c r="E225" s="3489">
        <v>98.48</v>
      </c>
      <c r="F225" s="3490">
        <v>32.07</v>
      </c>
    </row>
    <row r="226" spans="2:6" ht="18.75" thickBot="1">
      <c r="B226" s="3488">
        <v>222</v>
      </c>
      <c r="C226" s="3490" t="s">
        <v>4974</v>
      </c>
      <c r="D226" s="3490" t="s">
        <v>3798</v>
      </c>
      <c r="E226" s="3489">
        <v>72.28</v>
      </c>
      <c r="F226" s="3490">
        <v>23.54</v>
      </c>
    </row>
    <row r="227" spans="2:6" ht="18.75" thickBot="1">
      <c r="B227" s="3488">
        <v>223</v>
      </c>
      <c r="C227" s="3490" t="s">
        <v>4974</v>
      </c>
      <c r="D227" s="3490" t="s">
        <v>3799</v>
      </c>
      <c r="E227" s="3489">
        <v>98.48</v>
      </c>
      <c r="F227" s="3490">
        <v>32.07</v>
      </c>
    </row>
    <row r="228" spans="2:6" ht="18.75" thickBot="1">
      <c r="B228" s="3488">
        <v>224</v>
      </c>
      <c r="C228" s="3490" t="s">
        <v>4974</v>
      </c>
      <c r="D228" s="3490" t="s">
        <v>3800</v>
      </c>
      <c r="E228" s="3489">
        <v>98.48</v>
      </c>
      <c r="F228" s="3490">
        <v>32.07</v>
      </c>
    </row>
    <row r="229" spans="2:6" ht="18.75" thickBot="1">
      <c r="B229" s="3488">
        <v>225</v>
      </c>
      <c r="C229" s="3490" t="s">
        <v>4974</v>
      </c>
      <c r="D229" s="3490" t="s">
        <v>3801</v>
      </c>
      <c r="E229" s="3489">
        <v>72.28</v>
      </c>
      <c r="F229" s="3490">
        <v>23.54</v>
      </c>
    </row>
    <row r="230" spans="2:6" ht="18.75" thickBot="1">
      <c r="B230" s="3488">
        <v>226</v>
      </c>
      <c r="C230" s="3490" t="s">
        <v>4974</v>
      </c>
      <c r="D230" s="3490" t="s">
        <v>3802</v>
      </c>
      <c r="E230" s="3489">
        <v>98.48</v>
      </c>
      <c r="F230" s="3490">
        <v>32.07</v>
      </c>
    </row>
    <row r="231" spans="2:6" ht="18.75" thickBot="1">
      <c r="B231" s="3488">
        <v>227</v>
      </c>
      <c r="C231" s="3490" t="s">
        <v>4974</v>
      </c>
      <c r="D231" s="3490" t="s">
        <v>3803</v>
      </c>
      <c r="E231" s="3489">
        <v>72.28</v>
      </c>
      <c r="F231" s="3490">
        <v>23.54</v>
      </c>
    </row>
    <row r="232" spans="2:6" ht="18.75" thickBot="1">
      <c r="B232" s="3488">
        <v>228</v>
      </c>
      <c r="C232" s="3490" t="s">
        <v>4974</v>
      </c>
      <c r="D232" s="3490" t="s">
        <v>3804</v>
      </c>
      <c r="E232" s="3489">
        <v>74.260000000000005</v>
      </c>
      <c r="F232" s="3490">
        <v>24.18</v>
      </c>
    </row>
    <row r="233" spans="2:6" ht="18.75" thickBot="1">
      <c r="B233" s="3488">
        <v>229</v>
      </c>
      <c r="C233" s="3490" t="s">
        <v>4974</v>
      </c>
      <c r="D233" s="3490" t="s">
        <v>3805</v>
      </c>
      <c r="E233" s="3489">
        <v>72.239999999999995</v>
      </c>
      <c r="F233" s="3490">
        <v>23.53</v>
      </c>
    </row>
    <row r="234" spans="2:6" ht="18.75" thickBot="1">
      <c r="B234" s="3488">
        <v>230</v>
      </c>
      <c r="C234" s="3490" t="s">
        <v>4974</v>
      </c>
      <c r="D234" s="3490" t="s">
        <v>3806</v>
      </c>
      <c r="E234" s="3489">
        <v>72.239999999999995</v>
      </c>
      <c r="F234" s="3490">
        <v>23.53</v>
      </c>
    </row>
    <row r="235" spans="2:6" ht="18.75" thickBot="1">
      <c r="B235" s="3488">
        <v>231</v>
      </c>
      <c r="C235" s="3490" t="s">
        <v>4974</v>
      </c>
      <c r="D235" s="3490" t="s">
        <v>3807</v>
      </c>
      <c r="E235" s="3489">
        <v>72.28</v>
      </c>
      <c r="F235" s="3490">
        <v>23.54</v>
      </c>
    </row>
    <row r="236" spans="2:6" ht="18.75" thickBot="1">
      <c r="B236" s="3488">
        <v>232</v>
      </c>
      <c r="C236" s="3490" t="s">
        <v>4974</v>
      </c>
      <c r="D236" s="3490" t="s">
        <v>3808</v>
      </c>
      <c r="E236" s="3489">
        <v>72.28</v>
      </c>
      <c r="F236" s="3490">
        <v>23.54</v>
      </c>
    </row>
    <row r="237" spans="2:6" ht="18.75" thickBot="1">
      <c r="B237" s="3488">
        <v>233</v>
      </c>
      <c r="C237" s="3490" t="s">
        <v>4974</v>
      </c>
      <c r="D237" s="3490" t="s">
        <v>3809</v>
      </c>
      <c r="E237" s="3489">
        <v>72.28</v>
      </c>
      <c r="F237" s="3490">
        <v>23.54</v>
      </c>
    </row>
    <row r="238" spans="2:6" ht="18.75" thickBot="1">
      <c r="B238" s="3488">
        <v>234</v>
      </c>
      <c r="C238" s="3490" t="s">
        <v>4974</v>
      </c>
      <c r="D238" s="3490" t="s">
        <v>3810</v>
      </c>
      <c r="E238" s="3489">
        <v>72.28</v>
      </c>
      <c r="F238" s="3490">
        <v>23.54</v>
      </c>
    </row>
    <row r="239" spans="2:6" ht="18.75" thickBot="1">
      <c r="B239" s="3488">
        <v>235</v>
      </c>
      <c r="C239" s="3490" t="s">
        <v>4974</v>
      </c>
      <c r="D239" s="3490" t="s">
        <v>3811</v>
      </c>
      <c r="E239" s="3489">
        <v>103.81</v>
      </c>
      <c r="F239" s="3490">
        <v>33.81</v>
      </c>
    </row>
    <row r="240" spans="2:6" ht="18.75" thickBot="1">
      <c r="B240" s="3488">
        <v>236</v>
      </c>
      <c r="C240" s="3490" t="s">
        <v>4974</v>
      </c>
      <c r="D240" s="3490" t="s">
        <v>3812</v>
      </c>
      <c r="E240" s="3489">
        <v>72.239999999999995</v>
      </c>
      <c r="F240" s="3490">
        <v>23.53</v>
      </c>
    </row>
    <row r="241" spans="2:6" ht="18.75" thickBot="1">
      <c r="B241" s="3488">
        <v>237</v>
      </c>
      <c r="C241" s="3490" t="s">
        <v>4974</v>
      </c>
      <c r="D241" s="3490" t="s">
        <v>3813</v>
      </c>
      <c r="E241" s="3489">
        <v>72.239999999999995</v>
      </c>
      <c r="F241" s="3490">
        <v>23.53</v>
      </c>
    </row>
    <row r="242" spans="2:6" ht="18.75" thickBot="1">
      <c r="B242" s="3488">
        <v>238</v>
      </c>
      <c r="C242" s="3490" t="s">
        <v>4974</v>
      </c>
      <c r="D242" s="3490" t="s">
        <v>3814</v>
      </c>
      <c r="E242" s="3489">
        <v>72.28</v>
      </c>
      <c r="F242" s="3490">
        <v>23.54</v>
      </c>
    </row>
    <row r="243" spans="2:6" ht="18.75" thickBot="1">
      <c r="B243" s="3488">
        <v>239</v>
      </c>
      <c r="C243" s="3490" t="s">
        <v>4974</v>
      </c>
      <c r="D243" s="3490" t="s">
        <v>3815</v>
      </c>
      <c r="E243" s="3489">
        <v>72.28</v>
      </c>
      <c r="F243" s="3490">
        <v>23.54</v>
      </c>
    </row>
    <row r="244" spans="2:6" ht="18.75" thickBot="1">
      <c r="B244" s="3488">
        <v>240</v>
      </c>
      <c r="C244" s="3490" t="s">
        <v>4974</v>
      </c>
      <c r="D244" s="3490" t="s">
        <v>3816</v>
      </c>
      <c r="E244" s="3489">
        <v>72.28</v>
      </c>
      <c r="F244" s="3490">
        <v>23.54</v>
      </c>
    </row>
    <row r="245" spans="2:6" ht="18.75" thickBot="1">
      <c r="B245" s="3488">
        <v>241</v>
      </c>
      <c r="C245" s="3490" t="s">
        <v>4974</v>
      </c>
      <c r="D245" s="3490" t="s">
        <v>3817</v>
      </c>
      <c r="E245" s="3489">
        <v>72.28</v>
      </c>
      <c r="F245" s="3490">
        <v>23.54</v>
      </c>
    </row>
    <row r="246" spans="2:6" ht="18.75" thickBot="1">
      <c r="B246" s="3488">
        <v>242</v>
      </c>
      <c r="C246" s="3490" t="s">
        <v>4974</v>
      </c>
      <c r="D246" s="3490" t="s">
        <v>3818</v>
      </c>
      <c r="E246" s="3489">
        <v>72.28</v>
      </c>
      <c r="F246" s="3490">
        <v>23.54</v>
      </c>
    </row>
    <row r="247" spans="2:6" ht="18.75" thickBot="1">
      <c r="B247" s="3488">
        <v>243</v>
      </c>
      <c r="C247" s="3490" t="s">
        <v>4974</v>
      </c>
      <c r="D247" s="3490" t="s">
        <v>3819</v>
      </c>
      <c r="E247" s="3489">
        <v>72.28</v>
      </c>
      <c r="F247" s="3490">
        <v>23.54</v>
      </c>
    </row>
    <row r="248" spans="2:6" ht="18.75" thickBot="1">
      <c r="B248" s="3488">
        <v>244</v>
      </c>
      <c r="C248" s="3490" t="s">
        <v>4974</v>
      </c>
      <c r="D248" s="3490" t="s">
        <v>3820</v>
      </c>
      <c r="E248" s="3489">
        <v>106.52</v>
      </c>
      <c r="F248" s="3490">
        <v>34.69</v>
      </c>
    </row>
    <row r="249" spans="2:6" ht="18.75" thickBot="1">
      <c r="B249" s="3488">
        <v>245</v>
      </c>
      <c r="C249" s="3490" t="s">
        <v>4974</v>
      </c>
      <c r="D249" s="3490" t="s">
        <v>3821</v>
      </c>
      <c r="E249" s="3489">
        <v>72.23</v>
      </c>
      <c r="F249" s="3490">
        <v>23.52</v>
      </c>
    </row>
    <row r="250" spans="2:6" ht="18.75" thickBot="1">
      <c r="B250" s="3488">
        <v>246</v>
      </c>
      <c r="C250" s="3490" t="s">
        <v>4974</v>
      </c>
      <c r="D250" s="3490" t="s">
        <v>3822</v>
      </c>
      <c r="E250" s="3489">
        <v>88.5</v>
      </c>
      <c r="F250" s="3490">
        <v>28.82</v>
      </c>
    </row>
    <row r="251" spans="2:6" ht="18.75" thickBot="1">
      <c r="B251" s="3488">
        <v>247</v>
      </c>
      <c r="C251" s="3490" t="s">
        <v>4974</v>
      </c>
      <c r="D251" s="3490" t="s">
        <v>3823</v>
      </c>
      <c r="E251" s="3489">
        <v>72.28</v>
      </c>
      <c r="F251" s="3490">
        <v>23.54</v>
      </c>
    </row>
    <row r="252" spans="2:6" ht="18.75" thickBot="1">
      <c r="B252" s="3488">
        <v>248</v>
      </c>
      <c r="C252" s="3490" t="s">
        <v>4974</v>
      </c>
      <c r="D252" s="3490" t="s">
        <v>3824</v>
      </c>
      <c r="E252" s="3489">
        <v>88.54</v>
      </c>
      <c r="F252" s="3490">
        <v>28.84</v>
      </c>
    </row>
    <row r="253" spans="2:6" ht="18.75" thickBot="1">
      <c r="B253" s="3488">
        <v>249</v>
      </c>
      <c r="C253" s="3490" t="s">
        <v>4974</v>
      </c>
      <c r="D253" s="3490" t="s">
        <v>3825</v>
      </c>
      <c r="E253" s="3489">
        <v>72.28</v>
      </c>
      <c r="F253" s="3490">
        <v>23.54</v>
      </c>
    </row>
    <row r="254" spans="2:6" ht="18.75" thickBot="1">
      <c r="B254" s="3488">
        <v>250</v>
      </c>
      <c r="C254" s="3490" t="s">
        <v>4974</v>
      </c>
      <c r="D254" s="3490" t="s">
        <v>3826</v>
      </c>
      <c r="E254" s="3489">
        <v>72.28</v>
      </c>
      <c r="F254" s="3490">
        <v>23.54</v>
      </c>
    </row>
    <row r="255" spans="2:6" ht="18.75" thickBot="1">
      <c r="B255" s="3488">
        <v>251</v>
      </c>
      <c r="C255" s="3490" t="s">
        <v>4974</v>
      </c>
      <c r="D255" s="3490" t="s">
        <v>3827</v>
      </c>
      <c r="E255" s="3489">
        <v>88.54</v>
      </c>
      <c r="F255" s="3490">
        <v>28.84</v>
      </c>
    </row>
    <row r="256" spans="2:6" ht="18.75" thickBot="1">
      <c r="B256" s="3488">
        <v>252</v>
      </c>
      <c r="C256" s="3490" t="s">
        <v>4974</v>
      </c>
      <c r="D256" s="3490" t="s">
        <v>3828</v>
      </c>
      <c r="E256" s="3489">
        <v>106.52</v>
      </c>
      <c r="F256" s="3490">
        <v>34.69</v>
      </c>
    </row>
    <row r="257" spans="2:6" ht="18.75" thickBot="1">
      <c r="B257" s="3488">
        <v>253</v>
      </c>
      <c r="C257" s="3490" t="s">
        <v>4974</v>
      </c>
      <c r="D257" s="3490" t="s">
        <v>3829</v>
      </c>
      <c r="E257" s="3489">
        <v>60.51</v>
      </c>
      <c r="F257" s="3490">
        <v>19.71</v>
      </c>
    </row>
    <row r="258" spans="2:6" ht="18.75" thickBot="1">
      <c r="B258" s="3488">
        <v>254</v>
      </c>
      <c r="C258" s="3490" t="s">
        <v>4974</v>
      </c>
      <c r="D258" s="3490" t="s">
        <v>3830</v>
      </c>
      <c r="E258" s="3489">
        <v>72.23</v>
      </c>
      <c r="F258" s="3490">
        <v>23.52</v>
      </c>
    </row>
    <row r="259" spans="2:6" ht="18.75" thickBot="1">
      <c r="B259" s="3488">
        <v>255</v>
      </c>
      <c r="C259" s="3490" t="s">
        <v>4974</v>
      </c>
      <c r="D259" s="3490" t="s">
        <v>3831</v>
      </c>
      <c r="E259" s="3489">
        <v>72.28</v>
      </c>
      <c r="F259" s="3490">
        <v>23.54</v>
      </c>
    </row>
    <row r="260" spans="2:6" ht="18.75" thickBot="1">
      <c r="B260" s="3488">
        <v>256</v>
      </c>
      <c r="C260" s="3490" t="s">
        <v>4974</v>
      </c>
      <c r="D260" s="3490" t="s">
        <v>3832</v>
      </c>
      <c r="E260" s="3489">
        <v>88.54</v>
      </c>
      <c r="F260" s="3490">
        <v>28.84</v>
      </c>
    </row>
    <row r="261" spans="2:6" ht="18.75" thickBot="1">
      <c r="B261" s="3488">
        <v>257</v>
      </c>
      <c r="C261" s="3490" t="s">
        <v>4974</v>
      </c>
      <c r="D261" s="3490" t="s">
        <v>3833</v>
      </c>
      <c r="E261" s="3489">
        <v>72.28</v>
      </c>
      <c r="F261" s="3490">
        <v>23.54</v>
      </c>
    </row>
    <row r="262" spans="2:6" ht="18.75" thickBot="1">
      <c r="B262" s="3488">
        <v>258</v>
      </c>
      <c r="C262" s="3490" t="s">
        <v>4974</v>
      </c>
      <c r="D262" s="3490" t="s">
        <v>3834</v>
      </c>
      <c r="E262" s="3489">
        <v>88.54</v>
      </c>
      <c r="F262" s="3490">
        <v>28.84</v>
      </c>
    </row>
    <row r="263" spans="2:6" ht="18.75" thickBot="1">
      <c r="B263" s="3488">
        <v>259</v>
      </c>
      <c r="C263" s="3490" t="s">
        <v>4974</v>
      </c>
      <c r="D263" s="3490" t="s">
        <v>3835</v>
      </c>
      <c r="E263" s="3489">
        <v>72.239999999999995</v>
      </c>
      <c r="F263" s="3490">
        <v>23.53</v>
      </c>
    </row>
    <row r="264" spans="2:6" ht="18.75" thickBot="1">
      <c r="B264" s="3488">
        <v>260</v>
      </c>
      <c r="C264" s="3490" t="s">
        <v>4974</v>
      </c>
      <c r="D264" s="3490" t="s">
        <v>3836</v>
      </c>
      <c r="E264" s="3489">
        <v>72.239999999999995</v>
      </c>
      <c r="F264" s="3490">
        <v>23.53</v>
      </c>
    </row>
    <row r="265" spans="2:6" ht="18.75" thickBot="1">
      <c r="B265" s="3488">
        <v>261</v>
      </c>
      <c r="C265" s="3490" t="s">
        <v>4974</v>
      </c>
      <c r="D265" s="3490" t="s">
        <v>3837</v>
      </c>
      <c r="E265" s="3489">
        <v>72.28</v>
      </c>
      <c r="F265" s="3490">
        <v>23.54</v>
      </c>
    </row>
    <row r="266" spans="2:6" ht="18.75" thickBot="1">
      <c r="B266" s="3488">
        <v>262</v>
      </c>
      <c r="C266" s="3490" t="s">
        <v>4974</v>
      </c>
      <c r="D266" s="3490" t="s">
        <v>3838</v>
      </c>
      <c r="E266" s="3489">
        <v>72.28</v>
      </c>
      <c r="F266" s="3490">
        <v>23.54</v>
      </c>
    </row>
    <row r="267" spans="2:6" ht="18.75" thickBot="1">
      <c r="B267" s="3488">
        <v>263</v>
      </c>
      <c r="C267" s="3490" t="s">
        <v>4974</v>
      </c>
      <c r="D267" s="3490" t="s">
        <v>3839</v>
      </c>
      <c r="E267" s="3489">
        <v>72.239999999999995</v>
      </c>
      <c r="F267" s="3490">
        <v>23.53</v>
      </c>
    </row>
    <row r="268" spans="2:6" ht="18.75" thickBot="1">
      <c r="B268" s="3488">
        <v>264</v>
      </c>
      <c r="C268" s="3490" t="s">
        <v>4974</v>
      </c>
      <c r="D268" s="3490" t="s">
        <v>3840</v>
      </c>
      <c r="E268" s="3489">
        <v>72.239999999999995</v>
      </c>
      <c r="F268" s="3490">
        <v>23.53</v>
      </c>
    </row>
    <row r="269" spans="2:6" ht="18.75" thickBot="1">
      <c r="B269" s="3488">
        <v>265</v>
      </c>
      <c r="C269" s="3490" t="s">
        <v>4974</v>
      </c>
      <c r="D269" s="3490" t="s">
        <v>3841</v>
      </c>
      <c r="E269" s="3489">
        <v>72.28</v>
      </c>
      <c r="F269" s="3490">
        <v>23.54</v>
      </c>
    </row>
    <row r="270" spans="2:6" ht="18.75" thickBot="1">
      <c r="B270" s="3488">
        <v>266</v>
      </c>
      <c r="C270" s="3490" t="s">
        <v>4974</v>
      </c>
      <c r="D270" s="3490" t="s">
        <v>3842</v>
      </c>
      <c r="E270" s="3489">
        <v>72.28</v>
      </c>
      <c r="F270" s="3490">
        <v>23.54</v>
      </c>
    </row>
    <row r="271" spans="2:6" ht="18.75" thickBot="1">
      <c r="B271" s="3488">
        <v>267</v>
      </c>
      <c r="C271" s="3490" t="s">
        <v>4974</v>
      </c>
      <c r="D271" s="3490" t="s">
        <v>3843</v>
      </c>
      <c r="E271" s="3489">
        <v>72.28</v>
      </c>
      <c r="F271" s="3490">
        <v>23.54</v>
      </c>
    </row>
    <row r="272" spans="2:6" ht="18.75" thickBot="1">
      <c r="B272" s="3488">
        <v>268</v>
      </c>
      <c r="C272" s="3490" t="s">
        <v>4974</v>
      </c>
      <c r="D272" s="3490" t="s">
        <v>3844</v>
      </c>
      <c r="E272" s="3489">
        <v>72.28</v>
      </c>
      <c r="F272" s="3490">
        <v>23.54</v>
      </c>
    </row>
    <row r="273" spans="2:6" ht="18.75" thickBot="1">
      <c r="B273" s="3488">
        <v>269</v>
      </c>
      <c r="C273" s="3490" t="s">
        <v>4974</v>
      </c>
      <c r="D273" s="3490" t="s">
        <v>3845</v>
      </c>
      <c r="E273" s="3489">
        <v>72.28</v>
      </c>
      <c r="F273" s="3490">
        <v>23.54</v>
      </c>
    </row>
    <row r="274" spans="2:6" ht="18.75" thickBot="1">
      <c r="B274" s="3488">
        <v>270</v>
      </c>
      <c r="C274" s="3490" t="s">
        <v>4974</v>
      </c>
      <c r="D274" s="3490" t="s">
        <v>3846</v>
      </c>
      <c r="E274" s="3489">
        <v>72.28</v>
      </c>
      <c r="F274" s="3490">
        <v>23.54</v>
      </c>
    </row>
    <row r="275" spans="2:6" ht="18.75" thickBot="1">
      <c r="B275" s="3488">
        <v>271</v>
      </c>
      <c r="C275" s="3490" t="s">
        <v>4974</v>
      </c>
      <c r="D275" s="3490" t="s">
        <v>3847</v>
      </c>
      <c r="E275" s="3489">
        <v>72.28</v>
      </c>
      <c r="F275" s="3490">
        <v>23.54</v>
      </c>
    </row>
    <row r="276" spans="2:6" ht="18.75" thickBot="1">
      <c r="B276" s="3488">
        <v>272</v>
      </c>
      <c r="C276" s="3490" t="s">
        <v>4974</v>
      </c>
      <c r="D276" s="3490" t="s">
        <v>3848</v>
      </c>
      <c r="E276" s="3489">
        <v>72.28</v>
      </c>
      <c r="F276" s="3490">
        <v>23.54</v>
      </c>
    </row>
    <row r="277" spans="2:6" ht="18.75" thickBot="1">
      <c r="B277" s="3488">
        <v>273</v>
      </c>
      <c r="C277" s="3490" t="s">
        <v>4974</v>
      </c>
      <c r="D277" s="3490" t="s">
        <v>3849</v>
      </c>
      <c r="E277" s="3489">
        <v>98.48</v>
      </c>
      <c r="F277" s="3490">
        <v>32.07</v>
      </c>
    </row>
    <row r="278" spans="2:6" ht="18.75" thickBot="1">
      <c r="B278" s="3488">
        <v>274</v>
      </c>
      <c r="C278" s="3490" t="s">
        <v>4974</v>
      </c>
      <c r="D278" s="3490" t="s">
        <v>3850</v>
      </c>
      <c r="E278" s="3489">
        <v>72.28</v>
      </c>
      <c r="F278" s="3490">
        <v>23.54</v>
      </c>
    </row>
    <row r="279" spans="2:6" ht="18.75" thickBot="1">
      <c r="B279" s="3488">
        <v>275</v>
      </c>
      <c r="C279" s="3490" t="s">
        <v>4974</v>
      </c>
      <c r="D279" s="3490" t="s">
        <v>3851</v>
      </c>
      <c r="E279" s="3489">
        <v>72.28</v>
      </c>
      <c r="F279" s="3490">
        <v>23.54</v>
      </c>
    </row>
    <row r="280" spans="2:6" ht="18.75" thickBot="1">
      <c r="B280" s="3488">
        <v>276</v>
      </c>
      <c r="C280" s="3490" t="s">
        <v>4974</v>
      </c>
      <c r="D280" s="3490" t="s">
        <v>3852</v>
      </c>
      <c r="E280" s="3489">
        <v>98.48</v>
      </c>
      <c r="F280" s="3490">
        <v>32.07</v>
      </c>
    </row>
    <row r="281" spans="2:6" ht="18.75" thickBot="1">
      <c r="B281" s="3488">
        <v>277</v>
      </c>
      <c r="C281" s="3490" t="s">
        <v>4974</v>
      </c>
      <c r="D281" s="3490" t="s">
        <v>3853</v>
      </c>
      <c r="E281" s="3489">
        <v>98.48</v>
      </c>
      <c r="F281" s="3490">
        <v>32.07</v>
      </c>
    </row>
    <row r="282" spans="2:6" ht="18.75" thickBot="1">
      <c r="B282" s="3488">
        <v>278</v>
      </c>
      <c r="C282" s="3490" t="s">
        <v>4974</v>
      </c>
      <c r="D282" s="3490" t="s">
        <v>3854</v>
      </c>
      <c r="E282" s="3489">
        <v>98.48</v>
      </c>
      <c r="F282" s="3490">
        <v>32.07</v>
      </c>
    </row>
    <row r="283" spans="2:6" ht="18.75" thickBot="1">
      <c r="B283" s="3488">
        <v>279</v>
      </c>
      <c r="C283" s="3490" t="s">
        <v>4974</v>
      </c>
      <c r="D283" s="3490" t="s">
        <v>3855</v>
      </c>
      <c r="E283" s="3489">
        <v>72.239999999999995</v>
      </c>
      <c r="F283" s="3490">
        <v>23.53</v>
      </c>
    </row>
    <row r="284" spans="2:6" ht="18.75" thickBot="1">
      <c r="B284" s="3488">
        <v>280</v>
      </c>
      <c r="C284" s="3490" t="s">
        <v>4974</v>
      </c>
      <c r="D284" s="3490" t="s">
        <v>3856</v>
      </c>
      <c r="E284" s="3489">
        <v>88.56</v>
      </c>
      <c r="F284" s="3490">
        <v>28.84</v>
      </c>
    </row>
    <row r="285" spans="2:6" ht="18.75" thickBot="1">
      <c r="B285" s="3488">
        <v>281</v>
      </c>
      <c r="C285" s="3490" t="s">
        <v>4974</v>
      </c>
      <c r="D285" s="3490" t="s">
        <v>3857</v>
      </c>
      <c r="E285" s="3489">
        <v>72.239999999999995</v>
      </c>
      <c r="F285" s="3490">
        <v>23.53</v>
      </c>
    </row>
    <row r="286" spans="2:6" ht="18.75" thickBot="1">
      <c r="B286" s="3488">
        <v>282</v>
      </c>
      <c r="C286" s="3490" t="s">
        <v>4974</v>
      </c>
      <c r="D286" s="3490" t="s">
        <v>3858</v>
      </c>
      <c r="E286" s="3489">
        <v>88.51</v>
      </c>
      <c r="F286" s="3490">
        <v>28.83</v>
      </c>
    </row>
    <row r="287" spans="2:6" ht="18.75" thickBot="1">
      <c r="B287" s="3488">
        <v>283</v>
      </c>
      <c r="C287" s="3490" t="s">
        <v>4974</v>
      </c>
      <c r="D287" s="3490" t="s">
        <v>3859</v>
      </c>
      <c r="E287" s="3489">
        <v>88.56</v>
      </c>
      <c r="F287" s="3490">
        <v>28.84</v>
      </c>
    </row>
    <row r="288" spans="2:6" ht="18.75" thickBot="1">
      <c r="B288" s="3488">
        <v>284</v>
      </c>
      <c r="C288" s="3490" t="s">
        <v>4974</v>
      </c>
      <c r="D288" s="3490" t="s">
        <v>3860</v>
      </c>
      <c r="E288" s="3489">
        <v>88.56</v>
      </c>
      <c r="F288" s="3490">
        <v>28.84</v>
      </c>
    </row>
    <row r="289" spans="2:6" ht="18.75" thickBot="1">
      <c r="B289" s="3488">
        <v>285</v>
      </c>
      <c r="C289" s="3490" t="s">
        <v>4974</v>
      </c>
      <c r="D289" s="3490" t="s">
        <v>3861</v>
      </c>
      <c r="E289" s="3489">
        <v>88.56</v>
      </c>
      <c r="F289" s="3490">
        <v>28.84</v>
      </c>
    </row>
    <row r="290" spans="2:6" ht="18.75" thickBot="1">
      <c r="B290" s="3491">
        <v>286</v>
      </c>
      <c r="C290" s="3492" t="s">
        <v>4974</v>
      </c>
      <c r="D290" s="3493" t="s">
        <v>3862</v>
      </c>
      <c r="E290" s="3493">
        <v>27.63</v>
      </c>
      <c r="F290" s="3492">
        <v>9</v>
      </c>
    </row>
    <row r="291" spans="2:6" ht="18.75" thickBot="1">
      <c r="B291" s="3491">
        <v>287</v>
      </c>
      <c r="C291" s="3492" t="s">
        <v>4974</v>
      </c>
      <c r="D291" s="3493" t="s">
        <v>3863</v>
      </c>
      <c r="E291" s="3493">
        <v>27.63</v>
      </c>
      <c r="F291" s="3492">
        <v>9</v>
      </c>
    </row>
    <row r="292" spans="2:6" ht="18.75" thickBot="1">
      <c r="B292" s="3491">
        <v>288</v>
      </c>
      <c r="C292" s="3492" t="s">
        <v>4974</v>
      </c>
      <c r="D292" s="3493" t="s">
        <v>3864</v>
      </c>
      <c r="E292" s="3493">
        <v>27.63</v>
      </c>
      <c r="F292" s="3492">
        <v>9</v>
      </c>
    </row>
    <row r="293" spans="2:6" ht="18.75" thickBot="1">
      <c r="B293" s="3491">
        <v>289</v>
      </c>
      <c r="C293" s="3492" t="s">
        <v>4974</v>
      </c>
      <c r="D293" s="3493" t="s">
        <v>3865</v>
      </c>
      <c r="E293" s="3493">
        <v>27.63</v>
      </c>
      <c r="F293" s="3492">
        <v>9</v>
      </c>
    </row>
    <row r="294" spans="2:6" ht="18.75" thickBot="1">
      <c r="B294" s="3491">
        <v>290</v>
      </c>
      <c r="C294" s="3492" t="s">
        <v>4974</v>
      </c>
      <c r="D294" s="3493" t="s">
        <v>3866</v>
      </c>
      <c r="E294" s="3493">
        <v>27.63</v>
      </c>
      <c r="F294" s="3492">
        <v>9</v>
      </c>
    </row>
    <row r="295" spans="2:6" ht="18.75" thickBot="1">
      <c r="B295" s="3491">
        <v>291</v>
      </c>
      <c r="C295" s="3492" t="s">
        <v>4974</v>
      </c>
      <c r="D295" s="3493" t="s">
        <v>3867</v>
      </c>
      <c r="E295" s="3493">
        <v>27.63</v>
      </c>
      <c r="F295" s="3492">
        <v>9</v>
      </c>
    </row>
    <row r="296" spans="2:6" ht="18.75" thickBot="1">
      <c r="B296" s="3491">
        <v>292</v>
      </c>
      <c r="C296" s="3492" t="s">
        <v>4974</v>
      </c>
      <c r="D296" s="3493" t="s">
        <v>3868</v>
      </c>
      <c r="E296" s="3493">
        <v>27.63</v>
      </c>
      <c r="F296" s="3492">
        <v>9</v>
      </c>
    </row>
    <row r="297" spans="2:6" ht="18.75" thickBot="1">
      <c r="B297" s="3491">
        <v>293</v>
      </c>
      <c r="C297" s="3492" t="s">
        <v>4974</v>
      </c>
      <c r="D297" s="3493" t="s">
        <v>3869</v>
      </c>
      <c r="E297" s="3493">
        <v>27.63</v>
      </c>
      <c r="F297" s="3492">
        <v>9</v>
      </c>
    </row>
    <row r="298" spans="2:6" ht="18.75" thickBot="1">
      <c r="B298" s="3491">
        <v>294</v>
      </c>
      <c r="C298" s="3492" t="s">
        <v>4974</v>
      </c>
      <c r="D298" s="3493" t="s">
        <v>3870</v>
      </c>
      <c r="E298" s="3493">
        <v>27.63</v>
      </c>
      <c r="F298" s="3492">
        <v>9</v>
      </c>
    </row>
    <row r="299" spans="2:6" ht="18.75" thickBot="1">
      <c r="B299" s="3491">
        <v>295</v>
      </c>
      <c r="C299" s="3492" t="s">
        <v>4974</v>
      </c>
      <c r="D299" s="3493" t="s">
        <v>3871</v>
      </c>
      <c r="E299" s="3493">
        <v>27.63</v>
      </c>
      <c r="F299" s="3492">
        <v>9</v>
      </c>
    </row>
    <row r="300" spans="2:6" ht="18.75" thickBot="1">
      <c r="B300" s="3491">
        <v>296</v>
      </c>
      <c r="C300" s="3492" t="s">
        <v>4974</v>
      </c>
      <c r="D300" s="3493" t="s">
        <v>3872</v>
      </c>
      <c r="E300" s="3493">
        <v>27.63</v>
      </c>
      <c r="F300" s="3492">
        <v>9</v>
      </c>
    </row>
    <row r="301" spans="2:6" ht="18.75" thickBot="1">
      <c r="B301" s="3491">
        <v>297</v>
      </c>
      <c r="C301" s="3492" t="s">
        <v>4974</v>
      </c>
      <c r="D301" s="3493" t="s">
        <v>3873</v>
      </c>
      <c r="E301" s="3493">
        <v>27.63</v>
      </c>
      <c r="F301" s="3492">
        <v>9</v>
      </c>
    </row>
    <row r="302" spans="2:6" ht="18.75" thickBot="1">
      <c r="B302" s="3491">
        <v>298</v>
      </c>
      <c r="C302" s="3492" t="s">
        <v>4974</v>
      </c>
      <c r="D302" s="3493" t="s">
        <v>3874</v>
      </c>
      <c r="E302" s="3493">
        <v>27.63</v>
      </c>
      <c r="F302" s="3492">
        <v>9</v>
      </c>
    </row>
    <row r="303" spans="2:6" ht="18.75" thickBot="1">
      <c r="B303" s="3491">
        <v>299</v>
      </c>
      <c r="C303" s="3492" t="s">
        <v>4974</v>
      </c>
      <c r="D303" s="3493" t="s">
        <v>3875</v>
      </c>
      <c r="E303" s="3493">
        <v>27.63</v>
      </c>
      <c r="F303" s="3492">
        <v>9</v>
      </c>
    </row>
    <row r="304" spans="2:6" ht="18.75" thickBot="1">
      <c r="B304" s="3491">
        <v>300</v>
      </c>
      <c r="C304" s="3492" t="s">
        <v>4974</v>
      </c>
      <c r="D304" s="3493" t="s">
        <v>3876</v>
      </c>
      <c r="E304" s="3493">
        <v>27.63</v>
      </c>
      <c r="F304" s="3492">
        <v>9</v>
      </c>
    </row>
    <row r="305" spans="2:6" ht="18.75" thickBot="1">
      <c r="B305" s="3491">
        <v>301</v>
      </c>
      <c r="C305" s="3492" t="s">
        <v>4974</v>
      </c>
      <c r="D305" s="3493" t="s">
        <v>3877</v>
      </c>
      <c r="E305" s="3493">
        <v>27.63</v>
      </c>
      <c r="F305" s="3492">
        <v>9</v>
      </c>
    </row>
    <row r="306" spans="2:6" ht="18.75" thickBot="1">
      <c r="B306" s="3491">
        <v>302</v>
      </c>
      <c r="C306" s="3492" t="s">
        <v>4974</v>
      </c>
      <c r="D306" s="3493" t="s">
        <v>3878</v>
      </c>
      <c r="E306" s="3493">
        <v>27.63</v>
      </c>
      <c r="F306" s="3492">
        <v>9</v>
      </c>
    </row>
    <row r="307" spans="2:6" ht="18.75" thickBot="1">
      <c r="B307" s="3491">
        <v>303</v>
      </c>
      <c r="C307" s="3492" t="s">
        <v>4974</v>
      </c>
      <c r="D307" s="3493" t="s">
        <v>3879</v>
      </c>
      <c r="E307" s="3493">
        <v>27.63</v>
      </c>
      <c r="F307" s="3492">
        <v>9</v>
      </c>
    </row>
    <row r="308" spans="2:6" ht="18.75" thickBot="1">
      <c r="B308" s="3491">
        <v>304</v>
      </c>
      <c r="C308" s="3492" t="s">
        <v>4974</v>
      </c>
      <c r="D308" s="3493" t="s">
        <v>3880</v>
      </c>
      <c r="E308" s="3493">
        <v>27.63</v>
      </c>
      <c r="F308" s="3492">
        <v>9</v>
      </c>
    </row>
    <row r="309" spans="2:6" ht="18.75" thickBot="1">
      <c r="B309" s="3491">
        <v>305</v>
      </c>
      <c r="C309" s="3492" t="s">
        <v>4974</v>
      </c>
      <c r="D309" s="3493" t="s">
        <v>3881</v>
      </c>
      <c r="E309" s="3493">
        <v>27.63</v>
      </c>
      <c r="F309" s="3492">
        <v>9</v>
      </c>
    </row>
    <row r="310" spans="2:6" ht="18.75" thickBot="1">
      <c r="B310" s="3491">
        <v>306</v>
      </c>
      <c r="C310" s="3492" t="s">
        <v>4974</v>
      </c>
      <c r="D310" s="3493" t="s">
        <v>3882</v>
      </c>
      <c r="E310" s="3493">
        <v>27.63</v>
      </c>
      <c r="F310" s="3492">
        <v>9</v>
      </c>
    </row>
    <row r="311" spans="2:6" ht="18.75" thickBot="1">
      <c r="B311" s="3491">
        <v>307</v>
      </c>
      <c r="C311" s="3492" t="s">
        <v>4974</v>
      </c>
      <c r="D311" s="3493" t="s">
        <v>3883</v>
      </c>
      <c r="E311" s="3493">
        <v>27.63</v>
      </c>
      <c r="F311" s="3492">
        <v>9</v>
      </c>
    </row>
    <row r="312" spans="2:6" ht="18.75" thickBot="1">
      <c r="B312" s="3491">
        <v>308</v>
      </c>
      <c r="C312" s="3492" t="s">
        <v>4974</v>
      </c>
      <c r="D312" s="3493" t="s">
        <v>3884</v>
      </c>
      <c r="E312" s="3493">
        <v>27.63</v>
      </c>
      <c r="F312" s="3492">
        <v>9</v>
      </c>
    </row>
    <row r="313" spans="2:6" ht="18.75" thickBot="1">
      <c r="B313" s="3491">
        <v>309</v>
      </c>
      <c r="C313" s="3492" t="s">
        <v>4974</v>
      </c>
      <c r="D313" s="3493" t="s">
        <v>3885</v>
      </c>
      <c r="E313" s="3493">
        <v>27.63</v>
      </c>
      <c r="F313" s="3492">
        <v>9</v>
      </c>
    </row>
    <row r="314" spans="2:6" ht="18.75" thickBot="1">
      <c r="B314" s="3491">
        <v>310</v>
      </c>
      <c r="C314" s="3492" t="s">
        <v>4974</v>
      </c>
      <c r="D314" s="3493" t="s">
        <v>3886</v>
      </c>
      <c r="E314" s="3493">
        <v>27.63</v>
      </c>
      <c r="F314" s="3492">
        <v>9</v>
      </c>
    </row>
    <row r="315" spans="2:6" ht="18.75" thickBot="1">
      <c r="B315" s="3491">
        <v>311</v>
      </c>
      <c r="C315" s="3492" t="s">
        <v>4974</v>
      </c>
      <c r="D315" s="3493" t="s">
        <v>3887</v>
      </c>
      <c r="E315" s="3493">
        <v>27.63</v>
      </c>
      <c r="F315" s="3492">
        <v>9</v>
      </c>
    </row>
    <row r="316" spans="2:6" ht="18.75" thickBot="1">
      <c r="B316" s="3491">
        <v>312</v>
      </c>
      <c r="C316" s="3492" t="s">
        <v>4974</v>
      </c>
      <c r="D316" s="3493" t="s">
        <v>3888</v>
      </c>
      <c r="E316" s="3493">
        <v>27.63</v>
      </c>
      <c r="F316" s="3492">
        <v>9</v>
      </c>
    </row>
    <row r="317" spans="2:6" ht="18.75" thickBot="1">
      <c r="B317" s="3491">
        <v>313</v>
      </c>
      <c r="C317" s="3492" t="s">
        <v>4974</v>
      </c>
      <c r="D317" s="3493" t="s">
        <v>3889</v>
      </c>
      <c r="E317" s="3493">
        <v>27.63</v>
      </c>
      <c r="F317" s="3492">
        <v>9</v>
      </c>
    </row>
    <row r="318" spans="2:6" ht="18.75" thickBot="1">
      <c r="B318" s="3491">
        <v>314</v>
      </c>
      <c r="C318" s="3492" t="s">
        <v>4974</v>
      </c>
      <c r="D318" s="3493" t="s">
        <v>3890</v>
      </c>
      <c r="E318" s="3493">
        <v>27.63</v>
      </c>
      <c r="F318" s="3492">
        <v>9</v>
      </c>
    </row>
    <row r="319" spans="2:6" ht="18.75" thickBot="1">
      <c r="B319" s="3491">
        <v>315</v>
      </c>
      <c r="C319" s="3492" t="s">
        <v>4974</v>
      </c>
      <c r="D319" s="3493" t="s">
        <v>3891</v>
      </c>
      <c r="E319" s="3493">
        <v>27.63</v>
      </c>
      <c r="F319" s="3492">
        <v>9</v>
      </c>
    </row>
    <row r="320" spans="2:6" ht="18.75" thickBot="1">
      <c r="B320" s="3491">
        <v>316</v>
      </c>
      <c r="C320" s="3492" t="s">
        <v>4974</v>
      </c>
      <c r="D320" s="3493" t="s">
        <v>3892</v>
      </c>
      <c r="E320" s="3493">
        <v>27.63</v>
      </c>
      <c r="F320" s="3492">
        <v>9</v>
      </c>
    </row>
    <row r="321" spans="2:6" ht="18.75" thickBot="1">
      <c r="B321" s="3491">
        <v>317</v>
      </c>
      <c r="C321" s="3492" t="s">
        <v>4974</v>
      </c>
      <c r="D321" s="3493" t="s">
        <v>3893</v>
      </c>
      <c r="E321" s="3493">
        <v>27.63</v>
      </c>
      <c r="F321" s="3492">
        <v>9</v>
      </c>
    </row>
    <row r="322" spans="2:6" ht="18.75" thickBot="1">
      <c r="B322" s="3491">
        <v>318</v>
      </c>
      <c r="C322" s="3492" t="s">
        <v>4974</v>
      </c>
      <c r="D322" s="3493" t="s">
        <v>3894</v>
      </c>
      <c r="E322" s="3493">
        <v>27.63</v>
      </c>
      <c r="F322" s="3492">
        <v>9</v>
      </c>
    </row>
    <row r="323" spans="2:6" ht="18.75" thickBot="1">
      <c r="B323" s="3491">
        <v>319</v>
      </c>
      <c r="C323" s="3492" t="s">
        <v>4974</v>
      </c>
      <c r="D323" s="3493" t="s">
        <v>3895</v>
      </c>
      <c r="E323" s="3493">
        <v>27.63</v>
      </c>
      <c r="F323" s="3492">
        <v>9</v>
      </c>
    </row>
    <row r="324" spans="2:6" ht="18.75" thickBot="1">
      <c r="B324" s="3491">
        <v>320</v>
      </c>
      <c r="C324" s="3492" t="s">
        <v>4974</v>
      </c>
      <c r="D324" s="3493" t="s">
        <v>3896</v>
      </c>
      <c r="E324" s="3493">
        <v>27.63</v>
      </c>
      <c r="F324" s="3492">
        <v>9</v>
      </c>
    </row>
    <row r="325" spans="2:6" ht="18.75" thickBot="1">
      <c r="B325" s="3491">
        <v>321</v>
      </c>
      <c r="C325" s="3492" t="s">
        <v>4974</v>
      </c>
      <c r="D325" s="3493" t="s">
        <v>3897</v>
      </c>
      <c r="E325" s="3493">
        <v>27.63</v>
      </c>
      <c r="F325" s="3492">
        <v>9</v>
      </c>
    </row>
    <row r="326" spans="2:6" ht="18.75" thickBot="1">
      <c r="B326" s="3491">
        <v>322</v>
      </c>
      <c r="C326" s="3492" t="s">
        <v>4974</v>
      </c>
      <c r="D326" s="3493" t="s">
        <v>3898</v>
      </c>
      <c r="E326" s="3493">
        <v>27.63</v>
      </c>
      <c r="F326" s="3492">
        <v>9</v>
      </c>
    </row>
    <row r="327" spans="2:6" ht="18.75" thickBot="1">
      <c r="B327" s="3491">
        <v>323</v>
      </c>
      <c r="C327" s="3492" t="s">
        <v>4974</v>
      </c>
      <c r="D327" s="3493" t="s">
        <v>3899</v>
      </c>
      <c r="E327" s="3493">
        <v>27.63</v>
      </c>
      <c r="F327" s="3492">
        <v>9</v>
      </c>
    </row>
    <row r="328" spans="2:6" ht="18.75" thickBot="1">
      <c r="B328" s="3491">
        <v>324</v>
      </c>
      <c r="C328" s="3492" t="s">
        <v>4974</v>
      </c>
      <c r="D328" s="3493" t="s">
        <v>3900</v>
      </c>
      <c r="E328" s="3493">
        <v>27.63</v>
      </c>
      <c r="F328" s="3492">
        <v>9</v>
      </c>
    </row>
    <row r="329" spans="2:6" ht="18.75" thickBot="1">
      <c r="B329" s="3491">
        <v>325</v>
      </c>
      <c r="C329" s="3492" t="s">
        <v>4974</v>
      </c>
      <c r="D329" s="3493" t="s">
        <v>3901</v>
      </c>
      <c r="E329" s="3493">
        <v>27.63</v>
      </c>
      <c r="F329" s="3492">
        <v>9</v>
      </c>
    </row>
    <row r="330" spans="2:6" ht="18.75" thickBot="1">
      <c r="B330" s="3491">
        <v>326</v>
      </c>
      <c r="C330" s="3492" t="s">
        <v>4974</v>
      </c>
      <c r="D330" s="3493" t="s">
        <v>3902</v>
      </c>
      <c r="E330" s="3493">
        <v>27.63</v>
      </c>
      <c r="F330" s="3492">
        <v>9</v>
      </c>
    </row>
    <row r="331" spans="2:6" ht="18.75" thickBot="1">
      <c r="B331" s="3491">
        <v>327</v>
      </c>
      <c r="C331" s="3492" t="s">
        <v>4974</v>
      </c>
      <c r="D331" s="3493" t="s">
        <v>3903</v>
      </c>
      <c r="E331" s="3493">
        <v>27.63</v>
      </c>
      <c r="F331" s="3492">
        <v>9</v>
      </c>
    </row>
    <row r="332" spans="2:6" ht="18.75" thickBot="1">
      <c r="B332" s="3491">
        <v>328</v>
      </c>
      <c r="C332" s="3492" t="s">
        <v>4974</v>
      </c>
      <c r="D332" s="3493" t="s">
        <v>3904</v>
      </c>
      <c r="E332" s="3493">
        <v>27.63</v>
      </c>
      <c r="F332" s="3492">
        <v>9</v>
      </c>
    </row>
    <row r="333" spans="2:6" ht="18.75" thickBot="1">
      <c r="B333" s="3491">
        <v>329</v>
      </c>
      <c r="C333" s="3492" t="s">
        <v>4974</v>
      </c>
      <c r="D333" s="3493" t="s">
        <v>3905</v>
      </c>
      <c r="E333" s="3493">
        <v>27.63</v>
      </c>
      <c r="F333" s="3492">
        <v>9</v>
      </c>
    </row>
    <row r="334" spans="2:6" ht="18.75" thickBot="1">
      <c r="B334" s="3491">
        <v>330</v>
      </c>
      <c r="C334" s="3492" t="s">
        <v>4974</v>
      </c>
      <c r="D334" s="3493" t="s">
        <v>3906</v>
      </c>
      <c r="E334" s="3493">
        <v>27.63</v>
      </c>
      <c r="F334" s="3492">
        <v>9</v>
      </c>
    </row>
    <row r="335" spans="2:6" ht="18.75" thickBot="1">
      <c r="B335" s="3491">
        <v>331</v>
      </c>
      <c r="C335" s="3492" t="s">
        <v>4974</v>
      </c>
      <c r="D335" s="3493" t="s">
        <v>3907</v>
      </c>
      <c r="E335" s="3493">
        <v>27.63</v>
      </c>
      <c r="F335" s="3492">
        <v>9</v>
      </c>
    </row>
    <row r="336" spans="2:6" ht="18.75" thickBot="1">
      <c r="B336" s="3491">
        <v>332</v>
      </c>
      <c r="C336" s="3492" t="s">
        <v>4974</v>
      </c>
      <c r="D336" s="3493" t="s">
        <v>3908</v>
      </c>
      <c r="E336" s="3493">
        <v>27.63</v>
      </c>
      <c r="F336" s="3492">
        <v>9</v>
      </c>
    </row>
    <row r="337" spans="2:6" ht="18.75" thickBot="1">
      <c r="B337" s="3491">
        <v>333</v>
      </c>
      <c r="C337" s="3492" t="s">
        <v>4974</v>
      </c>
      <c r="D337" s="3493" t="s">
        <v>3909</v>
      </c>
      <c r="E337" s="3493">
        <v>27.63</v>
      </c>
      <c r="F337" s="3492">
        <v>9</v>
      </c>
    </row>
    <row r="338" spans="2:6" ht="18.75" thickBot="1">
      <c r="B338" s="3491">
        <v>334</v>
      </c>
      <c r="C338" s="3492" t="s">
        <v>4974</v>
      </c>
      <c r="D338" s="3493" t="s">
        <v>3910</v>
      </c>
      <c r="E338" s="3493">
        <v>27.63</v>
      </c>
      <c r="F338" s="3492">
        <v>9</v>
      </c>
    </row>
    <row r="339" spans="2:6" ht="18.75" thickBot="1">
      <c r="B339" s="3491">
        <v>335</v>
      </c>
      <c r="C339" s="3492" t="s">
        <v>4974</v>
      </c>
      <c r="D339" s="3493" t="s">
        <v>3911</v>
      </c>
      <c r="E339" s="3493">
        <v>27.63</v>
      </c>
      <c r="F339" s="3492">
        <v>9</v>
      </c>
    </row>
    <row r="340" spans="2:6" ht="18.75" thickBot="1">
      <c r="B340" s="3491">
        <v>336</v>
      </c>
      <c r="C340" s="3492" t="s">
        <v>4974</v>
      </c>
      <c r="D340" s="3493" t="s">
        <v>3912</v>
      </c>
      <c r="E340" s="3493">
        <v>27.63</v>
      </c>
      <c r="F340" s="3492">
        <v>9</v>
      </c>
    </row>
    <row r="341" spans="2:6" ht="18.75" thickBot="1">
      <c r="B341" s="3491">
        <v>337</v>
      </c>
      <c r="C341" s="3492" t="s">
        <v>4974</v>
      </c>
      <c r="D341" s="3493" t="s">
        <v>3913</v>
      </c>
      <c r="E341" s="3493">
        <v>27.63</v>
      </c>
      <c r="F341" s="3492">
        <v>9</v>
      </c>
    </row>
    <row r="342" spans="2:6" ht="18.75" thickBot="1">
      <c r="B342" s="3491">
        <v>338</v>
      </c>
      <c r="C342" s="3492" t="s">
        <v>4974</v>
      </c>
      <c r="D342" s="3493" t="s">
        <v>3914</v>
      </c>
      <c r="E342" s="3493">
        <v>27.63</v>
      </c>
      <c r="F342" s="3492">
        <v>9</v>
      </c>
    </row>
    <row r="343" spans="2:6" ht="18.75" thickBot="1">
      <c r="B343" s="3491">
        <v>339</v>
      </c>
      <c r="C343" s="3492" t="s">
        <v>4974</v>
      </c>
      <c r="D343" s="3493" t="s">
        <v>3915</v>
      </c>
      <c r="E343" s="3493">
        <v>27.63</v>
      </c>
      <c r="F343" s="3492">
        <v>9</v>
      </c>
    </row>
    <row r="344" spans="2:6" ht="18.75" thickBot="1">
      <c r="B344" s="3491">
        <v>340</v>
      </c>
      <c r="C344" s="3492" t="s">
        <v>4974</v>
      </c>
      <c r="D344" s="3493" t="s">
        <v>3916</v>
      </c>
      <c r="E344" s="3493">
        <v>27.63</v>
      </c>
      <c r="F344" s="3492">
        <v>9</v>
      </c>
    </row>
    <row r="345" spans="2:6" ht="18.75" thickBot="1">
      <c r="B345" s="3491">
        <v>341</v>
      </c>
      <c r="C345" s="3492" t="s">
        <v>4974</v>
      </c>
      <c r="D345" s="3493" t="s">
        <v>3917</v>
      </c>
      <c r="E345" s="3493">
        <v>27.63</v>
      </c>
      <c r="F345" s="3492">
        <v>9</v>
      </c>
    </row>
    <row r="346" spans="2:6" ht="18.75" thickBot="1">
      <c r="B346" s="3491">
        <v>342</v>
      </c>
      <c r="C346" s="3492" t="s">
        <v>4974</v>
      </c>
      <c r="D346" s="3493" t="s">
        <v>3918</v>
      </c>
      <c r="E346" s="3493">
        <v>27.63</v>
      </c>
      <c r="F346" s="3492">
        <v>9</v>
      </c>
    </row>
    <row r="347" spans="2:6" ht="18.75" thickBot="1">
      <c r="B347" s="3491">
        <v>343</v>
      </c>
      <c r="C347" s="3492" t="s">
        <v>4974</v>
      </c>
      <c r="D347" s="3493" t="s">
        <v>3919</v>
      </c>
      <c r="E347" s="3493">
        <v>27.63</v>
      </c>
      <c r="F347" s="3492">
        <v>9</v>
      </c>
    </row>
    <row r="348" spans="2:6" ht="18.75" thickBot="1">
      <c r="B348" s="3491">
        <v>344</v>
      </c>
      <c r="C348" s="3492" t="s">
        <v>4974</v>
      </c>
      <c r="D348" s="3493" t="s">
        <v>3920</v>
      </c>
      <c r="E348" s="3493">
        <v>27.63</v>
      </c>
      <c r="F348" s="3492">
        <v>9</v>
      </c>
    </row>
    <row r="349" spans="2:6" ht="18.75" thickBot="1">
      <c r="B349" s="3491">
        <v>345</v>
      </c>
      <c r="C349" s="3492" t="s">
        <v>4974</v>
      </c>
      <c r="D349" s="3493" t="s">
        <v>3921</v>
      </c>
      <c r="E349" s="3493">
        <v>27.63</v>
      </c>
      <c r="F349" s="3492">
        <v>9</v>
      </c>
    </row>
    <row r="350" spans="2:6" ht="18.75" thickBot="1">
      <c r="B350" s="3491">
        <v>346</v>
      </c>
      <c r="C350" s="3492" t="s">
        <v>4974</v>
      </c>
      <c r="D350" s="3493" t="s">
        <v>3922</v>
      </c>
      <c r="E350" s="3493">
        <v>27.63</v>
      </c>
      <c r="F350" s="3492">
        <v>9</v>
      </c>
    </row>
    <row r="351" spans="2:6" ht="18.75" thickBot="1">
      <c r="B351" s="3491">
        <v>347</v>
      </c>
      <c r="C351" s="3492" t="s">
        <v>4974</v>
      </c>
      <c r="D351" s="3493" t="s">
        <v>3923</v>
      </c>
      <c r="E351" s="3493">
        <v>27.63</v>
      </c>
      <c r="F351" s="3492">
        <v>9</v>
      </c>
    </row>
    <row r="352" spans="2:6" ht="18.75" thickBot="1">
      <c r="B352" s="3491">
        <v>348</v>
      </c>
      <c r="C352" s="3492" t="s">
        <v>4974</v>
      </c>
      <c r="D352" s="3493" t="s">
        <v>3924</v>
      </c>
      <c r="E352" s="3493">
        <v>27.63</v>
      </c>
      <c r="F352" s="3492">
        <v>9</v>
      </c>
    </row>
    <row r="353" spans="2:6" ht="18.75" thickBot="1">
      <c r="B353" s="3491">
        <v>349</v>
      </c>
      <c r="C353" s="3492" t="s">
        <v>4974</v>
      </c>
      <c r="D353" s="3493" t="s">
        <v>3925</v>
      </c>
      <c r="E353" s="3493">
        <v>27.63</v>
      </c>
      <c r="F353" s="3492">
        <v>9</v>
      </c>
    </row>
    <row r="354" spans="2:6" ht="18.75" thickBot="1">
      <c r="B354" s="3491">
        <v>350</v>
      </c>
      <c r="C354" s="3492" t="s">
        <v>4974</v>
      </c>
      <c r="D354" s="3493" t="s">
        <v>3926</v>
      </c>
      <c r="E354" s="3493">
        <v>27.63</v>
      </c>
      <c r="F354" s="3492">
        <v>9</v>
      </c>
    </row>
    <row r="355" spans="2:6" ht="18.75" thickBot="1">
      <c r="B355" s="3491">
        <v>351</v>
      </c>
      <c r="C355" s="3492" t="s">
        <v>4974</v>
      </c>
      <c r="D355" s="3493" t="s">
        <v>3927</v>
      </c>
      <c r="E355" s="3493">
        <v>27.63</v>
      </c>
      <c r="F355" s="3492">
        <v>9</v>
      </c>
    </row>
    <row r="356" spans="2:6" ht="18.75" thickBot="1">
      <c r="B356" s="3491">
        <v>352</v>
      </c>
      <c r="C356" s="3492" t="s">
        <v>4974</v>
      </c>
      <c r="D356" s="3493" t="s">
        <v>3928</v>
      </c>
      <c r="E356" s="3493">
        <v>27.63</v>
      </c>
      <c r="F356" s="3492">
        <v>9</v>
      </c>
    </row>
    <row r="357" spans="2:6" ht="18.75" thickBot="1">
      <c r="B357" s="3491">
        <v>353</v>
      </c>
      <c r="C357" s="3492" t="s">
        <v>4974</v>
      </c>
      <c r="D357" s="3493" t="s">
        <v>3929</v>
      </c>
      <c r="E357" s="3493">
        <v>27.63</v>
      </c>
      <c r="F357" s="3492">
        <v>9</v>
      </c>
    </row>
    <row r="358" spans="2:6" ht="18.75" thickBot="1">
      <c r="B358" s="3491">
        <v>354</v>
      </c>
      <c r="C358" s="3492" t="s">
        <v>4974</v>
      </c>
      <c r="D358" s="3493" t="s">
        <v>3930</v>
      </c>
      <c r="E358" s="3493">
        <v>27.63</v>
      </c>
      <c r="F358" s="3492">
        <v>9</v>
      </c>
    </row>
    <row r="359" spans="2:6" ht="18.75" thickBot="1">
      <c r="B359" s="3491">
        <v>355</v>
      </c>
      <c r="C359" s="3492" t="s">
        <v>4974</v>
      </c>
      <c r="D359" s="3493" t="s">
        <v>3931</v>
      </c>
      <c r="E359" s="3493">
        <v>27.63</v>
      </c>
      <c r="F359" s="3492">
        <v>9</v>
      </c>
    </row>
    <row r="360" spans="2:6" ht="18.75" thickBot="1">
      <c r="B360" s="3491">
        <v>356</v>
      </c>
      <c r="C360" s="3492" t="s">
        <v>4974</v>
      </c>
      <c r="D360" s="3493" t="s">
        <v>3932</v>
      </c>
      <c r="E360" s="3493">
        <v>27.63</v>
      </c>
      <c r="F360" s="3492">
        <v>9</v>
      </c>
    </row>
    <row r="361" spans="2:6" ht="18.75" thickBot="1">
      <c r="B361" s="3491">
        <v>357</v>
      </c>
      <c r="C361" s="3492" t="s">
        <v>4974</v>
      </c>
      <c r="D361" s="3493" t="s">
        <v>3933</v>
      </c>
      <c r="E361" s="3493">
        <v>27.63</v>
      </c>
      <c r="F361" s="3492">
        <v>9</v>
      </c>
    </row>
    <row r="362" spans="2:6" ht="18.75" thickBot="1">
      <c r="B362" s="3491">
        <v>358</v>
      </c>
      <c r="C362" s="3492" t="s">
        <v>4974</v>
      </c>
      <c r="D362" s="3493" t="s">
        <v>3934</v>
      </c>
      <c r="E362" s="3493">
        <v>27.63</v>
      </c>
      <c r="F362" s="3492">
        <v>9</v>
      </c>
    </row>
    <row r="363" spans="2:6" ht="18.75" thickBot="1">
      <c r="B363" s="3491">
        <v>359</v>
      </c>
      <c r="C363" s="3492" t="s">
        <v>4974</v>
      </c>
      <c r="D363" s="3493" t="s">
        <v>3935</v>
      </c>
      <c r="E363" s="3493">
        <v>27.63</v>
      </c>
      <c r="F363" s="3492">
        <v>9</v>
      </c>
    </row>
    <row r="364" spans="2:6" ht="18.75" thickBot="1">
      <c r="B364" s="3491">
        <v>360</v>
      </c>
      <c r="C364" s="3492" t="s">
        <v>4974</v>
      </c>
      <c r="D364" s="3493" t="s">
        <v>3936</v>
      </c>
      <c r="E364" s="3493">
        <v>27.63</v>
      </c>
      <c r="F364" s="3492">
        <v>9</v>
      </c>
    </row>
    <row r="365" spans="2:6" ht="18.75" thickBot="1">
      <c r="B365" s="3491">
        <v>361</v>
      </c>
      <c r="C365" s="3492" t="s">
        <v>4974</v>
      </c>
      <c r="D365" s="3493" t="s">
        <v>3937</v>
      </c>
      <c r="E365" s="3493">
        <v>27.63</v>
      </c>
      <c r="F365" s="3492">
        <v>9</v>
      </c>
    </row>
    <row r="366" spans="2:6" ht="18.75" thickBot="1">
      <c r="B366" s="3491">
        <v>362</v>
      </c>
      <c r="C366" s="3492" t="s">
        <v>4974</v>
      </c>
      <c r="D366" s="3493" t="s">
        <v>3938</v>
      </c>
      <c r="E366" s="3493">
        <v>27.63</v>
      </c>
      <c r="F366" s="3492">
        <v>9</v>
      </c>
    </row>
    <row r="367" spans="2:6" ht="18.75" thickBot="1">
      <c r="B367" s="3491">
        <v>363</v>
      </c>
      <c r="C367" s="3492" t="s">
        <v>4974</v>
      </c>
      <c r="D367" s="3493" t="s">
        <v>3939</v>
      </c>
      <c r="E367" s="3493">
        <v>27.63</v>
      </c>
      <c r="F367" s="3492">
        <v>9</v>
      </c>
    </row>
    <row r="368" spans="2:6" ht="18.75" thickBot="1">
      <c r="B368" s="3491">
        <v>364</v>
      </c>
      <c r="C368" s="3492" t="s">
        <v>4974</v>
      </c>
      <c r="D368" s="3493" t="s">
        <v>3940</v>
      </c>
      <c r="E368" s="3493">
        <v>27.63</v>
      </c>
      <c r="F368" s="3492">
        <v>9</v>
      </c>
    </row>
    <row r="369" spans="2:6" ht="18.75" thickBot="1">
      <c r="B369" s="3491">
        <v>365</v>
      </c>
      <c r="C369" s="3492" t="s">
        <v>4974</v>
      </c>
      <c r="D369" s="3493" t="s">
        <v>3941</v>
      </c>
      <c r="E369" s="3493">
        <v>27.63</v>
      </c>
      <c r="F369" s="3492">
        <v>9</v>
      </c>
    </row>
    <row r="370" spans="2:6" ht="18.75" thickBot="1">
      <c r="B370" s="3491">
        <v>366</v>
      </c>
      <c r="C370" s="3492" t="s">
        <v>4974</v>
      </c>
      <c r="D370" s="3493" t="s">
        <v>3942</v>
      </c>
      <c r="E370" s="3493">
        <v>27.63</v>
      </c>
      <c r="F370" s="3492">
        <v>9</v>
      </c>
    </row>
    <row r="371" spans="2:6" ht="18.75" thickBot="1">
      <c r="B371" s="3491">
        <v>367</v>
      </c>
      <c r="C371" s="3492" t="s">
        <v>4974</v>
      </c>
      <c r="D371" s="3493" t="s">
        <v>3943</v>
      </c>
      <c r="E371" s="3493">
        <v>27.63</v>
      </c>
      <c r="F371" s="3492">
        <v>9</v>
      </c>
    </row>
    <row r="372" spans="2:6" ht="18.75" thickBot="1">
      <c r="B372" s="3491">
        <v>368</v>
      </c>
      <c r="C372" s="3492" t="s">
        <v>4974</v>
      </c>
      <c r="D372" s="3493" t="s">
        <v>3944</v>
      </c>
      <c r="E372" s="3493">
        <v>27.63</v>
      </c>
      <c r="F372" s="3492">
        <v>9</v>
      </c>
    </row>
    <row r="373" spans="2:6" ht="18.75" thickBot="1">
      <c r="B373" s="3491">
        <v>369</v>
      </c>
      <c r="C373" s="3492" t="s">
        <v>4974</v>
      </c>
      <c r="D373" s="3493" t="s">
        <v>3945</v>
      </c>
      <c r="E373" s="3493">
        <v>27.63</v>
      </c>
      <c r="F373" s="3492">
        <v>9</v>
      </c>
    </row>
    <row r="374" spans="2:6" ht="18.75" thickBot="1">
      <c r="B374" s="3491">
        <v>370</v>
      </c>
      <c r="C374" s="3492" t="s">
        <v>4974</v>
      </c>
      <c r="D374" s="3493" t="s">
        <v>3946</v>
      </c>
      <c r="E374" s="3493">
        <v>27.63</v>
      </c>
      <c r="F374" s="3492">
        <v>9</v>
      </c>
    </row>
    <row r="375" spans="2:6" ht="18.75" thickBot="1">
      <c r="B375" s="3491">
        <v>371</v>
      </c>
      <c r="C375" s="3492" t="s">
        <v>4974</v>
      </c>
      <c r="D375" s="3493" t="s">
        <v>3947</v>
      </c>
      <c r="E375" s="3493">
        <v>27.63</v>
      </c>
      <c r="F375" s="3492">
        <v>9</v>
      </c>
    </row>
    <row r="376" spans="2:6" ht="18.75" thickBot="1">
      <c r="B376" s="3491">
        <v>372</v>
      </c>
      <c r="C376" s="3492" t="s">
        <v>4974</v>
      </c>
      <c r="D376" s="3493" t="s">
        <v>3948</v>
      </c>
      <c r="E376" s="3493">
        <v>27.63</v>
      </c>
      <c r="F376" s="3492">
        <v>9</v>
      </c>
    </row>
    <row r="377" spans="2:6" ht="18.75" thickBot="1">
      <c r="B377" s="3491">
        <v>373</v>
      </c>
      <c r="C377" s="3492" t="s">
        <v>4974</v>
      </c>
      <c r="D377" s="3493" t="s">
        <v>3949</v>
      </c>
      <c r="E377" s="3493">
        <v>27.63</v>
      </c>
      <c r="F377" s="3492">
        <v>9</v>
      </c>
    </row>
    <row r="378" spans="2:6" ht="18.75" thickBot="1">
      <c r="B378" s="3491">
        <v>374</v>
      </c>
      <c r="C378" s="3492" t="s">
        <v>4974</v>
      </c>
      <c r="D378" s="3493" t="s">
        <v>3950</v>
      </c>
      <c r="E378" s="3493">
        <v>27.63</v>
      </c>
      <c r="F378" s="3492">
        <v>9</v>
      </c>
    </row>
    <row r="379" spans="2:6" ht="18.75" thickBot="1">
      <c r="B379" s="3491">
        <v>375</v>
      </c>
      <c r="C379" s="3492" t="s">
        <v>4974</v>
      </c>
      <c r="D379" s="3493" t="s">
        <v>3951</v>
      </c>
      <c r="E379" s="3493">
        <v>27.63</v>
      </c>
      <c r="F379" s="3492">
        <v>9</v>
      </c>
    </row>
    <row r="380" spans="2:6" ht="18.75" thickBot="1">
      <c r="B380" s="3491">
        <v>376</v>
      </c>
      <c r="C380" s="3492" t="s">
        <v>4974</v>
      </c>
      <c r="D380" s="3493" t="s">
        <v>3952</v>
      </c>
      <c r="E380" s="3493">
        <v>27.63</v>
      </c>
      <c r="F380" s="3492">
        <v>9</v>
      </c>
    </row>
    <row r="381" spans="2:6" ht="18.75" thickBot="1">
      <c r="B381" s="3491">
        <v>377</v>
      </c>
      <c r="C381" s="3492" t="s">
        <v>4974</v>
      </c>
      <c r="D381" s="3493" t="s">
        <v>3953</v>
      </c>
      <c r="E381" s="3493">
        <v>27.63</v>
      </c>
      <c r="F381" s="3492">
        <v>9</v>
      </c>
    </row>
    <row r="382" spans="2:6" ht="18.75" thickBot="1">
      <c r="B382" s="3491">
        <v>378</v>
      </c>
      <c r="C382" s="3492" t="s">
        <v>4974</v>
      </c>
      <c r="D382" s="3493" t="s">
        <v>3954</v>
      </c>
      <c r="E382" s="3493">
        <v>27.63</v>
      </c>
      <c r="F382" s="3492">
        <v>9</v>
      </c>
    </row>
    <row r="383" spans="2:6" ht="18.75" thickBot="1">
      <c r="B383" s="3491">
        <v>379</v>
      </c>
      <c r="C383" s="3492" t="s">
        <v>4974</v>
      </c>
      <c r="D383" s="3493" t="s">
        <v>3955</v>
      </c>
      <c r="E383" s="3493">
        <v>27.63</v>
      </c>
      <c r="F383" s="3492">
        <v>9</v>
      </c>
    </row>
    <row r="384" spans="2:6" ht="18.75" thickBot="1">
      <c r="B384" s="3491">
        <v>380</v>
      </c>
      <c r="C384" s="3492" t="s">
        <v>4974</v>
      </c>
      <c r="D384" s="3493" t="s">
        <v>3956</v>
      </c>
      <c r="E384" s="3493">
        <v>27.63</v>
      </c>
      <c r="F384" s="3492">
        <v>9</v>
      </c>
    </row>
    <row r="385" spans="2:6" ht="18.75" thickBot="1">
      <c r="B385" s="3491">
        <v>381</v>
      </c>
      <c r="C385" s="3492" t="s">
        <v>4974</v>
      </c>
      <c r="D385" s="3493" t="s">
        <v>3957</v>
      </c>
      <c r="E385" s="3493">
        <v>27.63</v>
      </c>
      <c r="F385" s="3492">
        <v>9</v>
      </c>
    </row>
    <row r="386" spans="2:6" ht="18.75" thickBot="1">
      <c r="B386" s="3491">
        <v>382</v>
      </c>
      <c r="C386" s="3492" t="s">
        <v>4974</v>
      </c>
      <c r="D386" s="3493" t="s">
        <v>3958</v>
      </c>
      <c r="E386" s="3493">
        <v>27.63</v>
      </c>
      <c r="F386" s="3492">
        <v>9</v>
      </c>
    </row>
    <row r="387" spans="2:6" ht="18.75" thickBot="1">
      <c r="B387" s="3491">
        <v>383</v>
      </c>
      <c r="C387" s="3492" t="s">
        <v>4974</v>
      </c>
      <c r="D387" s="3493" t="s">
        <v>3959</v>
      </c>
      <c r="E387" s="3493">
        <v>27.63</v>
      </c>
      <c r="F387" s="3492">
        <v>9</v>
      </c>
    </row>
    <row r="388" spans="2:6" ht="18.75" thickBot="1">
      <c r="B388" s="3491">
        <v>384</v>
      </c>
      <c r="C388" s="3492" t="s">
        <v>4974</v>
      </c>
      <c r="D388" s="3493" t="s">
        <v>3960</v>
      </c>
      <c r="E388" s="3493">
        <v>27.63</v>
      </c>
      <c r="F388" s="3492">
        <v>9</v>
      </c>
    </row>
    <row r="389" spans="2:6" ht="18.75" thickBot="1">
      <c r="B389" s="3491">
        <v>385</v>
      </c>
      <c r="C389" s="3492" t="s">
        <v>4974</v>
      </c>
      <c r="D389" s="3493" t="s">
        <v>3961</v>
      </c>
      <c r="E389" s="3493">
        <v>27.63</v>
      </c>
      <c r="F389" s="3492">
        <v>9</v>
      </c>
    </row>
    <row r="390" spans="2:6" ht="18.75" thickBot="1">
      <c r="B390" s="3491">
        <v>386</v>
      </c>
      <c r="C390" s="3492" t="s">
        <v>4974</v>
      </c>
      <c r="D390" s="3493" t="s">
        <v>3962</v>
      </c>
      <c r="E390" s="3493">
        <v>27.63</v>
      </c>
      <c r="F390" s="3492">
        <v>9</v>
      </c>
    </row>
    <row r="391" spans="2:6" ht="18.75" thickBot="1">
      <c r="B391" s="3491">
        <v>387</v>
      </c>
      <c r="C391" s="3492" t="s">
        <v>4974</v>
      </c>
      <c r="D391" s="3493" t="s">
        <v>3963</v>
      </c>
      <c r="E391" s="3493">
        <v>27.63</v>
      </c>
      <c r="F391" s="3492">
        <v>9</v>
      </c>
    </row>
    <row r="392" spans="2:6" ht="18.75" thickBot="1">
      <c r="B392" s="3491">
        <v>388</v>
      </c>
      <c r="C392" s="3492" t="s">
        <v>4974</v>
      </c>
      <c r="D392" s="3493" t="s">
        <v>3964</v>
      </c>
      <c r="E392" s="3493">
        <v>27.63</v>
      </c>
      <c r="F392" s="3492">
        <v>9</v>
      </c>
    </row>
    <row r="393" spans="2:6" ht="18.75" thickBot="1">
      <c r="B393" s="3491">
        <v>389</v>
      </c>
      <c r="C393" s="3492" t="s">
        <v>4974</v>
      </c>
      <c r="D393" s="3493" t="s">
        <v>3965</v>
      </c>
      <c r="E393" s="3493">
        <v>27.63</v>
      </c>
      <c r="F393" s="3492">
        <v>9</v>
      </c>
    </row>
    <row r="394" spans="2:6" ht="18.75" thickBot="1">
      <c r="B394" s="3491">
        <v>390</v>
      </c>
      <c r="C394" s="3492" t="s">
        <v>4974</v>
      </c>
      <c r="D394" s="3493" t="s">
        <v>3966</v>
      </c>
      <c r="E394" s="3493">
        <v>27.63</v>
      </c>
      <c r="F394" s="3492">
        <v>9</v>
      </c>
    </row>
    <row r="395" spans="2:6" ht="18.75" thickBot="1">
      <c r="B395" s="3491">
        <v>391</v>
      </c>
      <c r="C395" s="3492" t="s">
        <v>4974</v>
      </c>
      <c r="D395" s="3493" t="s">
        <v>3967</v>
      </c>
      <c r="E395" s="3493">
        <v>27.63</v>
      </c>
      <c r="F395" s="3492">
        <v>9</v>
      </c>
    </row>
    <row r="396" spans="2:6" ht="18.75" thickBot="1">
      <c r="B396" s="3491">
        <v>392</v>
      </c>
      <c r="C396" s="3492" t="s">
        <v>4974</v>
      </c>
      <c r="D396" s="3493" t="s">
        <v>3968</v>
      </c>
      <c r="E396" s="3493">
        <v>27.63</v>
      </c>
      <c r="F396" s="3492">
        <v>9</v>
      </c>
    </row>
    <row r="397" spans="2:6" ht="18.75" thickBot="1">
      <c r="B397" s="3491">
        <v>393</v>
      </c>
      <c r="C397" s="3492" t="s">
        <v>4974</v>
      </c>
      <c r="D397" s="3493" t="s">
        <v>3969</v>
      </c>
      <c r="E397" s="3493">
        <v>27.63</v>
      </c>
      <c r="F397" s="3492">
        <v>9</v>
      </c>
    </row>
    <row r="398" spans="2:6" ht="18.75" thickBot="1">
      <c r="B398" s="3491">
        <v>394</v>
      </c>
      <c r="C398" s="3492" t="s">
        <v>4974</v>
      </c>
      <c r="D398" s="3493" t="s">
        <v>3970</v>
      </c>
      <c r="E398" s="3493">
        <v>27.63</v>
      </c>
      <c r="F398" s="3492">
        <v>9</v>
      </c>
    </row>
    <row r="399" spans="2:6" ht="18.75" thickBot="1">
      <c r="B399" s="3491">
        <v>395</v>
      </c>
      <c r="C399" s="3492" t="s">
        <v>4974</v>
      </c>
      <c r="D399" s="3493" t="s">
        <v>3971</v>
      </c>
      <c r="E399" s="3493">
        <v>27.63</v>
      </c>
      <c r="F399" s="3492">
        <v>9</v>
      </c>
    </row>
    <row r="400" spans="2:6" ht="18.75" thickBot="1">
      <c r="B400" s="3491">
        <v>396</v>
      </c>
      <c r="C400" s="3492" t="s">
        <v>4974</v>
      </c>
      <c r="D400" s="3493" t="s">
        <v>3972</v>
      </c>
      <c r="E400" s="3493">
        <v>27.63</v>
      </c>
      <c r="F400" s="3492">
        <v>9</v>
      </c>
    </row>
    <row r="401" spans="2:6" ht="18.75" thickBot="1">
      <c r="B401" s="3491">
        <v>397</v>
      </c>
      <c r="C401" s="3492" t="s">
        <v>4974</v>
      </c>
      <c r="D401" s="3493" t="s">
        <v>3973</v>
      </c>
      <c r="E401" s="3493">
        <v>27.63</v>
      </c>
      <c r="F401" s="3492">
        <v>9</v>
      </c>
    </row>
    <row r="402" spans="2:6" ht="18.75" thickBot="1">
      <c r="B402" s="3491">
        <v>398</v>
      </c>
      <c r="C402" s="3492" t="s">
        <v>4974</v>
      </c>
      <c r="D402" s="3493" t="s">
        <v>3974</v>
      </c>
      <c r="E402" s="3493">
        <v>27.63</v>
      </c>
      <c r="F402" s="3492">
        <v>9</v>
      </c>
    </row>
    <row r="403" spans="2:6" ht="18.75" thickBot="1">
      <c r="B403" s="3491">
        <v>399</v>
      </c>
      <c r="C403" s="3492" t="s">
        <v>4974</v>
      </c>
      <c r="D403" s="3493" t="s">
        <v>3975</v>
      </c>
      <c r="E403" s="3493">
        <v>27.63</v>
      </c>
      <c r="F403" s="3492">
        <v>9</v>
      </c>
    </row>
    <row r="404" spans="2:6" ht="18.75" thickBot="1">
      <c r="B404" s="3491">
        <v>400</v>
      </c>
      <c r="C404" s="3492" t="s">
        <v>4974</v>
      </c>
      <c r="D404" s="3493" t="s">
        <v>3976</v>
      </c>
      <c r="E404" s="3493">
        <v>27.63</v>
      </c>
      <c r="F404" s="3492">
        <v>9</v>
      </c>
    </row>
    <row r="405" spans="2:6" ht="18.75" thickBot="1">
      <c r="B405" s="3491">
        <v>401</v>
      </c>
      <c r="C405" s="3492" t="s">
        <v>4974</v>
      </c>
      <c r="D405" s="3493" t="s">
        <v>3977</v>
      </c>
      <c r="E405" s="3493">
        <v>27.63</v>
      </c>
      <c r="F405" s="3492">
        <v>9</v>
      </c>
    </row>
    <row r="406" spans="2:6" ht="18.75" thickBot="1">
      <c r="B406" s="3491">
        <v>402</v>
      </c>
      <c r="C406" s="3492" t="s">
        <v>4974</v>
      </c>
      <c r="D406" s="3493" t="s">
        <v>3978</v>
      </c>
      <c r="E406" s="3493">
        <v>27.63</v>
      </c>
      <c r="F406" s="3492">
        <v>9</v>
      </c>
    </row>
    <row r="407" spans="2:6" ht="18.75" thickBot="1">
      <c r="B407" s="3491">
        <v>403</v>
      </c>
      <c r="C407" s="3492" t="s">
        <v>4974</v>
      </c>
      <c r="D407" s="3493" t="s">
        <v>3979</v>
      </c>
      <c r="E407" s="3493">
        <v>27.63</v>
      </c>
      <c r="F407" s="3492">
        <v>9</v>
      </c>
    </row>
    <row r="408" spans="2:6" ht="18.75" thickBot="1">
      <c r="B408" s="3491">
        <v>404</v>
      </c>
      <c r="C408" s="3492" t="s">
        <v>4974</v>
      </c>
      <c r="D408" s="3493" t="s">
        <v>3980</v>
      </c>
      <c r="E408" s="3493">
        <v>27.63</v>
      </c>
      <c r="F408" s="3492">
        <v>9</v>
      </c>
    </row>
    <row r="409" spans="2:6" ht="18.75" thickBot="1">
      <c r="B409" s="3491">
        <v>405</v>
      </c>
      <c r="C409" s="3492" t="s">
        <v>4974</v>
      </c>
      <c r="D409" s="3493" t="s">
        <v>3981</v>
      </c>
      <c r="E409" s="3493">
        <v>27.63</v>
      </c>
      <c r="F409" s="3492">
        <v>9</v>
      </c>
    </row>
    <row r="410" spans="2:6" ht="18.75" thickBot="1">
      <c r="B410" s="3491">
        <v>406</v>
      </c>
      <c r="C410" s="3492" t="s">
        <v>4974</v>
      </c>
      <c r="D410" s="3493" t="s">
        <v>3982</v>
      </c>
      <c r="E410" s="3493">
        <v>27.63</v>
      </c>
      <c r="F410" s="3492">
        <v>9</v>
      </c>
    </row>
    <row r="411" spans="2:6" ht="18.75" thickBot="1">
      <c r="B411" s="3491">
        <v>407</v>
      </c>
      <c r="C411" s="3492" t="s">
        <v>4974</v>
      </c>
      <c r="D411" s="3493" t="s">
        <v>3983</v>
      </c>
      <c r="E411" s="3493">
        <v>27.63</v>
      </c>
      <c r="F411" s="3492">
        <v>9</v>
      </c>
    </row>
    <row r="412" spans="2:6" ht="18.75" thickBot="1">
      <c r="B412" s="3491">
        <v>408</v>
      </c>
      <c r="C412" s="3492" t="s">
        <v>4974</v>
      </c>
      <c r="D412" s="3493" t="s">
        <v>3984</v>
      </c>
      <c r="E412" s="3493">
        <v>27.63</v>
      </c>
      <c r="F412" s="3492">
        <v>9</v>
      </c>
    </row>
    <row r="413" spans="2:6" ht="18.75" thickBot="1">
      <c r="B413" s="3491">
        <v>409</v>
      </c>
      <c r="C413" s="3492" t="s">
        <v>4974</v>
      </c>
      <c r="D413" s="3493" t="s">
        <v>3985</v>
      </c>
      <c r="E413" s="3493">
        <v>27.63</v>
      </c>
      <c r="F413" s="3492">
        <v>9</v>
      </c>
    </row>
    <row r="414" spans="2:6" ht="18.75" thickBot="1">
      <c r="B414" s="3491">
        <v>410</v>
      </c>
      <c r="C414" s="3492" t="s">
        <v>4974</v>
      </c>
      <c r="D414" s="3493" t="s">
        <v>3986</v>
      </c>
      <c r="E414" s="3493">
        <v>27.63</v>
      </c>
      <c r="F414" s="3492">
        <v>9</v>
      </c>
    </row>
    <row r="415" spans="2:6" ht="18.75" thickBot="1">
      <c r="B415" s="3491">
        <v>411</v>
      </c>
      <c r="C415" s="3492" t="s">
        <v>4974</v>
      </c>
      <c r="D415" s="3493" t="s">
        <v>3987</v>
      </c>
      <c r="E415" s="3493">
        <v>27.63</v>
      </c>
      <c r="F415" s="3492">
        <v>9</v>
      </c>
    </row>
    <row r="416" spans="2:6" ht="18.75" thickBot="1">
      <c r="B416" s="3491">
        <v>412</v>
      </c>
      <c r="C416" s="3492" t="s">
        <v>4974</v>
      </c>
      <c r="D416" s="3493" t="s">
        <v>3988</v>
      </c>
      <c r="E416" s="3493">
        <v>27.63</v>
      </c>
      <c r="F416" s="3492">
        <v>9</v>
      </c>
    </row>
    <row r="417" spans="2:6" ht="18.75" thickBot="1">
      <c r="B417" s="3491">
        <v>413</v>
      </c>
      <c r="C417" s="3492" t="s">
        <v>4974</v>
      </c>
      <c r="D417" s="3493" t="s">
        <v>3989</v>
      </c>
      <c r="E417" s="3493">
        <v>27.63</v>
      </c>
      <c r="F417" s="3492">
        <v>9</v>
      </c>
    </row>
    <row r="418" spans="2:6" ht="18.75" thickBot="1">
      <c r="B418" s="3491">
        <v>414</v>
      </c>
      <c r="C418" s="3492" t="s">
        <v>4974</v>
      </c>
      <c r="D418" s="3493" t="s">
        <v>3990</v>
      </c>
      <c r="E418" s="3493">
        <v>27.63</v>
      </c>
      <c r="F418" s="3492">
        <v>9</v>
      </c>
    </row>
    <row r="419" spans="2:6" ht="18.75" thickBot="1">
      <c r="B419" s="3491">
        <v>415</v>
      </c>
      <c r="C419" s="3492" t="s">
        <v>4974</v>
      </c>
      <c r="D419" s="3493" t="s">
        <v>3991</v>
      </c>
      <c r="E419" s="3493">
        <v>27.63</v>
      </c>
      <c r="F419" s="3492">
        <v>9</v>
      </c>
    </row>
    <row r="420" spans="2:6" ht="18.75" thickBot="1">
      <c r="B420" s="3491">
        <v>416</v>
      </c>
      <c r="C420" s="3492" t="s">
        <v>4974</v>
      </c>
      <c r="D420" s="3493" t="s">
        <v>3992</v>
      </c>
      <c r="E420" s="3493">
        <v>27.63</v>
      </c>
      <c r="F420" s="3492">
        <v>9</v>
      </c>
    </row>
    <row r="421" spans="2:6" ht="18.75" thickBot="1">
      <c r="B421" s="3491">
        <v>417</v>
      </c>
      <c r="C421" s="3492" t="s">
        <v>4974</v>
      </c>
      <c r="D421" s="3493" t="s">
        <v>3993</v>
      </c>
      <c r="E421" s="3493">
        <v>27.63</v>
      </c>
      <c r="F421" s="3492">
        <v>9</v>
      </c>
    </row>
    <row r="422" spans="2:6" ht="18.75" thickBot="1">
      <c r="B422" s="3491">
        <v>418</v>
      </c>
      <c r="C422" s="3492" t="s">
        <v>4974</v>
      </c>
      <c r="D422" s="3493" t="s">
        <v>3994</v>
      </c>
      <c r="E422" s="3493">
        <v>27.63</v>
      </c>
      <c r="F422" s="3492">
        <v>9</v>
      </c>
    </row>
    <row r="423" spans="2:6" ht="18.75" thickBot="1">
      <c r="B423" s="3491">
        <v>419</v>
      </c>
      <c r="C423" s="3492" t="s">
        <v>4974</v>
      </c>
      <c r="D423" s="3493" t="s">
        <v>3995</v>
      </c>
      <c r="E423" s="3493">
        <v>27.63</v>
      </c>
      <c r="F423" s="3492">
        <v>9</v>
      </c>
    </row>
    <row r="424" spans="2:6" ht="18.75" thickBot="1">
      <c r="B424" s="3491">
        <v>420</v>
      </c>
      <c r="C424" s="3492" t="s">
        <v>4974</v>
      </c>
      <c r="D424" s="3493" t="s">
        <v>3996</v>
      </c>
      <c r="E424" s="3493">
        <v>27.63</v>
      </c>
      <c r="F424" s="3492">
        <v>9</v>
      </c>
    </row>
    <row r="425" spans="2:6" ht="18.75" thickBot="1">
      <c r="B425" s="3491">
        <v>421</v>
      </c>
      <c r="C425" s="3492" t="s">
        <v>4974</v>
      </c>
      <c r="D425" s="3493" t="s">
        <v>3997</v>
      </c>
      <c r="E425" s="3493">
        <v>27.63</v>
      </c>
      <c r="F425" s="3492">
        <v>9</v>
      </c>
    </row>
    <row r="426" spans="2:6" ht="18.75" thickBot="1">
      <c r="B426" s="3491">
        <v>422</v>
      </c>
      <c r="C426" s="3492" t="s">
        <v>4974</v>
      </c>
      <c r="D426" s="3493" t="s">
        <v>3998</v>
      </c>
      <c r="E426" s="3493">
        <v>27.63</v>
      </c>
      <c r="F426" s="3492">
        <v>9</v>
      </c>
    </row>
    <row r="427" spans="2:6" ht="18.75" thickBot="1">
      <c r="B427" s="3491">
        <v>423</v>
      </c>
      <c r="C427" s="3492" t="s">
        <v>4974</v>
      </c>
      <c r="D427" s="3493" t="s">
        <v>3999</v>
      </c>
      <c r="E427" s="3493">
        <v>27.63</v>
      </c>
      <c r="F427" s="3492">
        <v>9</v>
      </c>
    </row>
    <row r="428" spans="2:6" ht="18.75" thickBot="1">
      <c r="B428" s="3491">
        <v>424</v>
      </c>
      <c r="C428" s="3492" t="s">
        <v>4974</v>
      </c>
      <c r="D428" s="3493" t="s">
        <v>4000</v>
      </c>
      <c r="E428" s="3493">
        <v>27.63</v>
      </c>
      <c r="F428" s="3492">
        <v>9</v>
      </c>
    </row>
    <row r="429" spans="2:6" ht="18.75" thickBot="1">
      <c r="B429" s="3491">
        <v>425</v>
      </c>
      <c r="C429" s="3492" t="s">
        <v>4974</v>
      </c>
      <c r="D429" s="3493" t="s">
        <v>4001</v>
      </c>
      <c r="E429" s="3493">
        <v>27.63</v>
      </c>
      <c r="F429" s="3492">
        <v>9</v>
      </c>
    </row>
    <row r="430" spans="2:6" ht="18.75" thickBot="1">
      <c r="B430" s="3491">
        <v>426</v>
      </c>
      <c r="C430" s="3492" t="s">
        <v>4974</v>
      </c>
      <c r="D430" s="3493" t="s">
        <v>4002</v>
      </c>
      <c r="E430" s="3493">
        <v>27.63</v>
      </c>
      <c r="F430" s="3492">
        <v>9</v>
      </c>
    </row>
    <row r="431" spans="2:6" ht="18.75" thickBot="1">
      <c r="B431" s="3491">
        <v>427</v>
      </c>
      <c r="C431" s="3492" t="s">
        <v>4974</v>
      </c>
      <c r="D431" s="3493" t="s">
        <v>4003</v>
      </c>
      <c r="E431" s="3493">
        <v>27.63</v>
      </c>
      <c r="F431" s="3492">
        <v>9</v>
      </c>
    </row>
    <row r="432" spans="2:6" ht="18.75" thickBot="1">
      <c r="B432" s="3491">
        <v>428</v>
      </c>
      <c r="C432" s="3492" t="s">
        <v>4974</v>
      </c>
      <c r="D432" s="3493" t="s">
        <v>4004</v>
      </c>
      <c r="E432" s="3493">
        <v>27.63</v>
      </c>
      <c r="F432" s="3492">
        <v>9</v>
      </c>
    </row>
    <row r="433" spans="2:6" ht="18.75" thickBot="1">
      <c r="B433" s="3491">
        <v>429</v>
      </c>
      <c r="C433" s="3492" t="s">
        <v>4974</v>
      </c>
      <c r="D433" s="3493" t="s">
        <v>4005</v>
      </c>
      <c r="E433" s="3493">
        <v>27.63</v>
      </c>
      <c r="F433" s="3492">
        <v>9</v>
      </c>
    </row>
    <row r="434" spans="2:6" ht="18.75" thickBot="1">
      <c r="B434" s="3491">
        <v>430</v>
      </c>
      <c r="C434" s="3492" t="s">
        <v>4974</v>
      </c>
      <c r="D434" s="3493" t="s">
        <v>4006</v>
      </c>
      <c r="E434" s="3493">
        <v>48.22</v>
      </c>
      <c r="F434" s="3492">
        <v>15.7</v>
      </c>
    </row>
    <row r="435" spans="2:6" ht="18.75" thickBot="1">
      <c r="B435" s="3491">
        <v>431</v>
      </c>
      <c r="C435" s="3492" t="s">
        <v>4974</v>
      </c>
      <c r="D435" s="3493" t="s">
        <v>4007</v>
      </c>
      <c r="E435" s="3493">
        <v>27.63</v>
      </c>
      <c r="F435" s="3492">
        <v>9</v>
      </c>
    </row>
    <row r="436" spans="2:6" ht="18.75" thickBot="1">
      <c r="B436" s="3491">
        <v>432</v>
      </c>
      <c r="C436" s="3492" t="s">
        <v>4974</v>
      </c>
      <c r="D436" s="3493" t="s">
        <v>4008</v>
      </c>
      <c r="E436" s="3493">
        <v>27.63</v>
      </c>
      <c r="F436" s="3492">
        <v>9</v>
      </c>
    </row>
    <row r="437" spans="2:6" ht="18.75" thickBot="1">
      <c r="B437" s="3491">
        <v>433</v>
      </c>
      <c r="C437" s="3492" t="s">
        <v>4974</v>
      </c>
      <c r="D437" s="3493" t="s">
        <v>4009</v>
      </c>
      <c r="E437" s="3493">
        <v>27.63</v>
      </c>
      <c r="F437" s="3492">
        <v>9</v>
      </c>
    </row>
    <row r="438" spans="2:6" ht="18.75" thickBot="1">
      <c r="B438" s="3491">
        <v>434</v>
      </c>
      <c r="C438" s="3492" t="s">
        <v>4974</v>
      </c>
      <c r="D438" s="3493" t="s">
        <v>4010</v>
      </c>
      <c r="E438" s="3493">
        <v>27.63</v>
      </c>
      <c r="F438" s="3492">
        <v>9</v>
      </c>
    </row>
    <row r="439" spans="2:6" ht="18.75" thickBot="1">
      <c r="B439" s="3491">
        <v>435</v>
      </c>
      <c r="C439" s="3492" t="s">
        <v>4974</v>
      </c>
      <c r="D439" s="3493" t="s">
        <v>4011</v>
      </c>
      <c r="E439" s="3493">
        <v>27.63</v>
      </c>
      <c r="F439" s="3492">
        <v>9</v>
      </c>
    </row>
    <row r="440" spans="2:6" ht="18.75" thickBot="1">
      <c r="B440" s="3491">
        <v>436</v>
      </c>
      <c r="C440" s="3492" t="s">
        <v>4974</v>
      </c>
      <c r="D440" s="3493" t="s">
        <v>4012</v>
      </c>
      <c r="E440" s="3493">
        <v>27.63</v>
      </c>
      <c r="F440" s="3492">
        <v>9</v>
      </c>
    </row>
    <row r="441" spans="2:6" ht="18.75" thickBot="1">
      <c r="B441" s="3491">
        <v>437</v>
      </c>
      <c r="C441" s="3492" t="s">
        <v>4974</v>
      </c>
      <c r="D441" s="3493" t="s">
        <v>4013</v>
      </c>
      <c r="E441" s="3493">
        <v>27.63</v>
      </c>
      <c r="F441" s="3492">
        <v>9</v>
      </c>
    </row>
    <row r="442" spans="2:6" ht="18.75" thickBot="1">
      <c r="B442" s="3491">
        <v>438</v>
      </c>
      <c r="C442" s="3492" t="s">
        <v>4974</v>
      </c>
      <c r="D442" s="3493" t="s">
        <v>4014</v>
      </c>
      <c r="E442" s="3493">
        <v>27.63</v>
      </c>
      <c r="F442" s="3492">
        <v>9</v>
      </c>
    </row>
    <row r="443" spans="2:6" ht="18.75" thickBot="1">
      <c r="B443" s="3491">
        <v>439</v>
      </c>
      <c r="C443" s="3492" t="s">
        <v>4974</v>
      </c>
      <c r="D443" s="3493" t="s">
        <v>4015</v>
      </c>
      <c r="E443" s="3493">
        <v>27.63</v>
      </c>
      <c r="F443" s="3492">
        <v>9</v>
      </c>
    </row>
    <row r="444" spans="2:6" ht="18.75" thickBot="1">
      <c r="B444" s="3491">
        <v>440</v>
      </c>
      <c r="C444" s="3492" t="s">
        <v>4974</v>
      </c>
      <c r="D444" s="3493" t="s">
        <v>4016</v>
      </c>
      <c r="E444" s="3493">
        <v>27.63</v>
      </c>
      <c r="F444" s="3492">
        <v>9</v>
      </c>
    </row>
    <row r="445" spans="2:6" ht="18.75" thickBot="1">
      <c r="B445" s="3491">
        <v>441</v>
      </c>
      <c r="C445" s="3492" t="s">
        <v>4974</v>
      </c>
      <c r="D445" s="3493" t="s">
        <v>4017</v>
      </c>
      <c r="E445" s="3493">
        <v>27.63</v>
      </c>
      <c r="F445" s="3492">
        <v>9</v>
      </c>
    </row>
    <row r="446" spans="2:6" ht="18.75" thickBot="1">
      <c r="B446" s="3491">
        <v>442</v>
      </c>
      <c r="C446" s="3492" t="s">
        <v>4974</v>
      </c>
      <c r="D446" s="3493" t="s">
        <v>4018</v>
      </c>
      <c r="E446" s="3493">
        <v>27.63</v>
      </c>
      <c r="F446" s="3492">
        <v>9</v>
      </c>
    </row>
    <row r="447" spans="2:6" ht="18.75" thickBot="1">
      <c r="B447" s="3491">
        <v>443</v>
      </c>
      <c r="C447" s="3492" t="s">
        <v>4974</v>
      </c>
      <c r="D447" s="3493" t="s">
        <v>4019</v>
      </c>
      <c r="E447" s="3493">
        <v>27.63</v>
      </c>
      <c r="F447" s="3492">
        <v>9</v>
      </c>
    </row>
    <row r="448" spans="2:6" ht="18.75" thickBot="1">
      <c r="B448" s="3491">
        <v>444</v>
      </c>
      <c r="C448" s="3492" t="s">
        <v>4974</v>
      </c>
      <c r="D448" s="3493" t="s">
        <v>4020</v>
      </c>
      <c r="E448" s="3493">
        <v>27.63</v>
      </c>
      <c r="F448" s="3492">
        <v>9</v>
      </c>
    </row>
    <row r="449" spans="2:6" ht="18.75" thickBot="1">
      <c r="B449" s="3491">
        <v>445</v>
      </c>
      <c r="C449" s="3492" t="s">
        <v>4974</v>
      </c>
      <c r="D449" s="3493" t="s">
        <v>4021</v>
      </c>
      <c r="E449" s="3493">
        <v>27.63</v>
      </c>
      <c r="F449" s="3492">
        <v>9</v>
      </c>
    </row>
    <row r="450" spans="2:6" ht="18.75" thickBot="1">
      <c r="B450" s="3491">
        <v>446</v>
      </c>
      <c r="C450" s="3492" t="s">
        <v>4974</v>
      </c>
      <c r="D450" s="3493" t="s">
        <v>4022</v>
      </c>
      <c r="E450" s="3493">
        <v>27.63</v>
      </c>
      <c r="F450" s="3492">
        <v>9</v>
      </c>
    </row>
    <row r="451" spans="2:6" ht="18.75" thickBot="1">
      <c r="B451" s="3491">
        <v>447</v>
      </c>
      <c r="C451" s="3492" t="s">
        <v>4974</v>
      </c>
      <c r="D451" s="3493" t="s">
        <v>4023</v>
      </c>
      <c r="E451" s="3493">
        <v>27.63</v>
      </c>
      <c r="F451" s="3492">
        <v>9</v>
      </c>
    </row>
    <row r="452" spans="2:6" ht="18.75" thickBot="1">
      <c r="B452" s="3491">
        <v>448</v>
      </c>
      <c r="C452" s="3492" t="s">
        <v>4974</v>
      </c>
      <c r="D452" s="3493" t="s">
        <v>4024</v>
      </c>
      <c r="E452" s="3493">
        <v>27.63</v>
      </c>
      <c r="F452" s="3492">
        <v>9</v>
      </c>
    </row>
    <row r="453" spans="2:6" ht="18.75" thickBot="1">
      <c r="B453" s="3491">
        <v>449</v>
      </c>
      <c r="C453" s="3492" t="s">
        <v>4974</v>
      </c>
      <c r="D453" s="3493" t="s">
        <v>4025</v>
      </c>
      <c r="E453" s="3493">
        <v>27.63</v>
      </c>
      <c r="F453" s="3492">
        <v>9</v>
      </c>
    </row>
    <row r="454" spans="2:6" ht="18.75" thickBot="1">
      <c r="B454" s="3491">
        <v>450</v>
      </c>
      <c r="C454" s="3492" t="s">
        <v>4974</v>
      </c>
      <c r="D454" s="3493" t="s">
        <v>4026</v>
      </c>
      <c r="E454" s="3493">
        <v>27.63</v>
      </c>
      <c r="F454" s="3492">
        <v>9</v>
      </c>
    </row>
    <row r="455" spans="2:6" ht="18.75" thickBot="1">
      <c r="B455" s="3491">
        <v>451</v>
      </c>
      <c r="C455" s="3492" t="s">
        <v>4974</v>
      </c>
      <c r="D455" s="3493" t="s">
        <v>4027</v>
      </c>
      <c r="E455" s="3493">
        <v>27.63</v>
      </c>
      <c r="F455" s="3492">
        <v>9</v>
      </c>
    </row>
    <row r="456" spans="2:6" ht="18.75" thickBot="1">
      <c r="B456" s="3491">
        <v>452</v>
      </c>
      <c r="C456" s="3492" t="s">
        <v>4974</v>
      </c>
      <c r="D456" s="3493" t="s">
        <v>4028</v>
      </c>
      <c r="E456" s="3493">
        <v>27.63</v>
      </c>
      <c r="F456" s="3492">
        <v>9</v>
      </c>
    </row>
    <row r="457" spans="2:6" ht="18.75" thickBot="1">
      <c r="B457" s="3491">
        <v>453</v>
      </c>
      <c r="C457" s="3492" t="s">
        <v>4974</v>
      </c>
      <c r="D457" s="3493" t="s">
        <v>4029</v>
      </c>
      <c r="E457" s="3493">
        <v>27.63</v>
      </c>
      <c r="F457" s="3492">
        <v>9</v>
      </c>
    </row>
    <row r="458" spans="2:6" ht="18.75" thickBot="1">
      <c r="B458" s="3491">
        <v>454</v>
      </c>
      <c r="C458" s="3492" t="s">
        <v>4974</v>
      </c>
      <c r="D458" s="3493" t="s">
        <v>4030</v>
      </c>
      <c r="E458" s="3493">
        <v>27.63</v>
      </c>
      <c r="F458" s="3492">
        <v>9</v>
      </c>
    </row>
    <row r="459" spans="2:6" ht="18.75" thickBot="1">
      <c r="B459" s="3491">
        <v>455</v>
      </c>
      <c r="C459" s="3492" t="s">
        <v>4974</v>
      </c>
      <c r="D459" s="3493" t="s">
        <v>4031</v>
      </c>
      <c r="E459" s="3493">
        <v>27.63</v>
      </c>
      <c r="F459" s="3492">
        <v>9</v>
      </c>
    </row>
    <row r="460" spans="2:6" ht="18.75" thickBot="1">
      <c r="B460" s="3491">
        <v>456</v>
      </c>
      <c r="C460" s="3492" t="s">
        <v>4974</v>
      </c>
      <c r="D460" s="3493" t="s">
        <v>4032</v>
      </c>
      <c r="E460" s="3493">
        <v>27.63</v>
      </c>
      <c r="F460" s="3492">
        <v>9</v>
      </c>
    </row>
    <row r="461" spans="2:6" ht="18.75" thickBot="1">
      <c r="B461" s="3491">
        <v>457</v>
      </c>
      <c r="C461" s="3492" t="s">
        <v>4974</v>
      </c>
      <c r="D461" s="3493" t="s">
        <v>4033</v>
      </c>
      <c r="E461" s="3493">
        <v>27.63</v>
      </c>
      <c r="F461" s="3492">
        <v>9</v>
      </c>
    </row>
    <row r="462" spans="2:6" ht="18.75" thickBot="1">
      <c r="B462" s="3491">
        <v>458</v>
      </c>
      <c r="C462" s="3492" t="s">
        <v>4974</v>
      </c>
      <c r="D462" s="3493" t="s">
        <v>4034</v>
      </c>
      <c r="E462" s="3493">
        <v>27.63</v>
      </c>
      <c r="F462" s="3492">
        <v>9</v>
      </c>
    </row>
    <row r="463" spans="2:6" ht="18.75" thickBot="1">
      <c r="B463" s="3491">
        <v>459</v>
      </c>
      <c r="C463" s="3492" t="s">
        <v>4974</v>
      </c>
      <c r="D463" s="3493" t="s">
        <v>4035</v>
      </c>
      <c r="E463" s="3493">
        <v>27.63</v>
      </c>
      <c r="F463" s="3492">
        <v>9</v>
      </c>
    </row>
    <row r="464" spans="2:6" ht="18.75" thickBot="1">
      <c r="B464" s="3491">
        <v>460</v>
      </c>
      <c r="C464" s="3492" t="s">
        <v>4974</v>
      </c>
      <c r="D464" s="3493" t="s">
        <v>4036</v>
      </c>
      <c r="E464" s="3493">
        <v>27.63</v>
      </c>
      <c r="F464" s="3492">
        <v>9</v>
      </c>
    </row>
    <row r="465" spans="2:6" ht="18.75" thickBot="1">
      <c r="B465" s="3491">
        <v>461</v>
      </c>
      <c r="C465" s="3492" t="s">
        <v>4974</v>
      </c>
      <c r="D465" s="3493" t="s">
        <v>4037</v>
      </c>
      <c r="E465" s="3493">
        <v>27.63</v>
      </c>
      <c r="F465" s="3492">
        <v>9</v>
      </c>
    </row>
    <row r="466" spans="2:6" ht="18.75" thickBot="1">
      <c r="B466" s="3491">
        <v>462</v>
      </c>
      <c r="C466" s="3492" t="s">
        <v>4974</v>
      </c>
      <c r="D466" s="3493" t="s">
        <v>4038</v>
      </c>
      <c r="E466" s="3493">
        <v>27.63</v>
      </c>
      <c r="F466" s="3492">
        <v>9</v>
      </c>
    </row>
    <row r="467" spans="2:6" ht="18.75" thickBot="1">
      <c r="B467" s="3491">
        <v>463</v>
      </c>
      <c r="C467" s="3492" t="s">
        <v>4974</v>
      </c>
      <c r="D467" s="3493" t="s">
        <v>4039</v>
      </c>
      <c r="E467" s="3493">
        <v>27.63</v>
      </c>
      <c r="F467" s="3492">
        <v>9</v>
      </c>
    </row>
    <row r="468" spans="2:6" ht="18.75" thickBot="1">
      <c r="B468" s="3491">
        <v>464</v>
      </c>
      <c r="C468" s="3492" t="s">
        <v>4974</v>
      </c>
      <c r="D468" s="3493" t="s">
        <v>4040</v>
      </c>
      <c r="E468" s="3493">
        <v>27.63</v>
      </c>
      <c r="F468" s="3492">
        <v>9</v>
      </c>
    </row>
    <row r="469" spans="2:6" ht="18.75" thickBot="1">
      <c r="B469" s="3491">
        <v>465</v>
      </c>
      <c r="C469" s="3492" t="s">
        <v>4974</v>
      </c>
      <c r="D469" s="3493" t="s">
        <v>4041</v>
      </c>
      <c r="E469" s="3493">
        <v>27.63</v>
      </c>
      <c r="F469" s="3492">
        <v>9</v>
      </c>
    </row>
    <row r="470" spans="2:6" ht="18.75" thickBot="1">
      <c r="B470" s="3491">
        <v>466</v>
      </c>
      <c r="C470" s="3492" t="s">
        <v>4974</v>
      </c>
      <c r="D470" s="3493" t="s">
        <v>4042</v>
      </c>
      <c r="E470" s="3493">
        <v>27.63</v>
      </c>
      <c r="F470" s="3492">
        <v>9</v>
      </c>
    </row>
    <row r="471" spans="2:6" ht="18.75" thickBot="1">
      <c r="B471" s="3491">
        <v>467</v>
      </c>
      <c r="C471" s="3492" t="s">
        <v>4974</v>
      </c>
      <c r="D471" s="3493" t="s">
        <v>4043</v>
      </c>
      <c r="E471" s="3493">
        <v>27.63</v>
      </c>
      <c r="F471" s="3492">
        <v>9</v>
      </c>
    </row>
    <row r="472" spans="2:6" ht="18.75" thickBot="1">
      <c r="B472" s="3491">
        <v>468</v>
      </c>
      <c r="C472" s="3492" t="s">
        <v>4974</v>
      </c>
      <c r="D472" s="3493" t="s">
        <v>4044</v>
      </c>
      <c r="E472" s="3493">
        <v>27.63</v>
      </c>
      <c r="F472" s="3492">
        <v>9</v>
      </c>
    </row>
    <row r="473" spans="2:6" ht="18.75" thickBot="1">
      <c r="B473" s="3491">
        <v>469</v>
      </c>
      <c r="C473" s="3492" t="s">
        <v>4974</v>
      </c>
      <c r="D473" s="3493" t="s">
        <v>4045</v>
      </c>
      <c r="E473" s="3493">
        <v>27.63</v>
      </c>
      <c r="F473" s="3492">
        <v>9</v>
      </c>
    </row>
    <row r="474" spans="2:6" ht="18.75" thickBot="1">
      <c r="B474" s="3491">
        <v>470</v>
      </c>
      <c r="C474" s="3492" t="s">
        <v>4974</v>
      </c>
      <c r="D474" s="3493" t="s">
        <v>4046</v>
      </c>
      <c r="E474" s="3493">
        <v>27.63</v>
      </c>
      <c r="F474" s="3492">
        <v>9</v>
      </c>
    </row>
    <row r="475" spans="2:6" ht="18.75" thickBot="1">
      <c r="B475" s="3491">
        <v>471</v>
      </c>
      <c r="C475" s="3492" t="s">
        <v>4974</v>
      </c>
      <c r="D475" s="3493" t="s">
        <v>4047</v>
      </c>
      <c r="E475" s="3493">
        <v>27.63</v>
      </c>
      <c r="F475" s="3492">
        <v>9</v>
      </c>
    </row>
    <row r="476" spans="2:6" ht="18.75" thickBot="1">
      <c r="B476" s="3491">
        <v>472</v>
      </c>
      <c r="C476" s="3492" t="s">
        <v>4974</v>
      </c>
      <c r="D476" s="3493" t="s">
        <v>4048</v>
      </c>
      <c r="E476" s="3493">
        <v>27.63</v>
      </c>
      <c r="F476" s="3492">
        <v>9</v>
      </c>
    </row>
    <row r="477" spans="2:6" ht="18.75" thickBot="1">
      <c r="B477" s="3491">
        <v>473</v>
      </c>
      <c r="C477" s="3492" t="s">
        <v>4974</v>
      </c>
      <c r="D477" s="3493" t="s">
        <v>4049</v>
      </c>
      <c r="E477" s="3493">
        <v>27.63</v>
      </c>
      <c r="F477" s="3492">
        <v>9</v>
      </c>
    </row>
    <row r="478" spans="2:6" ht="18.75" thickBot="1">
      <c r="B478" s="3491">
        <v>474</v>
      </c>
      <c r="C478" s="3492" t="s">
        <v>4974</v>
      </c>
      <c r="D478" s="3493" t="s">
        <v>4050</v>
      </c>
      <c r="E478" s="3493">
        <v>27.63</v>
      </c>
      <c r="F478" s="3492">
        <v>9</v>
      </c>
    </row>
    <row r="479" spans="2:6" ht="18.75" thickBot="1">
      <c r="B479" s="3491">
        <v>475</v>
      </c>
      <c r="C479" s="3492" t="s">
        <v>4974</v>
      </c>
      <c r="D479" s="3493" t="s">
        <v>4051</v>
      </c>
      <c r="E479" s="3493">
        <v>27.63</v>
      </c>
      <c r="F479" s="3492">
        <v>9</v>
      </c>
    </row>
    <row r="480" spans="2:6" ht="18.75" thickBot="1">
      <c r="B480" s="3491">
        <v>476</v>
      </c>
      <c r="C480" s="3492" t="s">
        <v>4974</v>
      </c>
      <c r="D480" s="3493" t="s">
        <v>4052</v>
      </c>
      <c r="E480" s="3493">
        <v>27.63</v>
      </c>
      <c r="F480" s="3492">
        <v>9</v>
      </c>
    </row>
    <row r="481" spans="2:6" ht="18.75" thickBot="1">
      <c r="B481" s="3491">
        <v>477</v>
      </c>
      <c r="C481" s="3492" t="s">
        <v>4974</v>
      </c>
      <c r="D481" s="3493" t="s">
        <v>4053</v>
      </c>
      <c r="E481" s="3493">
        <v>27.63</v>
      </c>
      <c r="F481" s="3492">
        <v>9</v>
      </c>
    </row>
    <row r="482" spans="2:6" ht="18.75" thickBot="1">
      <c r="B482" s="3491">
        <v>478</v>
      </c>
      <c r="C482" s="3492" t="s">
        <v>4974</v>
      </c>
      <c r="D482" s="3493" t="s">
        <v>4054</v>
      </c>
      <c r="E482" s="3493">
        <v>27.63</v>
      </c>
      <c r="F482" s="3492">
        <v>9</v>
      </c>
    </row>
    <row r="483" spans="2:6" ht="18.75" thickBot="1">
      <c r="B483" s="3491">
        <v>479</v>
      </c>
      <c r="C483" s="3492" t="s">
        <v>4974</v>
      </c>
      <c r="D483" s="3493" t="s">
        <v>4055</v>
      </c>
      <c r="E483" s="3493">
        <v>27.63</v>
      </c>
      <c r="F483" s="3492">
        <v>9</v>
      </c>
    </row>
    <row r="484" spans="2:6" ht="18.75" thickBot="1">
      <c r="B484" s="3491">
        <v>480</v>
      </c>
      <c r="C484" s="3492" t="s">
        <v>4974</v>
      </c>
      <c r="D484" s="3493" t="s">
        <v>4056</v>
      </c>
      <c r="E484" s="3493">
        <v>27.63</v>
      </c>
      <c r="F484" s="3492">
        <v>9</v>
      </c>
    </row>
    <row r="485" spans="2:6" ht="18.75" thickBot="1">
      <c r="B485" s="3491">
        <v>481</v>
      </c>
      <c r="C485" s="3492" t="s">
        <v>4974</v>
      </c>
      <c r="D485" s="3493" t="s">
        <v>4057</v>
      </c>
      <c r="E485" s="3493">
        <v>27.63</v>
      </c>
      <c r="F485" s="3492">
        <v>9</v>
      </c>
    </row>
    <row r="486" spans="2:6" ht="18.75" thickBot="1">
      <c r="B486" s="3491">
        <v>482</v>
      </c>
      <c r="C486" s="3492" t="s">
        <v>4974</v>
      </c>
      <c r="D486" s="3493" t="s">
        <v>4058</v>
      </c>
      <c r="E486" s="3493">
        <v>27.63</v>
      </c>
      <c r="F486" s="3492">
        <v>9</v>
      </c>
    </row>
    <row r="487" spans="2:6" ht="18.75" thickBot="1">
      <c r="B487" s="3491">
        <v>483</v>
      </c>
      <c r="C487" s="3492" t="s">
        <v>4974</v>
      </c>
      <c r="D487" s="3493" t="s">
        <v>4059</v>
      </c>
      <c r="E487" s="3493">
        <v>27.63</v>
      </c>
      <c r="F487" s="3492">
        <v>9</v>
      </c>
    </row>
    <row r="488" spans="2:6" ht="18.75" thickBot="1">
      <c r="B488" s="3491">
        <v>484</v>
      </c>
      <c r="C488" s="3492" t="s">
        <v>4974</v>
      </c>
      <c r="D488" s="3493" t="s">
        <v>4060</v>
      </c>
      <c r="E488" s="3493">
        <v>20.55</v>
      </c>
      <c r="F488" s="3492">
        <v>6.69</v>
      </c>
    </row>
    <row r="489" spans="2:6" ht="18.75" thickBot="1">
      <c r="B489" s="3491">
        <v>485</v>
      </c>
      <c r="C489" s="3492" t="s">
        <v>4974</v>
      </c>
      <c r="D489" s="3493" t="s">
        <v>4061</v>
      </c>
      <c r="E489" s="3493">
        <v>27.63</v>
      </c>
      <c r="F489" s="3492">
        <v>9</v>
      </c>
    </row>
    <row r="490" spans="2:6" ht="18.75" thickBot="1">
      <c r="B490" s="3491">
        <v>486</v>
      </c>
      <c r="C490" s="3492" t="s">
        <v>4974</v>
      </c>
      <c r="D490" s="3493" t="s">
        <v>4062</v>
      </c>
      <c r="E490" s="3493">
        <v>27.63</v>
      </c>
      <c r="F490" s="3492">
        <v>9</v>
      </c>
    </row>
    <row r="491" spans="2:6" ht="18.75" thickBot="1">
      <c r="B491" s="3491">
        <v>487</v>
      </c>
      <c r="C491" s="3492" t="s">
        <v>4974</v>
      </c>
      <c r="D491" s="3493" t="s">
        <v>4063</v>
      </c>
      <c r="E491" s="3493">
        <v>27.63</v>
      </c>
      <c r="F491" s="3492">
        <v>9</v>
      </c>
    </row>
    <row r="492" spans="2:6" ht="18.75" thickBot="1">
      <c r="B492" s="3491">
        <v>488</v>
      </c>
      <c r="C492" s="3492" t="s">
        <v>4974</v>
      </c>
      <c r="D492" s="3493" t="s">
        <v>4064</v>
      </c>
      <c r="E492" s="3493">
        <v>27.63</v>
      </c>
      <c r="F492" s="3492">
        <v>9</v>
      </c>
    </row>
    <row r="493" spans="2:6" ht="18.75" thickBot="1">
      <c r="B493" s="3491">
        <v>489</v>
      </c>
      <c r="C493" s="3492" t="s">
        <v>4974</v>
      </c>
      <c r="D493" s="3493" t="s">
        <v>4065</v>
      </c>
      <c r="E493" s="3493">
        <v>27.63</v>
      </c>
      <c r="F493" s="3492">
        <v>9</v>
      </c>
    </row>
    <row r="494" spans="2:6" ht="18.75" thickBot="1">
      <c r="B494" s="3491">
        <v>490</v>
      </c>
      <c r="C494" s="3492" t="s">
        <v>4974</v>
      </c>
      <c r="D494" s="3493" t="s">
        <v>4066</v>
      </c>
      <c r="E494" s="3493">
        <v>27.63</v>
      </c>
      <c r="F494" s="3492">
        <v>9</v>
      </c>
    </row>
    <row r="495" spans="2:6" ht="18.75" thickBot="1">
      <c r="B495" s="3491">
        <v>491</v>
      </c>
      <c r="C495" s="3492" t="s">
        <v>4974</v>
      </c>
      <c r="D495" s="3493" t="s">
        <v>4067</v>
      </c>
      <c r="E495" s="3493">
        <v>27.63</v>
      </c>
      <c r="F495" s="3492">
        <v>9</v>
      </c>
    </row>
    <row r="496" spans="2:6" ht="18.75" thickBot="1">
      <c r="B496" s="3491">
        <v>492</v>
      </c>
      <c r="C496" s="3492" t="s">
        <v>4974</v>
      </c>
      <c r="D496" s="3493" t="s">
        <v>4068</v>
      </c>
      <c r="E496" s="3493">
        <v>27.63</v>
      </c>
      <c r="F496" s="3492">
        <v>9</v>
      </c>
    </row>
    <row r="497" spans="2:6" ht="18.75" thickBot="1">
      <c r="B497" s="3491">
        <v>493</v>
      </c>
      <c r="C497" s="3492" t="s">
        <v>4974</v>
      </c>
      <c r="D497" s="3493" t="s">
        <v>4069</v>
      </c>
      <c r="E497" s="3493">
        <v>27.63</v>
      </c>
      <c r="F497" s="3492">
        <v>9</v>
      </c>
    </row>
    <row r="498" spans="2:6" ht="18.75" thickBot="1">
      <c r="B498" s="3491">
        <v>494</v>
      </c>
      <c r="C498" s="3492" t="s">
        <v>4974</v>
      </c>
      <c r="D498" s="3493" t="s">
        <v>4070</v>
      </c>
      <c r="E498" s="3493">
        <v>27.63</v>
      </c>
      <c r="F498" s="3492">
        <v>9</v>
      </c>
    </row>
    <row r="499" spans="2:6" ht="18.75" thickBot="1">
      <c r="B499" s="3491">
        <v>495</v>
      </c>
      <c r="C499" s="3492" t="s">
        <v>4974</v>
      </c>
      <c r="D499" s="3493" t="s">
        <v>4071</v>
      </c>
      <c r="E499" s="3493">
        <v>27.63</v>
      </c>
      <c r="F499" s="3492">
        <v>9</v>
      </c>
    </row>
    <row r="500" spans="2:6" ht="18.75" thickBot="1">
      <c r="B500" s="3491">
        <v>496</v>
      </c>
      <c r="C500" s="3492" t="s">
        <v>4974</v>
      </c>
      <c r="D500" s="3493" t="s">
        <v>4072</v>
      </c>
      <c r="E500" s="3493">
        <v>27.63</v>
      </c>
      <c r="F500" s="3492">
        <v>9</v>
      </c>
    </row>
    <row r="501" spans="2:6" ht="18.75" thickBot="1">
      <c r="B501" s="3491">
        <v>497</v>
      </c>
      <c r="C501" s="3492" t="s">
        <v>4974</v>
      </c>
      <c r="D501" s="3493" t="s">
        <v>4073</v>
      </c>
      <c r="E501" s="3493">
        <v>27.63</v>
      </c>
      <c r="F501" s="3492">
        <v>9</v>
      </c>
    </row>
    <row r="502" spans="2:6" ht="18.75" thickBot="1">
      <c r="B502" s="3491">
        <v>498</v>
      </c>
      <c r="C502" s="3492" t="s">
        <v>4974</v>
      </c>
      <c r="D502" s="3493" t="s">
        <v>4074</v>
      </c>
      <c r="E502" s="3493">
        <v>27.63</v>
      </c>
      <c r="F502" s="3492">
        <v>9</v>
      </c>
    </row>
    <row r="503" spans="2:6" ht="18.75" thickBot="1">
      <c r="B503" s="3491">
        <v>499</v>
      </c>
      <c r="C503" s="3492" t="s">
        <v>4974</v>
      </c>
      <c r="D503" s="3493" t="s">
        <v>4075</v>
      </c>
      <c r="E503" s="3493">
        <v>27.63</v>
      </c>
      <c r="F503" s="3492">
        <v>9</v>
      </c>
    </row>
    <row r="504" spans="2:6" ht="18.75" thickBot="1">
      <c r="B504" s="3491">
        <v>500</v>
      </c>
      <c r="C504" s="3492" t="s">
        <v>4974</v>
      </c>
      <c r="D504" s="3493" t="s">
        <v>4076</v>
      </c>
      <c r="E504" s="3493">
        <v>27.63</v>
      </c>
      <c r="F504" s="3492">
        <v>9</v>
      </c>
    </row>
    <row r="505" spans="2:6" ht="18.75" thickBot="1">
      <c r="B505" s="3491">
        <v>501</v>
      </c>
      <c r="C505" s="3492" t="s">
        <v>4974</v>
      </c>
      <c r="D505" s="3493" t="s">
        <v>4077</v>
      </c>
      <c r="E505" s="3493">
        <v>27.63</v>
      </c>
      <c r="F505" s="3492">
        <v>9</v>
      </c>
    </row>
    <row r="506" spans="2:6" ht="18.75" thickBot="1">
      <c r="B506" s="3491">
        <v>502</v>
      </c>
      <c r="C506" s="3492" t="s">
        <v>4974</v>
      </c>
      <c r="D506" s="3493" t="s">
        <v>4078</v>
      </c>
      <c r="E506" s="3493">
        <v>27.63</v>
      </c>
      <c r="F506" s="3492">
        <v>9</v>
      </c>
    </row>
    <row r="507" spans="2:6" ht="18.75" thickBot="1">
      <c r="B507" s="3491">
        <v>503</v>
      </c>
      <c r="C507" s="3492" t="s">
        <v>4974</v>
      </c>
      <c r="D507" s="3493" t="s">
        <v>4079</v>
      </c>
      <c r="E507" s="3493">
        <v>27.63</v>
      </c>
      <c r="F507" s="3492">
        <v>9</v>
      </c>
    </row>
    <row r="508" spans="2:6" ht="18.75" thickBot="1">
      <c r="B508" s="3491">
        <v>504</v>
      </c>
      <c r="C508" s="3492" t="s">
        <v>4974</v>
      </c>
      <c r="D508" s="3493" t="s">
        <v>4080</v>
      </c>
      <c r="E508" s="3493">
        <v>27.63</v>
      </c>
      <c r="F508" s="3492">
        <v>9</v>
      </c>
    </row>
    <row r="509" spans="2:6" ht="18.75" thickBot="1">
      <c r="B509" s="3491">
        <v>505</v>
      </c>
      <c r="C509" s="3492" t="s">
        <v>4974</v>
      </c>
      <c r="D509" s="3493" t="s">
        <v>4081</v>
      </c>
      <c r="E509" s="3493">
        <v>27.63</v>
      </c>
      <c r="F509" s="3492">
        <v>9</v>
      </c>
    </row>
    <row r="510" spans="2:6" ht="18.75" thickBot="1">
      <c r="B510" s="3491">
        <v>506</v>
      </c>
      <c r="C510" s="3492" t="s">
        <v>4974</v>
      </c>
      <c r="D510" s="3493" t="s">
        <v>4082</v>
      </c>
      <c r="E510" s="3493">
        <v>27.63</v>
      </c>
      <c r="F510" s="3492">
        <v>9</v>
      </c>
    </row>
    <row r="511" spans="2:6" ht="18.75" thickBot="1">
      <c r="B511" s="3491">
        <v>507</v>
      </c>
      <c r="C511" s="3492" t="s">
        <v>4974</v>
      </c>
      <c r="D511" s="3493" t="s">
        <v>4083</v>
      </c>
      <c r="E511" s="3493">
        <v>27.63</v>
      </c>
      <c r="F511" s="3492">
        <v>9</v>
      </c>
    </row>
    <row r="512" spans="2:6" ht="18.75" thickBot="1">
      <c r="B512" s="3491">
        <v>508</v>
      </c>
      <c r="C512" s="3492" t="s">
        <v>4974</v>
      </c>
      <c r="D512" s="3493" t="s">
        <v>4084</v>
      </c>
      <c r="E512" s="3493">
        <v>27.63</v>
      </c>
      <c r="F512" s="3492">
        <v>9</v>
      </c>
    </row>
    <row r="513" spans="2:6" ht="18.75" thickBot="1">
      <c r="B513" s="3491">
        <v>509</v>
      </c>
      <c r="C513" s="3492" t="s">
        <v>4974</v>
      </c>
      <c r="D513" s="3493" t="s">
        <v>4085</v>
      </c>
      <c r="E513" s="3493">
        <v>27.63</v>
      </c>
      <c r="F513" s="3492">
        <v>9</v>
      </c>
    </row>
    <row r="514" spans="2:6" ht="18.75" thickBot="1">
      <c r="B514" s="3491">
        <v>510</v>
      </c>
      <c r="C514" s="3492" t="s">
        <v>4974</v>
      </c>
      <c r="D514" s="3493" t="s">
        <v>4086</v>
      </c>
      <c r="E514" s="3493">
        <v>27.63</v>
      </c>
      <c r="F514" s="3492">
        <v>9</v>
      </c>
    </row>
    <row r="515" spans="2:6" ht="18.75" thickBot="1">
      <c r="B515" s="3491">
        <v>511</v>
      </c>
      <c r="C515" s="3492" t="s">
        <v>4974</v>
      </c>
      <c r="D515" s="3493" t="s">
        <v>4087</v>
      </c>
      <c r="E515" s="3493">
        <v>27.63</v>
      </c>
      <c r="F515" s="3492">
        <v>9</v>
      </c>
    </row>
    <row r="516" spans="2:6" ht="18.75" thickBot="1">
      <c r="B516" s="3491">
        <v>512</v>
      </c>
      <c r="C516" s="3492" t="s">
        <v>4974</v>
      </c>
      <c r="D516" s="3493" t="s">
        <v>4088</v>
      </c>
      <c r="E516" s="3493">
        <v>27.63</v>
      </c>
      <c r="F516" s="3492">
        <v>9</v>
      </c>
    </row>
    <row r="517" spans="2:6" ht="18.75" thickBot="1">
      <c r="B517" s="3491">
        <v>513</v>
      </c>
      <c r="C517" s="3492" t="s">
        <v>4974</v>
      </c>
      <c r="D517" s="3493" t="s">
        <v>4089</v>
      </c>
      <c r="E517" s="3493">
        <v>27.63</v>
      </c>
      <c r="F517" s="3492">
        <v>9</v>
      </c>
    </row>
    <row r="518" spans="2:6" ht="18.75" thickBot="1">
      <c r="B518" s="3491">
        <v>514</v>
      </c>
      <c r="C518" s="3492" t="s">
        <v>4974</v>
      </c>
      <c r="D518" s="3493" t="s">
        <v>4090</v>
      </c>
      <c r="E518" s="3493">
        <v>27.63</v>
      </c>
      <c r="F518" s="3492">
        <v>9</v>
      </c>
    </row>
    <row r="519" spans="2:6" ht="18.75" thickBot="1">
      <c r="B519" s="3491">
        <v>515</v>
      </c>
      <c r="C519" s="3492" t="s">
        <v>4974</v>
      </c>
      <c r="D519" s="3493" t="s">
        <v>4091</v>
      </c>
      <c r="E519" s="3493">
        <v>27.63</v>
      </c>
      <c r="F519" s="3492">
        <v>9</v>
      </c>
    </row>
    <row r="520" spans="2:6" ht="18.75" thickBot="1">
      <c r="B520" s="3491">
        <v>516</v>
      </c>
      <c r="C520" s="3492" t="s">
        <v>4974</v>
      </c>
      <c r="D520" s="3493" t="s">
        <v>4092</v>
      </c>
      <c r="E520" s="3493">
        <v>27.63</v>
      </c>
      <c r="F520" s="3492">
        <v>9</v>
      </c>
    </row>
    <row r="521" spans="2:6" ht="18.75" thickBot="1">
      <c r="B521" s="3491">
        <v>517</v>
      </c>
      <c r="C521" s="3492" t="s">
        <v>4974</v>
      </c>
      <c r="D521" s="3493" t="s">
        <v>4093</v>
      </c>
      <c r="E521" s="3493">
        <v>27.63</v>
      </c>
      <c r="F521" s="3492">
        <v>9</v>
      </c>
    </row>
    <row r="522" spans="2:6" ht="18.75" thickBot="1">
      <c r="B522" s="3491">
        <v>518</v>
      </c>
      <c r="C522" s="3492" t="s">
        <v>4974</v>
      </c>
      <c r="D522" s="3493" t="s">
        <v>4094</v>
      </c>
      <c r="E522" s="3493">
        <v>27.63</v>
      </c>
      <c r="F522" s="3492">
        <v>9</v>
      </c>
    </row>
    <row r="523" spans="2:6" ht="18.75" thickBot="1">
      <c r="B523" s="3491">
        <v>519</v>
      </c>
      <c r="C523" s="3492" t="s">
        <v>4974</v>
      </c>
      <c r="D523" s="3493" t="s">
        <v>4095</v>
      </c>
      <c r="E523" s="3493">
        <v>27.63</v>
      </c>
      <c r="F523" s="3492">
        <v>9</v>
      </c>
    </row>
    <row r="524" spans="2:6" ht="18.75" thickBot="1">
      <c r="B524" s="3491">
        <v>520</v>
      </c>
      <c r="C524" s="3492" t="s">
        <v>4974</v>
      </c>
      <c r="D524" s="3493" t="s">
        <v>4096</v>
      </c>
      <c r="E524" s="3493">
        <v>27.63</v>
      </c>
      <c r="F524" s="3492">
        <v>9</v>
      </c>
    </row>
    <row r="525" spans="2:6" ht="18.75" thickBot="1">
      <c r="B525" s="3491">
        <v>521</v>
      </c>
      <c r="C525" s="3492" t="s">
        <v>4974</v>
      </c>
      <c r="D525" s="3493" t="s">
        <v>4097</v>
      </c>
      <c r="E525" s="3493">
        <v>27.63</v>
      </c>
      <c r="F525" s="3492">
        <v>9</v>
      </c>
    </row>
    <row r="526" spans="2:6" ht="18.75" thickBot="1">
      <c r="B526" s="3491">
        <v>522</v>
      </c>
      <c r="C526" s="3492" t="s">
        <v>4974</v>
      </c>
      <c r="D526" s="3493" t="s">
        <v>4098</v>
      </c>
      <c r="E526" s="3493">
        <v>27.63</v>
      </c>
      <c r="F526" s="3492">
        <v>9</v>
      </c>
    </row>
    <row r="527" spans="2:6" ht="18.75" thickBot="1">
      <c r="B527" s="3491">
        <v>523</v>
      </c>
      <c r="C527" s="3492" t="s">
        <v>4974</v>
      </c>
      <c r="D527" s="3493" t="s">
        <v>4099</v>
      </c>
      <c r="E527" s="3493">
        <v>27.63</v>
      </c>
      <c r="F527" s="3492">
        <v>9</v>
      </c>
    </row>
    <row r="528" spans="2:6" ht="18.75" thickBot="1">
      <c r="B528" s="3491">
        <v>524</v>
      </c>
      <c r="C528" s="3492" t="s">
        <v>4974</v>
      </c>
      <c r="D528" s="3493" t="s">
        <v>4100</v>
      </c>
      <c r="E528" s="3493">
        <v>27.63</v>
      </c>
      <c r="F528" s="3492">
        <v>9</v>
      </c>
    </row>
    <row r="529" spans="2:6" ht="18.75" thickBot="1">
      <c r="B529" s="3491">
        <v>525</v>
      </c>
      <c r="C529" s="3492" t="s">
        <v>4974</v>
      </c>
      <c r="D529" s="3493" t="s">
        <v>4101</v>
      </c>
      <c r="E529" s="3493">
        <v>27.63</v>
      </c>
      <c r="F529" s="3492">
        <v>9</v>
      </c>
    </row>
    <row r="530" spans="2:6" ht="18.75" thickBot="1">
      <c r="B530" s="3491">
        <v>526</v>
      </c>
      <c r="C530" s="3492" t="s">
        <v>4974</v>
      </c>
      <c r="D530" s="3493" t="s">
        <v>4102</v>
      </c>
      <c r="E530" s="3493">
        <v>27.63</v>
      </c>
      <c r="F530" s="3492">
        <v>9</v>
      </c>
    </row>
    <row r="531" spans="2:6" ht="18.75" thickBot="1">
      <c r="B531" s="3491">
        <v>527</v>
      </c>
      <c r="C531" s="3492" t="s">
        <v>4974</v>
      </c>
      <c r="D531" s="3493" t="s">
        <v>4103</v>
      </c>
      <c r="E531" s="3493">
        <v>27.63</v>
      </c>
      <c r="F531" s="3492">
        <v>9</v>
      </c>
    </row>
    <row r="532" spans="2:6" ht="18.75" thickBot="1">
      <c r="B532" s="3491">
        <v>528</v>
      </c>
      <c r="C532" s="3492" t="s">
        <v>4974</v>
      </c>
      <c r="D532" s="3493" t="s">
        <v>4104</v>
      </c>
      <c r="E532" s="3493">
        <v>27.63</v>
      </c>
      <c r="F532" s="3492">
        <v>9</v>
      </c>
    </row>
    <row r="533" spans="2:6" ht="18.75" thickBot="1">
      <c r="B533" s="3491">
        <v>529</v>
      </c>
      <c r="C533" s="3492" t="s">
        <v>4974</v>
      </c>
      <c r="D533" s="3493" t="s">
        <v>4105</v>
      </c>
      <c r="E533" s="3493">
        <v>27.63</v>
      </c>
      <c r="F533" s="3492">
        <v>9</v>
      </c>
    </row>
    <row r="534" spans="2:6" ht="18.75" thickBot="1">
      <c r="B534" s="3491">
        <v>530</v>
      </c>
      <c r="C534" s="3492" t="s">
        <v>4974</v>
      </c>
      <c r="D534" s="3493" t="s">
        <v>4106</v>
      </c>
      <c r="E534" s="3493">
        <v>27.63</v>
      </c>
      <c r="F534" s="3492">
        <v>9</v>
      </c>
    </row>
    <row r="535" spans="2:6" ht="18.75" thickBot="1">
      <c r="B535" s="3491">
        <v>531</v>
      </c>
      <c r="C535" s="3492" t="s">
        <v>4974</v>
      </c>
      <c r="D535" s="3493" t="s">
        <v>4107</v>
      </c>
      <c r="E535" s="3493">
        <v>27.63</v>
      </c>
      <c r="F535" s="3492">
        <v>9</v>
      </c>
    </row>
    <row r="536" spans="2:6" ht="18.75" thickBot="1">
      <c r="B536" s="3491">
        <v>532</v>
      </c>
      <c r="C536" s="3492" t="s">
        <v>4974</v>
      </c>
      <c r="D536" s="3493" t="s">
        <v>4108</v>
      </c>
      <c r="E536" s="3493">
        <v>27.63</v>
      </c>
      <c r="F536" s="3492">
        <v>9</v>
      </c>
    </row>
    <row r="537" spans="2:6" ht="18.75" thickBot="1">
      <c r="B537" s="3491">
        <v>533</v>
      </c>
      <c r="C537" s="3492" t="s">
        <v>4974</v>
      </c>
      <c r="D537" s="3493" t="s">
        <v>4109</v>
      </c>
      <c r="E537" s="3493">
        <v>27.63</v>
      </c>
      <c r="F537" s="3492">
        <v>9</v>
      </c>
    </row>
    <row r="538" spans="2:6" ht="18.75" thickBot="1">
      <c r="B538" s="3491">
        <v>534</v>
      </c>
      <c r="C538" s="3492" t="s">
        <v>4974</v>
      </c>
      <c r="D538" s="3493" t="s">
        <v>4110</v>
      </c>
      <c r="E538" s="3493">
        <v>27.63</v>
      </c>
      <c r="F538" s="3492">
        <v>9</v>
      </c>
    </row>
    <row r="539" spans="2:6" ht="18.75" thickBot="1">
      <c r="B539" s="3491">
        <v>535</v>
      </c>
      <c r="C539" s="3492" t="s">
        <v>4974</v>
      </c>
      <c r="D539" s="3493" t="s">
        <v>4111</v>
      </c>
      <c r="E539" s="3493">
        <v>27.63</v>
      </c>
      <c r="F539" s="3492">
        <v>9</v>
      </c>
    </row>
    <row r="540" spans="2:6" ht="18.75" thickBot="1">
      <c r="B540" s="3491">
        <v>536</v>
      </c>
      <c r="C540" s="3492" t="s">
        <v>4974</v>
      </c>
      <c r="D540" s="3493" t="s">
        <v>4112</v>
      </c>
      <c r="E540" s="3493">
        <v>27.63</v>
      </c>
      <c r="F540" s="3492">
        <v>9</v>
      </c>
    </row>
    <row r="541" spans="2:6" ht="18.75" thickBot="1">
      <c r="B541" s="3491">
        <v>537</v>
      </c>
      <c r="C541" s="3492" t="s">
        <v>4974</v>
      </c>
      <c r="D541" s="3493" t="s">
        <v>4113</v>
      </c>
      <c r="E541" s="3493">
        <v>27.63</v>
      </c>
      <c r="F541" s="3492">
        <v>9</v>
      </c>
    </row>
    <row r="542" spans="2:6" ht="18.75" thickBot="1">
      <c r="B542" s="3491">
        <v>538</v>
      </c>
      <c r="C542" s="3492" t="s">
        <v>4974</v>
      </c>
      <c r="D542" s="3493" t="s">
        <v>4114</v>
      </c>
      <c r="E542" s="3493">
        <v>27.63</v>
      </c>
      <c r="F542" s="3492">
        <v>9</v>
      </c>
    </row>
    <row r="543" spans="2:6" ht="18.75" thickBot="1">
      <c r="B543" s="3491">
        <v>539</v>
      </c>
      <c r="C543" s="3492" t="s">
        <v>4974</v>
      </c>
      <c r="D543" s="3493" t="s">
        <v>4115</v>
      </c>
      <c r="E543" s="3493">
        <v>27.63</v>
      </c>
      <c r="F543" s="3492">
        <v>9</v>
      </c>
    </row>
    <row r="544" spans="2:6" ht="18.75" thickBot="1">
      <c r="B544" s="3491">
        <v>540</v>
      </c>
      <c r="C544" s="3492" t="s">
        <v>4974</v>
      </c>
      <c r="D544" s="3493" t="s">
        <v>4116</v>
      </c>
      <c r="E544" s="3493">
        <v>27.63</v>
      </c>
      <c r="F544" s="3492">
        <v>9</v>
      </c>
    </row>
    <row r="545" spans="2:6" ht="18.75" thickBot="1">
      <c r="B545" s="3491">
        <v>541</v>
      </c>
      <c r="C545" s="3492" t="s">
        <v>4974</v>
      </c>
      <c r="D545" s="3493" t="s">
        <v>4117</v>
      </c>
      <c r="E545" s="3493">
        <v>27.63</v>
      </c>
      <c r="F545" s="3492">
        <v>9</v>
      </c>
    </row>
    <row r="546" spans="2:6" ht="18.75" thickBot="1">
      <c r="B546" s="3491">
        <v>542</v>
      </c>
      <c r="C546" s="3492" t="s">
        <v>4974</v>
      </c>
      <c r="D546" s="3493" t="s">
        <v>4118</v>
      </c>
      <c r="E546" s="3493">
        <v>27.63</v>
      </c>
      <c r="F546" s="3492">
        <v>9</v>
      </c>
    </row>
    <row r="547" spans="2:6" ht="18.75" thickBot="1">
      <c r="B547" s="3491">
        <v>543</v>
      </c>
      <c r="C547" s="3492" t="s">
        <v>4974</v>
      </c>
      <c r="D547" s="3493" t="s">
        <v>4119</v>
      </c>
      <c r="E547" s="3493">
        <v>27.63</v>
      </c>
      <c r="F547" s="3492">
        <v>9</v>
      </c>
    </row>
    <row r="548" spans="2:6" ht="18.75" thickBot="1">
      <c r="B548" s="3491">
        <v>544</v>
      </c>
      <c r="C548" s="3492" t="s">
        <v>4974</v>
      </c>
      <c r="D548" s="3493" t="s">
        <v>4120</v>
      </c>
      <c r="E548" s="3493">
        <v>27.63</v>
      </c>
      <c r="F548" s="3492">
        <v>9</v>
      </c>
    </row>
    <row r="549" spans="2:6" ht="18.75" thickBot="1">
      <c r="B549" s="3491">
        <v>545</v>
      </c>
      <c r="C549" s="3492" t="s">
        <v>4974</v>
      </c>
      <c r="D549" s="3493" t="s">
        <v>4121</v>
      </c>
      <c r="E549" s="3493">
        <v>27.63</v>
      </c>
      <c r="F549" s="3492">
        <v>9</v>
      </c>
    </row>
    <row r="550" spans="2:6" ht="18.75" thickBot="1">
      <c r="B550" s="3491">
        <v>546</v>
      </c>
      <c r="C550" s="3492" t="s">
        <v>4974</v>
      </c>
      <c r="D550" s="3493" t="s">
        <v>4122</v>
      </c>
      <c r="E550" s="3493">
        <v>27.63</v>
      </c>
      <c r="F550" s="3492">
        <v>9</v>
      </c>
    </row>
    <row r="551" spans="2:6" ht="18.75" thickBot="1">
      <c r="B551" s="3491">
        <v>547</v>
      </c>
      <c r="C551" s="3492" t="s">
        <v>4974</v>
      </c>
      <c r="D551" s="3493" t="s">
        <v>4123</v>
      </c>
      <c r="E551" s="3493">
        <v>27.63</v>
      </c>
      <c r="F551" s="3492">
        <v>9</v>
      </c>
    </row>
    <row r="552" spans="2:6" ht="18.75" thickBot="1">
      <c r="B552" s="3491">
        <v>548</v>
      </c>
      <c r="C552" s="3492" t="s">
        <v>4974</v>
      </c>
      <c r="D552" s="3493" t="s">
        <v>4124</v>
      </c>
      <c r="E552" s="3493">
        <v>27.63</v>
      </c>
      <c r="F552" s="3492">
        <v>9</v>
      </c>
    </row>
    <row r="553" spans="2:6" ht="18.75" thickBot="1">
      <c r="B553" s="3491">
        <v>549</v>
      </c>
      <c r="C553" s="3492" t="s">
        <v>4974</v>
      </c>
      <c r="D553" s="3493" t="s">
        <v>4125</v>
      </c>
      <c r="E553" s="3493">
        <v>27.63</v>
      </c>
      <c r="F553" s="3492">
        <v>9</v>
      </c>
    </row>
    <row r="554" spans="2:6" ht="18.75" thickBot="1">
      <c r="B554" s="3491">
        <v>550</v>
      </c>
      <c r="C554" s="3492" t="s">
        <v>4974</v>
      </c>
      <c r="D554" s="3493" t="s">
        <v>4126</v>
      </c>
      <c r="E554" s="3493">
        <v>27.63</v>
      </c>
      <c r="F554" s="3492">
        <v>9</v>
      </c>
    </row>
    <row r="555" spans="2:6" ht="18.75" thickBot="1">
      <c r="B555" s="3491">
        <v>551</v>
      </c>
      <c r="C555" s="3492" t="s">
        <v>4974</v>
      </c>
      <c r="D555" s="3493" t="s">
        <v>4127</v>
      </c>
      <c r="E555" s="3493">
        <v>27.63</v>
      </c>
      <c r="F555" s="3492">
        <v>9</v>
      </c>
    </row>
    <row r="556" spans="2:6" ht="18.75" thickBot="1">
      <c r="B556" s="3491">
        <v>552</v>
      </c>
      <c r="C556" s="3492" t="s">
        <v>4974</v>
      </c>
      <c r="D556" s="3493" t="s">
        <v>4128</v>
      </c>
      <c r="E556" s="3493">
        <v>27.63</v>
      </c>
      <c r="F556" s="3492">
        <v>9</v>
      </c>
    </row>
    <row r="557" spans="2:6" ht="18.75" thickBot="1">
      <c r="B557" s="3491">
        <v>553</v>
      </c>
      <c r="C557" s="3492" t="s">
        <v>4974</v>
      </c>
      <c r="D557" s="3493" t="s">
        <v>4129</v>
      </c>
      <c r="E557" s="3493">
        <v>27.63</v>
      </c>
      <c r="F557" s="3492">
        <v>9</v>
      </c>
    </row>
    <row r="558" spans="2:6" ht="18.75" thickBot="1">
      <c r="B558" s="3491">
        <v>554</v>
      </c>
      <c r="C558" s="3492" t="s">
        <v>4974</v>
      </c>
      <c r="D558" s="3493" t="s">
        <v>4130</v>
      </c>
      <c r="E558" s="3493">
        <v>27.63</v>
      </c>
      <c r="F558" s="3492">
        <v>9</v>
      </c>
    </row>
    <row r="559" spans="2:6" ht="18.75" thickBot="1">
      <c r="B559" s="3491">
        <v>555</v>
      </c>
      <c r="C559" s="3492" t="s">
        <v>4974</v>
      </c>
      <c r="D559" s="3493" t="s">
        <v>4131</v>
      </c>
      <c r="E559" s="3493">
        <v>27.63</v>
      </c>
      <c r="F559" s="3492">
        <v>9</v>
      </c>
    </row>
    <row r="560" spans="2:6" ht="18.75" thickBot="1">
      <c r="B560" s="3491">
        <v>556</v>
      </c>
      <c r="C560" s="3492" t="s">
        <v>4974</v>
      </c>
      <c r="D560" s="3493" t="s">
        <v>4132</v>
      </c>
      <c r="E560" s="3493">
        <v>27.63</v>
      </c>
      <c r="F560" s="3492">
        <v>9</v>
      </c>
    </row>
    <row r="561" spans="2:6" ht="18.75" thickBot="1">
      <c r="B561" s="3491">
        <v>557</v>
      </c>
      <c r="C561" s="3492" t="s">
        <v>4974</v>
      </c>
      <c r="D561" s="3493" t="s">
        <v>4133</v>
      </c>
      <c r="E561" s="3493">
        <v>27.63</v>
      </c>
      <c r="F561" s="3492">
        <v>9</v>
      </c>
    </row>
    <row r="562" spans="2:6" ht="18.75" thickBot="1">
      <c r="B562" s="3491">
        <v>558</v>
      </c>
      <c r="C562" s="3492" t="s">
        <v>4974</v>
      </c>
      <c r="D562" s="3493" t="s">
        <v>4134</v>
      </c>
      <c r="E562" s="3493">
        <v>27.63</v>
      </c>
      <c r="F562" s="3492">
        <v>9</v>
      </c>
    </row>
    <row r="563" spans="2:6" ht="18.75" thickBot="1">
      <c r="B563" s="3491">
        <v>559</v>
      </c>
      <c r="C563" s="3492" t="s">
        <v>4974</v>
      </c>
      <c r="D563" s="3493" t="s">
        <v>4135</v>
      </c>
      <c r="E563" s="3493">
        <v>27.63</v>
      </c>
      <c r="F563" s="3492">
        <v>9</v>
      </c>
    </row>
    <row r="564" spans="2:6" ht="18.75" thickBot="1">
      <c r="B564" s="3491">
        <v>560</v>
      </c>
      <c r="C564" s="3492" t="s">
        <v>4974</v>
      </c>
      <c r="D564" s="3493" t="s">
        <v>4136</v>
      </c>
      <c r="E564" s="3493">
        <v>27.63</v>
      </c>
      <c r="F564" s="3492">
        <v>9</v>
      </c>
    </row>
    <row r="565" spans="2:6" ht="18.75" thickBot="1">
      <c r="B565" s="3491">
        <v>561</v>
      </c>
      <c r="C565" s="3492" t="s">
        <v>4974</v>
      </c>
      <c r="D565" s="3493" t="s">
        <v>4137</v>
      </c>
      <c r="E565" s="3493">
        <v>27.63</v>
      </c>
      <c r="F565" s="3492">
        <v>9</v>
      </c>
    </row>
    <row r="566" spans="2:6" ht="18.75" thickBot="1">
      <c r="B566" s="3491">
        <v>562</v>
      </c>
      <c r="C566" s="3492" t="s">
        <v>4974</v>
      </c>
      <c r="D566" s="3493" t="s">
        <v>4138</v>
      </c>
      <c r="E566" s="3493">
        <v>27.63</v>
      </c>
      <c r="F566" s="3492">
        <v>9</v>
      </c>
    </row>
    <row r="567" spans="2:6" ht="18.75" thickBot="1">
      <c r="B567" s="3491">
        <v>563</v>
      </c>
      <c r="C567" s="3492" t="s">
        <v>4974</v>
      </c>
      <c r="D567" s="3493" t="s">
        <v>4139</v>
      </c>
      <c r="E567" s="3493">
        <v>27.63</v>
      </c>
      <c r="F567" s="3492">
        <v>9</v>
      </c>
    </row>
    <row r="568" spans="2:6" ht="18.75" thickBot="1">
      <c r="B568" s="3491">
        <v>564</v>
      </c>
      <c r="C568" s="3492" t="s">
        <v>4974</v>
      </c>
      <c r="D568" s="3493" t="s">
        <v>4140</v>
      </c>
      <c r="E568" s="3493">
        <v>27.63</v>
      </c>
      <c r="F568" s="3492">
        <v>9</v>
      </c>
    </row>
    <row r="569" spans="2:6" ht="18.75" thickBot="1">
      <c r="B569" s="3491">
        <v>565</v>
      </c>
      <c r="C569" s="3492" t="s">
        <v>4974</v>
      </c>
      <c r="D569" s="3493" t="s">
        <v>4141</v>
      </c>
      <c r="E569" s="3493">
        <v>27.63</v>
      </c>
      <c r="F569" s="3492">
        <v>9</v>
      </c>
    </row>
    <row r="570" spans="2:6" ht="18.75" thickBot="1">
      <c r="B570" s="3491">
        <v>566</v>
      </c>
      <c r="C570" s="3492" t="s">
        <v>4974</v>
      </c>
      <c r="D570" s="3493" t="s">
        <v>4142</v>
      </c>
      <c r="E570" s="3493">
        <v>27.63</v>
      </c>
      <c r="F570" s="3492">
        <v>9</v>
      </c>
    </row>
    <row r="571" spans="2:6" ht="18.75" thickBot="1">
      <c r="B571" s="3491">
        <v>567</v>
      </c>
      <c r="C571" s="3492" t="s">
        <v>4974</v>
      </c>
      <c r="D571" s="3493" t="s">
        <v>4143</v>
      </c>
      <c r="E571" s="3493">
        <v>27.63</v>
      </c>
      <c r="F571" s="3492">
        <v>9</v>
      </c>
    </row>
    <row r="572" spans="2:6" ht="18.75" thickBot="1">
      <c r="B572" s="3491">
        <v>568</v>
      </c>
      <c r="C572" s="3492" t="s">
        <v>4974</v>
      </c>
      <c r="D572" s="3493" t="s">
        <v>4144</v>
      </c>
      <c r="E572" s="3493">
        <v>27.63</v>
      </c>
      <c r="F572" s="3492">
        <v>9</v>
      </c>
    </row>
    <row r="573" spans="2:6" ht="18.75" thickBot="1">
      <c r="B573" s="3491">
        <v>569</v>
      </c>
      <c r="C573" s="3492" t="s">
        <v>4974</v>
      </c>
      <c r="D573" s="3493" t="s">
        <v>4145</v>
      </c>
      <c r="E573" s="3493">
        <v>27.63</v>
      </c>
      <c r="F573" s="3492">
        <v>9</v>
      </c>
    </row>
    <row r="574" spans="2:6" ht="18.75" thickBot="1">
      <c r="B574" s="3491">
        <v>570</v>
      </c>
      <c r="C574" s="3492" t="s">
        <v>4974</v>
      </c>
      <c r="D574" s="3493" t="s">
        <v>4146</v>
      </c>
      <c r="E574" s="3493">
        <v>27.63</v>
      </c>
      <c r="F574" s="3492">
        <v>9</v>
      </c>
    </row>
    <row r="575" spans="2:6" ht="18.75" thickBot="1">
      <c r="B575" s="3491">
        <v>571</v>
      </c>
      <c r="C575" s="3492" t="s">
        <v>4974</v>
      </c>
      <c r="D575" s="3493" t="s">
        <v>4147</v>
      </c>
      <c r="E575" s="3493">
        <v>27.63</v>
      </c>
      <c r="F575" s="3492">
        <v>9</v>
      </c>
    </row>
    <row r="576" spans="2:6" ht="18.75" thickBot="1">
      <c r="B576" s="3491">
        <v>572</v>
      </c>
      <c r="C576" s="3492" t="s">
        <v>4974</v>
      </c>
      <c r="D576" s="3493" t="s">
        <v>4148</v>
      </c>
      <c r="E576" s="3493">
        <v>27.63</v>
      </c>
      <c r="F576" s="3492">
        <v>9</v>
      </c>
    </row>
    <row r="577" spans="2:6" ht="18.75" thickBot="1">
      <c r="B577" s="3491">
        <v>573</v>
      </c>
      <c r="C577" s="3492" t="s">
        <v>4974</v>
      </c>
      <c r="D577" s="3493" t="s">
        <v>4149</v>
      </c>
      <c r="E577" s="3493">
        <v>27.63</v>
      </c>
      <c r="F577" s="3492">
        <v>9</v>
      </c>
    </row>
    <row r="578" spans="2:6" ht="18.75" thickBot="1">
      <c r="B578" s="3491">
        <v>574</v>
      </c>
      <c r="C578" s="3492" t="s">
        <v>4974</v>
      </c>
      <c r="D578" s="3493" t="s">
        <v>4150</v>
      </c>
      <c r="E578" s="3493">
        <v>27.63</v>
      </c>
      <c r="F578" s="3492">
        <v>9</v>
      </c>
    </row>
    <row r="579" spans="2:6" ht="18.75" thickBot="1">
      <c r="B579" s="3491">
        <v>575</v>
      </c>
      <c r="C579" s="3492" t="s">
        <v>4974</v>
      </c>
      <c r="D579" s="3493" t="s">
        <v>4151</v>
      </c>
      <c r="E579" s="3493">
        <v>27.63</v>
      </c>
      <c r="F579" s="3492">
        <v>9</v>
      </c>
    </row>
    <row r="580" spans="2:6" ht="18.75" thickBot="1">
      <c r="B580" s="3491">
        <v>576</v>
      </c>
      <c r="C580" s="3492" t="s">
        <v>4974</v>
      </c>
      <c r="D580" s="3493" t="s">
        <v>4152</v>
      </c>
      <c r="E580" s="3493">
        <v>27.63</v>
      </c>
      <c r="F580" s="3492">
        <v>9</v>
      </c>
    </row>
    <row r="581" spans="2:6" ht="18.75" thickBot="1">
      <c r="B581" s="3491">
        <v>577</v>
      </c>
      <c r="C581" s="3492" t="s">
        <v>4974</v>
      </c>
      <c r="D581" s="3493" t="s">
        <v>4153</v>
      </c>
      <c r="E581" s="3493">
        <v>27.63</v>
      </c>
      <c r="F581" s="3492">
        <v>9</v>
      </c>
    </row>
    <row r="582" spans="2:6" ht="18.75" thickBot="1">
      <c r="B582" s="3491">
        <v>578</v>
      </c>
      <c r="C582" s="3492" t="s">
        <v>4974</v>
      </c>
      <c r="D582" s="3493" t="s">
        <v>4154</v>
      </c>
      <c r="E582" s="3493">
        <v>27.63</v>
      </c>
      <c r="F582" s="3492">
        <v>9</v>
      </c>
    </row>
    <row r="583" spans="2:6" ht="18.75" thickBot="1">
      <c r="B583" s="3491">
        <v>579</v>
      </c>
      <c r="C583" s="3492" t="s">
        <v>4974</v>
      </c>
      <c r="D583" s="3493" t="s">
        <v>4155</v>
      </c>
      <c r="E583" s="3493">
        <v>27.63</v>
      </c>
      <c r="F583" s="3492">
        <v>9</v>
      </c>
    </row>
    <row r="584" spans="2:6" ht="18.75" thickBot="1">
      <c r="B584" s="3491">
        <v>580</v>
      </c>
      <c r="C584" s="3492" t="s">
        <v>4974</v>
      </c>
      <c r="D584" s="3493" t="s">
        <v>4156</v>
      </c>
      <c r="E584" s="3493">
        <v>27.63</v>
      </c>
      <c r="F584" s="3492">
        <v>9</v>
      </c>
    </row>
    <row r="585" spans="2:6" ht="18.75" thickBot="1">
      <c r="B585" s="3491">
        <v>581</v>
      </c>
      <c r="C585" s="3492" t="s">
        <v>4974</v>
      </c>
      <c r="D585" s="3493" t="s">
        <v>4157</v>
      </c>
      <c r="E585" s="3493">
        <v>27.63</v>
      </c>
      <c r="F585" s="3492">
        <v>9</v>
      </c>
    </row>
    <row r="586" spans="2:6" ht="18.75" thickBot="1">
      <c r="B586" s="3491">
        <v>582</v>
      </c>
      <c r="C586" s="3492" t="s">
        <v>4974</v>
      </c>
      <c r="D586" s="3493" t="s">
        <v>4158</v>
      </c>
      <c r="E586" s="3493">
        <v>27.63</v>
      </c>
      <c r="F586" s="3492">
        <v>9</v>
      </c>
    </row>
    <row r="587" spans="2:6" ht="18.75" thickBot="1">
      <c r="B587" s="3491">
        <v>583</v>
      </c>
      <c r="C587" s="3492" t="s">
        <v>4974</v>
      </c>
      <c r="D587" s="3493" t="s">
        <v>4159</v>
      </c>
      <c r="E587" s="3493">
        <v>27.63</v>
      </c>
      <c r="F587" s="3492">
        <v>9</v>
      </c>
    </row>
    <row r="588" spans="2:6" ht="18.75" thickBot="1">
      <c r="B588" s="3491">
        <v>584</v>
      </c>
      <c r="C588" s="3492" t="s">
        <v>4974</v>
      </c>
      <c r="D588" s="3493" t="s">
        <v>4160</v>
      </c>
      <c r="E588" s="3493">
        <v>27.63</v>
      </c>
      <c r="F588" s="3492">
        <v>9</v>
      </c>
    </row>
    <row r="589" spans="2:6" ht="18.75" thickBot="1">
      <c r="B589" s="3491">
        <v>585</v>
      </c>
      <c r="C589" s="3492" t="s">
        <v>4974</v>
      </c>
      <c r="D589" s="3493" t="s">
        <v>4161</v>
      </c>
      <c r="E589" s="3493">
        <v>27.63</v>
      </c>
      <c r="F589" s="3492">
        <v>9</v>
      </c>
    </row>
    <row r="590" spans="2:6" ht="18.75" thickBot="1">
      <c r="B590" s="3491">
        <v>586</v>
      </c>
      <c r="C590" s="3492" t="s">
        <v>4974</v>
      </c>
      <c r="D590" s="3493" t="s">
        <v>4162</v>
      </c>
      <c r="E590" s="3493">
        <v>27.63</v>
      </c>
      <c r="F590" s="3492">
        <v>9</v>
      </c>
    </row>
    <row r="591" spans="2:6" ht="18.75" thickBot="1">
      <c r="B591" s="3491">
        <v>587</v>
      </c>
      <c r="C591" s="3492" t="s">
        <v>4974</v>
      </c>
      <c r="D591" s="3493" t="s">
        <v>4163</v>
      </c>
      <c r="E591" s="3493">
        <v>27.63</v>
      </c>
      <c r="F591" s="3492">
        <v>9</v>
      </c>
    </row>
    <row r="592" spans="2:6" ht="18.75" thickBot="1">
      <c r="B592" s="3491">
        <v>588</v>
      </c>
      <c r="C592" s="3492" t="s">
        <v>4974</v>
      </c>
      <c r="D592" s="3493" t="s">
        <v>4164</v>
      </c>
      <c r="E592" s="3493">
        <v>27.63</v>
      </c>
      <c r="F592" s="3492">
        <v>9</v>
      </c>
    </row>
    <row r="593" spans="2:6" ht="18.75" thickBot="1">
      <c r="B593" s="3491">
        <v>589</v>
      </c>
      <c r="C593" s="3492" t="s">
        <v>4974</v>
      </c>
      <c r="D593" s="3493" t="s">
        <v>4165</v>
      </c>
      <c r="E593" s="3493">
        <v>27.63</v>
      </c>
      <c r="F593" s="3492">
        <v>9</v>
      </c>
    </row>
    <row r="594" spans="2:6" ht="18.75" thickBot="1">
      <c r="B594" s="3491">
        <v>590</v>
      </c>
      <c r="C594" s="3492" t="s">
        <v>4974</v>
      </c>
      <c r="D594" s="3493" t="s">
        <v>4166</v>
      </c>
      <c r="E594" s="3493">
        <v>27.63</v>
      </c>
      <c r="F594" s="3492">
        <v>9</v>
      </c>
    </row>
    <row r="595" spans="2:6" ht="18.75" thickBot="1">
      <c r="B595" s="3491">
        <v>591</v>
      </c>
      <c r="C595" s="3492" t="s">
        <v>4974</v>
      </c>
      <c r="D595" s="3493" t="s">
        <v>4167</v>
      </c>
      <c r="E595" s="3493">
        <v>27.63</v>
      </c>
      <c r="F595" s="3492">
        <v>9</v>
      </c>
    </row>
    <row r="596" spans="2:6" ht="18.75" thickBot="1">
      <c r="B596" s="3491">
        <v>592</v>
      </c>
      <c r="C596" s="3492" t="s">
        <v>4974</v>
      </c>
      <c r="D596" s="3493" t="s">
        <v>4168</v>
      </c>
      <c r="E596" s="3493">
        <v>27.63</v>
      </c>
      <c r="F596" s="3492">
        <v>9</v>
      </c>
    </row>
    <row r="597" spans="2:6" ht="18.75" thickBot="1">
      <c r="B597" s="3491">
        <v>593</v>
      </c>
      <c r="C597" s="3492" t="s">
        <v>4974</v>
      </c>
      <c r="D597" s="3493" t="s">
        <v>4169</v>
      </c>
      <c r="E597" s="3493">
        <v>27.63</v>
      </c>
      <c r="F597" s="3492">
        <v>9</v>
      </c>
    </row>
    <row r="598" spans="2:6" ht="18.75" thickBot="1">
      <c r="B598" s="3491">
        <v>594</v>
      </c>
      <c r="C598" s="3492" t="s">
        <v>4974</v>
      </c>
      <c r="D598" s="3493" t="s">
        <v>4170</v>
      </c>
      <c r="E598" s="3493">
        <v>27.63</v>
      </c>
      <c r="F598" s="3492">
        <v>9</v>
      </c>
    </row>
    <row r="599" spans="2:6" ht="18.75" thickBot="1">
      <c r="B599" s="3491">
        <v>595</v>
      </c>
      <c r="C599" s="3492" t="s">
        <v>4974</v>
      </c>
      <c r="D599" s="3493" t="s">
        <v>4171</v>
      </c>
      <c r="E599" s="3493">
        <v>27.63</v>
      </c>
      <c r="F599" s="3492">
        <v>9</v>
      </c>
    </row>
    <row r="600" spans="2:6" ht="18.75" thickBot="1">
      <c r="B600" s="3491">
        <v>596</v>
      </c>
      <c r="C600" s="3492" t="s">
        <v>4974</v>
      </c>
      <c r="D600" s="3493" t="s">
        <v>4172</v>
      </c>
      <c r="E600" s="3493">
        <v>27.63</v>
      </c>
      <c r="F600" s="3492">
        <v>9</v>
      </c>
    </row>
    <row r="601" spans="2:6" ht="18.75" thickBot="1">
      <c r="B601" s="3491">
        <v>597</v>
      </c>
      <c r="C601" s="3492" t="s">
        <v>4974</v>
      </c>
      <c r="D601" s="3493" t="s">
        <v>4173</v>
      </c>
      <c r="E601" s="3493">
        <v>48.22</v>
      </c>
      <c r="F601" s="3492">
        <v>15.7</v>
      </c>
    </row>
    <row r="602" spans="2:6" ht="18.75" thickBot="1">
      <c r="B602" s="3491">
        <v>598</v>
      </c>
      <c r="C602" s="3492" t="s">
        <v>4974</v>
      </c>
      <c r="D602" s="3493" t="s">
        <v>4174</v>
      </c>
      <c r="E602" s="3493">
        <v>27.63</v>
      </c>
      <c r="F602" s="3492">
        <v>9</v>
      </c>
    </row>
    <row r="603" spans="2:6" ht="18.75" thickBot="1">
      <c r="B603" s="3491">
        <v>599</v>
      </c>
      <c r="C603" s="3492" t="s">
        <v>4974</v>
      </c>
      <c r="D603" s="3493" t="s">
        <v>4175</v>
      </c>
      <c r="E603" s="3493">
        <v>27.63</v>
      </c>
      <c r="F603" s="3492">
        <v>9</v>
      </c>
    </row>
    <row r="604" spans="2:6" ht="18.75" thickBot="1">
      <c r="B604" s="3491">
        <v>600</v>
      </c>
      <c r="C604" s="3492" t="s">
        <v>4974</v>
      </c>
      <c r="D604" s="3493" t="s">
        <v>4176</v>
      </c>
      <c r="E604" s="3493">
        <v>27.63</v>
      </c>
      <c r="F604" s="3492">
        <v>9</v>
      </c>
    </row>
    <row r="605" spans="2:6" ht="18.75" thickBot="1">
      <c r="B605" s="3491">
        <v>601</v>
      </c>
      <c r="C605" s="3492" t="s">
        <v>4974</v>
      </c>
      <c r="D605" s="3493" t="s">
        <v>4177</v>
      </c>
      <c r="E605" s="3493">
        <v>27.63</v>
      </c>
      <c r="F605" s="3492">
        <v>9</v>
      </c>
    </row>
    <row r="606" spans="2:6" ht="18.75" thickBot="1">
      <c r="B606" s="3491">
        <v>602</v>
      </c>
      <c r="C606" s="3492" t="s">
        <v>4974</v>
      </c>
      <c r="D606" s="3493" t="s">
        <v>4178</v>
      </c>
      <c r="E606" s="3493">
        <v>27.63</v>
      </c>
      <c r="F606" s="3492">
        <v>9</v>
      </c>
    </row>
    <row r="607" spans="2:6" ht="18.75" thickBot="1">
      <c r="B607" s="3491">
        <v>603</v>
      </c>
      <c r="C607" s="3492" t="s">
        <v>4974</v>
      </c>
      <c r="D607" s="3493" t="s">
        <v>4179</v>
      </c>
      <c r="E607" s="3493">
        <v>27.63</v>
      </c>
      <c r="F607" s="3492">
        <v>9</v>
      </c>
    </row>
    <row r="608" spans="2:6" ht="18.75" thickBot="1">
      <c r="B608" s="3491">
        <v>604</v>
      </c>
      <c r="C608" s="3492" t="s">
        <v>4974</v>
      </c>
      <c r="D608" s="3493" t="s">
        <v>4180</v>
      </c>
      <c r="E608" s="3493">
        <v>27.63</v>
      </c>
      <c r="F608" s="3492">
        <v>9</v>
      </c>
    </row>
    <row r="609" spans="2:6" ht="18.75" thickBot="1">
      <c r="B609" s="3491">
        <v>605</v>
      </c>
      <c r="C609" s="3492" t="s">
        <v>4974</v>
      </c>
      <c r="D609" s="3493" t="s">
        <v>4181</v>
      </c>
      <c r="E609" s="3493">
        <v>27.63</v>
      </c>
      <c r="F609" s="3492">
        <v>9</v>
      </c>
    </row>
    <row r="610" spans="2:6" ht="18.75" thickBot="1">
      <c r="B610" s="3491">
        <v>606</v>
      </c>
      <c r="C610" s="3492" t="s">
        <v>4974</v>
      </c>
      <c r="D610" s="3493" t="s">
        <v>4182</v>
      </c>
      <c r="E610" s="3493">
        <v>27.63</v>
      </c>
      <c r="F610" s="3492">
        <v>9</v>
      </c>
    </row>
    <row r="611" spans="2:6" ht="18.75" thickBot="1">
      <c r="B611" s="3491">
        <v>607</v>
      </c>
      <c r="C611" s="3492" t="s">
        <v>4974</v>
      </c>
      <c r="D611" s="3493" t="s">
        <v>4183</v>
      </c>
      <c r="E611" s="3493">
        <v>27.63</v>
      </c>
      <c r="F611" s="3492">
        <v>9</v>
      </c>
    </row>
    <row r="612" spans="2:6" ht="18.75" thickBot="1">
      <c r="B612" s="3491">
        <v>608</v>
      </c>
      <c r="C612" s="3492" t="s">
        <v>4974</v>
      </c>
      <c r="D612" s="3493" t="s">
        <v>4184</v>
      </c>
      <c r="E612" s="3493">
        <v>27.63</v>
      </c>
      <c r="F612" s="3492">
        <v>9</v>
      </c>
    </row>
    <row r="613" spans="2:6" ht="18.75" thickBot="1">
      <c r="B613" s="3491">
        <v>609</v>
      </c>
      <c r="C613" s="3492" t="s">
        <v>4974</v>
      </c>
      <c r="D613" s="3493" t="s">
        <v>4185</v>
      </c>
      <c r="E613" s="3493">
        <v>27.63</v>
      </c>
      <c r="F613" s="3492">
        <v>9</v>
      </c>
    </row>
    <row r="614" spans="2:6" ht="18.75" thickBot="1">
      <c r="B614" s="3491">
        <v>610</v>
      </c>
      <c r="C614" s="3492" t="s">
        <v>4974</v>
      </c>
      <c r="D614" s="3493" t="s">
        <v>4186</v>
      </c>
      <c r="E614" s="3493">
        <v>27.63</v>
      </c>
      <c r="F614" s="3492">
        <v>9</v>
      </c>
    </row>
    <row r="615" spans="2:6" ht="18.75" thickBot="1">
      <c r="B615" s="3491">
        <v>611</v>
      </c>
      <c r="C615" s="3492" t="s">
        <v>4974</v>
      </c>
      <c r="D615" s="3493" t="s">
        <v>4187</v>
      </c>
      <c r="E615" s="3493">
        <v>27.63</v>
      </c>
      <c r="F615" s="3492">
        <v>9</v>
      </c>
    </row>
    <row r="616" spans="2:6" ht="18.75" thickBot="1">
      <c r="B616" s="3491">
        <v>612</v>
      </c>
      <c r="C616" s="3492" t="s">
        <v>4974</v>
      </c>
      <c r="D616" s="3493" t="s">
        <v>4188</v>
      </c>
      <c r="E616" s="3493">
        <v>27.63</v>
      </c>
      <c r="F616" s="3492">
        <v>9</v>
      </c>
    </row>
    <row r="617" spans="2:6" ht="18.75" thickBot="1">
      <c r="B617" s="3491">
        <v>613</v>
      </c>
      <c r="C617" s="3492" t="s">
        <v>4974</v>
      </c>
      <c r="D617" s="3493" t="s">
        <v>4189</v>
      </c>
      <c r="E617" s="3493">
        <v>27.63</v>
      </c>
      <c r="F617" s="3492">
        <v>9</v>
      </c>
    </row>
    <row r="618" spans="2:6" ht="18.75" thickBot="1">
      <c r="B618" s="3491">
        <v>614</v>
      </c>
      <c r="C618" s="3492" t="s">
        <v>4974</v>
      </c>
      <c r="D618" s="3493" t="s">
        <v>4190</v>
      </c>
      <c r="E618" s="3493">
        <v>27.63</v>
      </c>
      <c r="F618" s="3492">
        <v>9</v>
      </c>
    </row>
    <row r="619" spans="2:6" ht="18.75" thickBot="1">
      <c r="B619" s="3491">
        <v>615</v>
      </c>
      <c r="C619" s="3492" t="s">
        <v>4974</v>
      </c>
      <c r="D619" s="3493" t="s">
        <v>4191</v>
      </c>
      <c r="E619" s="3493">
        <v>27.63</v>
      </c>
      <c r="F619" s="3492">
        <v>9</v>
      </c>
    </row>
    <row r="620" spans="2:6" ht="18.75" thickBot="1">
      <c r="B620" s="3491">
        <v>616</v>
      </c>
      <c r="C620" s="3492" t="s">
        <v>4974</v>
      </c>
      <c r="D620" s="3493" t="s">
        <v>4192</v>
      </c>
      <c r="E620" s="3493">
        <v>27.63</v>
      </c>
      <c r="F620" s="3492">
        <v>9</v>
      </c>
    </row>
    <row r="621" spans="2:6" ht="18.75" thickBot="1">
      <c r="B621" s="3491">
        <v>617</v>
      </c>
      <c r="C621" s="3492" t="s">
        <v>4974</v>
      </c>
      <c r="D621" s="3493" t="s">
        <v>4193</v>
      </c>
      <c r="E621" s="3493">
        <v>27.63</v>
      </c>
      <c r="F621" s="3492">
        <v>9</v>
      </c>
    </row>
    <row r="622" spans="2:6" ht="18.75" thickBot="1">
      <c r="B622" s="3491">
        <v>618</v>
      </c>
      <c r="C622" s="3492" t="s">
        <v>4974</v>
      </c>
      <c r="D622" s="3493" t="s">
        <v>4194</v>
      </c>
      <c r="E622" s="3493">
        <v>27.63</v>
      </c>
      <c r="F622" s="3492">
        <v>9</v>
      </c>
    </row>
    <row r="623" spans="2:6" ht="18.75" thickBot="1">
      <c r="B623" s="3491">
        <v>619</v>
      </c>
      <c r="C623" s="3492" t="s">
        <v>4974</v>
      </c>
      <c r="D623" s="3493" t="s">
        <v>4195</v>
      </c>
      <c r="E623" s="3493">
        <v>27.63</v>
      </c>
      <c r="F623" s="3492">
        <v>9</v>
      </c>
    </row>
    <row r="624" spans="2:6" ht="18.75" thickBot="1">
      <c r="B624" s="3491">
        <v>620</v>
      </c>
      <c r="C624" s="3492" t="s">
        <v>4974</v>
      </c>
      <c r="D624" s="3493" t="s">
        <v>4196</v>
      </c>
      <c r="E624" s="3493">
        <v>27.63</v>
      </c>
      <c r="F624" s="3492">
        <v>9</v>
      </c>
    </row>
    <row r="625" spans="2:6" ht="18.75" thickBot="1">
      <c r="B625" s="3491">
        <v>621</v>
      </c>
      <c r="C625" s="3492" t="s">
        <v>4974</v>
      </c>
      <c r="D625" s="3493" t="s">
        <v>4197</v>
      </c>
      <c r="E625" s="3493">
        <v>27.63</v>
      </c>
      <c r="F625" s="3492">
        <v>9</v>
      </c>
    </row>
    <row r="626" spans="2:6" ht="18.75" thickBot="1">
      <c r="B626" s="3491">
        <v>622</v>
      </c>
      <c r="C626" s="3492" t="s">
        <v>4974</v>
      </c>
      <c r="D626" s="3493" t="s">
        <v>4198</v>
      </c>
      <c r="E626" s="3493">
        <v>27.63</v>
      </c>
      <c r="F626" s="3492">
        <v>9</v>
      </c>
    </row>
    <row r="627" spans="2:6" ht="18.75" thickBot="1">
      <c r="B627" s="3491">
        <v>623</v>
      </c>
      <c r="C627" s="3492" t="s">
        <v>4974</v>
      </c>
      <c r="D627" s="3493" t="s">
        <v>4199</v>
      </c>
      <c r="E627" s="3493">
        <v>27.63</v>
      </c>
      <c r="F627" s="3492">
        <v>9</v>
      </c>
    </row>
    <row r="628" spans="2:6" ht="18.75" thickBot="1">
      <c r="B628" s="3491">
        <v>624</v>
      </c>
      <c r="C628" s="3492" t="s">
        <v>4974</v>
      </c>
      <c r="D628" s="3493" t="s">
        <v>4200</v>
      </c>
      <c r="E628" s="3493">
        <v>27.63</v>
      </c>
      <c r="F628" s="3492">
        <v>9</v>
      </c>
    </row>
    <row r="629" spans="2:6" ht="18.75" thickBot="1">
      <c r="B629" s="3491">
        <v>625</v>
      </c>
      <c r="C629" s="3492" t="s">
        <v>4974</v>
      </c>
      <c r="D629" s="3493" t="s">
        <v>4201</v>
      </c>
      <c r="E629" s="3493">
        <v>27.63</v>
      </c>
      <c r="F629" s="3492">
        <v>9</v>
      </c>
    </row>
    <row r="630" spans="2:6" ht="18.75" thickBot="1">
      <c r="B630" s="3491">
        <v>626</v>
      </c>
      <c r="C630" s="3492" t="s">
        <v>4974</v>
      </c>
      <c r="D630" s="3493" t="s">
        <v>4202</v>
      </c>
      <c r="E630" s="3493">
        <v>27.63</v>
      </c>
      <c r="F630" s="3492">
        <v>9</v>
      </c>
    </row>
    <row r="631" spans="2:6" ht="18.75" thickBot="1">
      <c r="B631" s="3491">
        <v>627</v>
      </c>
      <c r="C631" s="3492" t="s">
        <v>4974</v>
      </c>
      <c r="D631" s="3493" t="s">
        <v>4203</v>
      </c>
      <c r="E631" s="3493">
        <v>27.63</v>
      </c>
      <c r="F631" s="3492">
        <v>9</v>
      </c>
    </row>
    <row r="632" spans="2:6" ht="18.75" thickBot="1">
      <c r="B632" s="3491">
        <v>628</v>
      </c>
      <c r="C632" s="3492" t="s">
        <v>4974</v>
      </c>
      <c r="D632" s="3493" t="s">
        <v>4204</v>
      </c>
      <c r="E632" s="3493">
        <v>27.63</v>
      </c>
      <c r="F632" s="3492">
        <v>9</v>
      </c>
    </row>
    <row r="633" spans="2:6" ht="18.75" thickBot="1">
      <c r="B633" s="3491">
        <v>629</v>
      </c>
      <c r="C633" s="3492" t="s">
        <v>4974</v>
      </c>
      <c r="D633" s="3493" t="s">
        <v>4205</v>
      </c>
      <c r="E633" s="3493">
        <v>27.63</v>
      </c>
      <c r="F633" s="3492">
        <v>9</v>
      </c>
    </row>
    <row r="634" spans="2:6" ht="18.75" thickBot="1">
      <c r="B634" s="3491">
        <v>630</v>
      </c>
      <c r="C634" s="3492" t="s">
        <v>4974</v>
      </c>
      <c r="D634" s="3493" t="s">
        <v>4206</v>
      </c>
      <c r="E634" s="3493">
        <v>27.63</v>
      </c>
      <c r="F634" s="3492">
        <v>9</v>
      </c>
    </row>
    <row r="635" spans="2:6" ht="18.75" thickBot="1">
      <c r="B635" s="3491">
        <v>631</v>
      </c>
      <c r="C635" s="3492" t="s">
        <v>4974</v>
      </c>
      <c r="D635" s="3493" t="s">
        <v>4207</v>
      </c>
      <c r="E635" s="3493">
        <v>27.63</v>
      </c>
      <c r="F635" s="3492">
        <v>9</v>
      </c>
    </row>
    <row r="636" spans="2:6" ht="18.75" thickBot="1">
      <c r="B636" s="3491">
        <v>632</v>
      </c>
      <c r="C636" s="3492" t="s">
        <v>4974</v>
      </c>
      <c r="D636" s="3493" t="s">
        <v>4208</v>
      </c>
      <c r="E636" s="3493">
        <v>27.63</v>
      </c>
      <c r="F636" s="3492">
        <v>9</v>
      </c>
    </row>
    <row r="637" spans="2:6" ht="18.75" thickBot="1">
      <c r="B637" s="3491">
        <v>633</v>
      </c>
      <c r="C637" s="3492" t="s">
        <v>4974</v>
      </c>
      <c r="D637" s="3493" t="s">
        <v>4209</v>
      </c>
      <c r="E637" s="3493">
        <v>27.63</v>
      </c>
      <c r="F637" s="3492">
        <v>9</v>
      </c>
    </row>
    <row r="638" spans="2:6" ht="18.75" thickBot="1">
      <c r="B638" s="3491">
        <v>634</v>
      </c>
      <c r="C638" s="3492" t="s">
        <v>4974</v>
      </c>
      <c r="D638" s="3493" t="s">
        <v>4210</v>
      </c>
      <c r="E638" s="3493">
        <v>27.63</v>
      </c>
      <c r="F638" s="3492">
        <v>9</v>
      </c>
    </row>
    <row r="639" spans="2:6" ht="18.75" thickBot="1">
      <c r="B639" s="3491">
        <v>635</v>
      </c>
      <c r="C639" s="3492" t="s">
        <v>4974</v>
      </c>
      <c r="D639" s="3493" t="s">
        <v>4211</v>
      </c>
      <c r="E639" s="3493">
        <v>27.63</v>
      </c>
      <c r="F639" s="3492">
        <v>9</v>
      </c>
    </row>
    <row r="640" spans="2:6" ht="18.75" thickBot="1">
      <c r="B640" s="3491">
        <v>636</v>
      </c>
      <c r="C640" s="3492" t="s">
        <v>4974</v>
      </c>
      <c r="D640" s="3493" t="s">
        <v>4212</v>
      </c>
      <c r="E640" s="3493">
        <v>27.63</v>
      </c>
      <c r="F640" s="3492">
        <v>9</v>
      </c>
    </row>
    <row r="641" spans="2:6" ht="18.75" thickBot="1">
      <c r="B641" s="3491">
        <v>637</v>
      </c>
      <c r="C641" s="3492" t="s">
        <v>4974</v>
      </c>
      <c r="D641" s="3493" t="s">
        <v>4213</v>
      </c>
      <c r="E641" s="3493">
        <v>27.63</v>
      </c>
      <c r="F641" s="3492">
        <v>9</v>
      </c>
    </row>
    <row r="642" spans="2:6" ht="18.75" thickBot="1">
      <c r="B642" s="3491">
        <v>638</v>
      </c>
      <c r="C642" s="3492" t="s">
        <v>4974</v>
      </c>
      <c r="D642" s="3493" t="s">
        <v>4214</v>
      </c>
      <c r="E642" s="3493">
        <v>27.63</v>
      </c>
      <c r="F642" s="3492">
        <v>9</v>
      </c>
    </row>
    <row r="643" spans="2:6" ht="18.75" thickBot="1">
      <c r="B643" s="3491">
        <v>639</v>
      </c>
      <c r="C643" s="3492" t="s">
        <v>4974</v>
      </c>
      <c r="D643" s="3493" t="s">
        <v>4215</v>
      </c>
      <c r="E643" s="3493">
        <v>27.63</v>
      </c>
      <c r="F643" s="3492">
        <v>9</v>
      </c>
    </row>
    <row r="644" spans="2:6" ht="18.75" thickBot="1">
      <c r="B644" s="3491">
        <v>640</v>
      </c>
      <c r="C644" s="3492" t="s">
        <v>4974</v>
      </c>
      <c r="D644" s="3493" t="s">
        <v>4216</v>
      </c>
      <c r="E644" s="3493">
        <v>27.63</v>
      </c>
      <c r="F644" s="3492">
        <v>9</v>
      </c>
    </row>
    <row r="645" spans="2:6" ht="18.75" thickBot="1">
      <c r="B645" s="3491">
        <v>641</v>
      </c>
      <c r="C645" s="3492" t="s">
        <v>4974</v>
      </c>
      <c r="D645" s="3493" t="s">
        <v>4217</v>
      </c>
      <c r="E645" s="3493">
        <v>27.63</v>
      </c>
      <c r="F645" s="3492">
        <v>9</v>
      </c>
    </row>
    <row r="646" spans="2:6" ht="18.75" thickBot="1">
      <c r="B646" s="3491">
        <v>642</v>
      </c>
      <c r="C646" s="3492" t="s">
        <v>4974</v>
      </c>
      <c r="D646" s="3493" t="s">
        <v>4218</v>
      </c>
      <c r="E646" s="3493">
        <v>27.63</v>
      </c>
      <c r="F646" s="3492">
        <v>9</v>
      </c>
    </row>
    <row r="647" spans="2:6" ht="18.75" thickBot="1">
      <c r="B647" s="3491">
        <v>643</v>
      </c>
      <c r="C647" s="3492" t="s">
        <v>4974</v>
      </c>
      <c r="D647" s="3493" t="s">
        <v>4219</v>
      </c>
      <c r="E647" s="3493">
        <v>27.63</v>
      </c>
      <c r="F647" s="3492">
        <v>9</v>
      </c>
    </row>
    <row r="648" spans="2:6" ht="18.75" thickBot="1">
      <c r="B648" s="3491">
        <v>644</v>
      </c>
      <c r="C648" s="3492" t="s">
        <v>4974</v>
      </c>
      <c r="D648" s="3493" t="s">
        <v>4220</v>
      </c>
      <c r="E648" s="3493">
        <v>27.63</v>
      </c>
      <c r="F648" s="3492">
        <v>9</v>
      </c>
    </row>
    <row r="649" spans="2:6" ht="18.75" thickBot="1">
      <c r="B649" s="3491">
        <v>645</v>
      </c>
      <c r="C649" s="3492" t="s">
        <v>4974</v>
      </c>
      <c r="D649" s="3493" t="s">
        <v>4221</v>
      </c>
      <c r="E649" s="3493">
        <v>27.63</v>
      </c>
      <c r="F649" s="3492">
        <v>9</v>
      </c>
    </row>
    <row r="650" spans="2:6" ht="18.75" thickBot="1">
      <c r="B650" s="3491">
        <v>646</v>
      </c>
      <c r="C650" s="3492" t="s">
        <v>4974</v>
      </c>
      <c r="D650" s="3493" t="s">
        <v>4222</v>
      </c>
      <c r="E650" s="3493">
        <v>27.63</v>
      </c>
      <c r="F650" s="3492">
        <v>9</v>
      </c>
    </row>
    <row r="651" spans="2:6" ht="18.75" thickBot="1">
      <c r="B651" s="3491">
        <v>647</v>
      </c>
      <c r="C651" s="3492" t="s">
        <v>4974</v>
      </c>
      <c r="D651" s="3493" t="s">
        <v>4223</v>
      </c>
      <c r="E651" s="3493">
        <v>27.63</v>
      </c>
      <c r="F651" s="3492">
        <v>9</v>
      </c>
    </row>
    <row r="652" spans="2:6" ht="18.75" thickBot="1">
      <c r="B652" s="3491">
        <v>648</v>
      </c>
      <c r="C652" s="3492" t="s">
        <v>4974</v>
      </c>
      <c r="D652" s="3493" t="s">
        <v>4224</v>
      </c>
      <c r="E652" s="3493">
        <v>27.63</v>
      </c>
      <c r="F652" s="3492">
        <v>9</v>
      </c>
    </row>
    <row r="653" spans="2:6" ht="18.75" thickBot="1">
      <c r="B653" s="3491">
        <v>649</v>
      </c>
      <c r="C653" s="3492" t="s">
        <v>4974</v>
      </c>
      <c r="D653" s="3493" t="s">
        <v>4225</v>
      </c>
      <c r="E653" s="3493">
        <v>27.63</v>
      </c>
      <c r="F653" s="3492">
        <v>9</v>
      </c>
    </row>
    <row r="654" spans="2:6" ht="18.75" thickBot="1">
      <c r="B654" s="3491">
        <v>650</v>
      </c>
      <c r="C654" s="3492" t="s">
        <v>4974</v>
      </c>
      <c r="D654" s="3493" t="s">
        <v>4226</v>
      </c>
      <c r="E654" s="3493">
        <v>27.63</v>
      </c>
      <c r="F654" s="3492">
        <v>9</v>
      </c>
    </row>
    <row r="655" spans="2:6" ht="18.75" thickBot="1">
      <c r="B655" s="3491">
        <v>651</v>
      </c>
      <c r="C655" s="3492" t="s">
        <v>4974</v>
      </c>
      <c r="D655" s="3493" t="s">
        <v>4227</v>
      </c>
      <c r="E655" s="3493">
        <v>27.63</v>
      </c>
      <c r="F655" s="3492">
        <v>9</v>
      </c>
    </row>
    <row r="656" spans="2:6" ht="18.75" thickBot="1">
      <c r="B656" s="3491">
        <v>652</v>
      </c>
      <c r="C656" s="3492" t="s">
        <v>4974</v>
      </c>
      <c r="D656" s="3493" t="s">
        <v>4228</v>
      </c>
      <c r="E656" s="3493">
        <v>27.63</v>
      </c>
      <c r="F656" s="3492">
        <v>9</v>
      </c>
    </row>
    <row r="657" spans="2:6" ht="18.75" thickBot="1">
      <c r="B657" s="3491">
        <v>653</v>
      </c>
      <c r="C657" s="3492" t="s">
        <v>4974</v>
      </c>
      <c r="D657" s="3493" t="s">
        <v>4229</v>
      </c>
      <c r="E657" s="3493">
        <v>27.63</v>
      </c>
      <c r="F657" s="3492">
        <v>9</v>
      </c>
    </row>
    <row r="658" spans="2:6" ht="18.75" thickBot="1">
      <c r="B658" s="3491">
        <v>654</v>
      </c>
      <c r="C658" s="3492" t="s">
        <v>4974</v>
      </c>
      <c r="D658" s="3493" t="s">
        <v>4230</v>
      </c>
      <c r="E658" s="3493">
        <v>27.63</v>
      </c>
      <c r="F658" s="3492">
        <v>9</v>
      </c>
    </row>
    <row r="659" spans="2:6" ht="18.75" thickBot="1">
      <c r="B659" s="3491">
        <v>655</v>
      </c>
      <c r="C659" s="3492" t="s">
        <v>4974</v>
      </c>
      <c r="D659" s="3493" t="s">
        <v>4231</v>
      </c>
      <c r="E659" s="3493">
        <v>27.63</v>
      </c>
      <c r="F659" s="3492">
        <v>9</v>
      </c>
    </row>
    <row r="660" spans="2:6" ht="18.75" thickBot="1">
      <c r="B660" s="3491">
        <v>656</v>
      </c>
      <c r="C660" s="3492" t="s">
        <v>4974</v>
      </c>
      <c r="D660" s="3493" t="s">
        <v>4232</v>
      </c>
      <c r="E660" s="3493">
        <v>27.63</v>
      </c>
      <c r="F660" s="3492">
        <v>9</v>
      </c>
    </row>
    <row r="661" spans="2:6" ht="18.75" thickBot="1">
      <c r="B661" s="3491">
        <v>657</v>
      </c>
      <c r="C661" s="3492" t="s">
        <v>4974</v>
      </c>
      <c r="D661" s="3493" t="s">
        <v>4233</v>
      </c>
      <c r="E661" s="3493">
        <v>27.63</v>
      </c>
      <c r="F661" s="3492">
        <v>9</v>
      </c>
    </row>
    <row r="662" spans="2:6" ht="18.75" thickBot="1">
      <c r="B662" s="3491">
        <v>658</v>
      </c>
      <c r="C662" s="3492" t="s">
        <v>4974</v>
      </c>
      <c r="D662" s="3493" t="s">
        <v>4234</v>
      </c>
      <c r="E662" s="3493">
        <v>27.63</v>
      </c>
      <c r="F662" s="3492">
        <v>9</v>
      </c>
    </row>
    <row r="663" spans="2:6" ht="18.75" thickBot="1">
      <c r="B663" s="3491">
        <v>659</v>
      </c>
      <c r="C663" s="3492" t="s">
        <v>4974</v>
      </c>
      <c r="D663" s="3493" t="s">
        <v>4235</v>
      </c>
      <c r="E663" s="3493">
        <v>27.63</v>
      </c>
      <c r="F663" s="3492">
        <v>9</v>
      </c>
    </row>
    <row r="664" spans="2:6" ht="18.75" thickBot="1">
      <c r="B664" s="3491">
        <v>660</v>
      </c>
      <c r="C664" s="3492" t="s">
        <v>4974</v>
      </c>
      <c r="D664" s="3493" t="s">
        <v>4236</v>
      </c>
      <c r="E664" s="3493">
        <v>27.63</v>
      </c>
      <c r="F664" s="3492">
        <v>9</v>
      </c>
    </row>
    <row r="665" spans="2:6" ht="18.75" thickBot="1">
      <c r="B665" s="3491">
        <v>661</v>
      </c>
      <c r="C665" s="3492" t="s">
        <v>4974</v>
      </c>
      <c r="D665" s="3493" t="s">
        <v>4237</v>
      </c>
      <c r="E665" s="3493">
        <v>27.63</v>
      </c>
      <c r="F665" s="3492">
        <v>9</v>
      </c>
    </row>
    <row r="666" spans="2:6" ht="18.75" thickBot="1">
      <c r="B666" s="3491">
        <v>662</v>
      </c>
      <c r="C666" s="3492" t="s">
        <v>4974</v>
      </c>
      <c r="D666" s="3493" t="s">
        <v>4238</v>
      </c>
      <c r="E666" s="3493">
        <v>27.63</v>
      </c>
      <c r="F666" s="3492">
        <v>9</v>
      </c>
    </row>
    <row r="667" spans="2:6" ht="18.75" thickBot="1">
      <c r="B667" s="3491">
        <v>663</v>
      </c>
      <c r="C667" s="3492" t="s">
        <v>4974</v>
      </c>
      <c r="D667" s="3493" t="s">
        <v>4239</v>
      </c>
      <c r="E667" s="3493">
        <v>27.63</v>
      </c>
      <c r="F667" s="3492">
        <v>9</v>
      </c>
    </row>
    <row r="668" spans="2:6" ht="18.75" thickBot="1">
      <c r="B668" s="3491">
        <v>664</v>
      </c>
      <c r="C668" s="3492" t="s">
        <v>4974</v>
      </c>
      <c r="D668" s="3493" t="s">
        <v>4240</v>
      </c>
      <c r="E668" s="3493">
        <v>27.63</v>
      </c>
      <c r="F668" s="3492">
        <v>9</v>
      </c>
    </row>
    <row r="669" spans="2:6" ht="18.75" thickBot="1">
      <c r="B669" s="3491">
        <v>665</v>
      </c>
      <c r="C669" s="3492" t="s">
        <v>4974</v>
      </c>
      <c r="D669" s="3493" t="s">
        <v>4241</v>
      </c>
      <c r="E669" s="3493">
        <v>27.63</v>
      </c>
      <c r="F669" s="3492">
        <v>9</v>
      </c>
    </row>
    <row r="670" spans="2:6" ht="18.75" thickBot="1">
      <c r="B670" s="3491">
        <v>666</v>
      </c>
      <c r="C670" s="3492" t="s">
        <v>4974</v>
      </c>
      <c r="D670" s="3493" t="s">
        <v>4242</v>
      </c>
      <c r="E670" s="3493">
        <v>27.63</v>
      </c>
      <c r="F670" s="3492">
        <v>9</v>
      </c>
    </row>
    <row r="671" spans="2:6" ht="18.75" thickBot="1">
      <c r="B671" s="3491">
        <v>667</v>
      </c>
      <c r="C671" s="3492" t="s">
        <v>4974</v>
      </c>
      <c r="D671" s="3493" t="s">
        <v>4243</v>
      </c>
      <c r="E671" s="3493">
        <v>27.63</v>
      </c>
      <c r="F671" s="3492">
        <v>9</v>
      </c>
    </row>
    <row r="672" spans="2:6" ht="18.75" thickBot="1">
      <c r="B672" s="3491">
        <v>668</v>
      </c>
      <c r="C672" s="3492" t="s">
        <v>4974</v>
      </c>
      <c r="D672" s="3493" t="s">
        <v>4244</v>
      </c>
      <c r="E672" s="3493">
        <v>27.63</v>
      </c>
      <c r="F672" s="3492">
        <v>9</v>
      </c>
    </row>
    <row r="673" spans="2:6" ht="18.75" thickBot="1">
      <c r="B673" s="3491">
        <v>669</v>
      </c>
      <c r="C673" s="3492" t="s">
        <v>4974</v>
      </c>
      <c r="D673" s="3493" t="s">
        <v>4245</v>
      </c>
      <c r="E673" s="3493">
        <v>27.63</v>
      </c>
      <c r="F673" s="3492">
        <v>9</v>
      </c>
    </row>
    <row r="674" spans="2:6" ht="18.75" thickBot="1">
      <c r="B674" s="3491">
        <v>670</v>
      </c>
      <c r="C674" s="3492" t="s">
        <v>4974</v>
      </c>
      <c r="D674" s="3493" t="s">
        <v>4246</v>
      </c>
      <c r="E674" s="3493">
        <v>27.63</v>
      </c>
      <c r="F674" s="3492">
        <v>9</v>
      </c>
    </row>
    <row r="675" spans="2:6" ht="18.75" thickBot="1">
      <c r="B675" s="3491">
        <v>671</v>
      </c>
      <c r="C675" s="3492" t="s">
        <v>4974</v>
      </c>
      <c r="D675" s="3493" t="s">
        <v>4247</v>
      </c>
      <c r="E675" s="3493">
        <v>27.63</v>
      </c>
      <c r="F675" s="3492">
        <v>9</v>
      </c>
    </row>
    <row r="676" spans="2:6" ht="18.75" thickBot="1">
      <c r="B676" s="3491">
        <v>672</v>
      </c>
      <c r="C676" s="3492" t="s">
        <v>4974</v>
      </c>
      <c r="D676" s="3493" t="s">
        <v>4248</v>
      </c>
      <c r="E676" s="3493">
        <v>27.63</v>
      </c>
      <c r="F676" s="3492">
        <v>9</v>
      </c>
    </row>
    <row r="677" spans="2:6" ht="18.75" thickBot="1">
      <c r="B677" s="3491">
        <v>673</v>
      </c>
      <c r="C677" s="3492" t="s">
        <v>4974</v>
      </c>
      <c r="D677" s="3493" t="s">
        <v>4249</v>
      </c>
      <c r="E677" s="3493">
        <v>27.63</v>
      </c>
      <c r="F677" s="3492">
        <v>9</v>
      </c>
    </row>
    <row r="678" spans="2:6" ht="18.75" thickBot="1">
      <c r="B678" s="3491">
        <v>674</v>
      </c>
      <c r="C678" s="3492" t="s">
        <v>4974</v>
      </c>
      <c r="D678" s="3493" t="s">
        <v>4250</v>
      </c>
      <c r="E678" s="3493">
        <v>27.63</v>
      </c>
      <c r="F678" s="3492">
        <v>9</v>
      </c>
    </row>
    <row r="679" spans="2:6" ht="18.75" thickBot="1">
      <c r="B679" s="3491">
        <v>675</v>
      </c>
      <c r="C679" s="3492" t="s">
        <v>4974</v>
      </c>
      <c r="D679" s="3493" t="s">
        <v>4251</v>
      </c>
      <c r="E679" s="3493">
        <v>27.63</v>
      </c>
      <c r="F679" s="3492">
        <v>9</v>
      </c>
    </row>
    <row r="680" spans="2:6" ht="18.75" thickBot="1">
      <c r="B680" s="3491">
        <v>676</v>
      </c>
      <c r="C680" s="3492" t="s">
        <v>4974</v>
      </c>
      <c r="D680" s="3493" t="s">
        <v>4252</v>
      </c>
      <c r="E680" s="3493">
        <v>27.63</v>
      </c>
      <c r="F680" s="3492">
        <v>9</v>
      </c>
    </row>
    <row r="681" spans="2:6" ht="18.75" thickBot="1">
      <c r="B681" s="3491">
        <v>677</v>
      </c>
      <c r="C681" s="3492" t="s">
        <v>4974</v>
      </c>
      <c r="D681" s="3493" t="s">
        <v>4253</v>
      </c>
      <c r="E681" s="3493">
        <v>27.63</v>
      </c>
      <c r="F681" s="3492">
        <v>9</v>
      </c>
    </row>
    <row r="682" spans="2:6" ht="18.75" thickBot="1">
      <c r="B682" s="3491">
        <v>678</v>
      </c>
      <c r="C682" s="3492" t="s">
        <v>4974</v>
      </c>
      <c r="D682" s="3493" t="s">
        <v>4254</v>
      </c>
      <c r="E682" s="3493">
        <v>27.63</v>
      </c>
      <c r="F682" s="3492">
        <v>9</v>
      </c>
    </row>
    <row r="683" spans="2:6" ht="18.75" thickBot="1">
      <c r="B683" s="3491">
        <v>679</v>
      </c>
      <c r="C683" s="3492" t="s">
        <v>4974</v>
      </c>
      <c r="D683" s="3493" t="s">
        <v>4255</v>
      </c>
      <c r="E683" s="3493">
        <v>27.63</v>
      </c>
      <c r="F683" s="3492">
        <v>9</v>
      </c>
    </row>
    <row r="684" spans="2:6" ht="18.75" thickBot="1">
      <c r="B684" s="3491">
        <v>680</v>
      </c>
      <c r="C684" s="3492" t="s">
        <v>4974</v>
      </c>
      <c r="D684" s="3493" t="s">
        <v>4256</v>
      </c>
      <c r="E684" s="3493">
        <v>27.63</v>
      </c>
      <c r="F684" s="3492">
        <v>9</v>
      </c>
    </row>
    <row r="685" spans="2:6" ht="18.75" thickBot="1">
      <c r="B685" s="3491">
        <v>681</v>
      </c>
      <c r="C685" s="3492" t="s">
        <v>4974</v>
      </c>
      <c r="D685" s="3493" t="s">
        <v>4257</v>
      </c>
      <c r="E685" s="3493">
        <v>27.63</v>
      </c>
      <c r="F685" s="3492">
        <v>9</v>
      </c>
    </row>
    <row r="686" spans="2:6" ht="18.75" thickBot="1">
      <c r="B686" s="3491">
        <v>682</v>
      </c>
      <c r="C686" s="3492" t="s">
        <v>4974</v>
      </c>
      <c r="D686" s="3493" t="s">
        <v>4258</v>
      </c>
      <c r="E686" s="3493">
        <v>27.63</v>
      </c>
      <c r="F686" s="3492">
        <v>9</v>
      </c>
    </row>
    <row r="687" spans="2:6" ht="18.75" thickBot="1">
      <c r="B687" s="3491">
        <v>683</v>
      </c>
      <c r="C687" s="3492" t="s">
        <v>4974</v>
      </c>
      <c r="D687" s="3493" t="s">
        <v>4259</v>
      </c>
      <c r="E687" s="3493">
        <v>27.63</v>
      </c>
      <c r="F687" s="3492">
        <v>9</v>
      </c>
    </row>
    <row r="688" spans="2:6" ht="18.75" thickBot="1">
      <c r="B688" s="3491">
        <v>684</v>
      </c>
      <c r="C688" s="3492" t="s">
        <v>4974</v>
      </c>
      <c r="D688" s="3493" t="s">
        <v>4260</v>
      </c>
      <c r="E688" s="3493">
        <v>27.63</v>
      </c>
      <c r="F688" s="3492">
        <v>9</v>
      </c>
    </row>
    <row r="689" spans="2:6" ht="18.75" thickBot="1">
      <c r="B689" s="3491">
        <v>685</v>
      </c>
      <c r="C689" s="3492" t="s">
        <v>4974</v>
      </c>
      <c r="D689" s="3493" t="s">
        <v>4261</v>
      </c>
      <c r="E689" s="3493">
        <v>27.63</v>
      </c>
      <c r="F689" s="3492">
        <v>9</v>
      </c>
    </row>
    <row r="690" spans="2:6" ht="18.75" thickBot="1">
      <c r="B690" s="3491">
        <v>686</v>
      </c>
      <c r="C690" s="3492" t="s">
        <v>4974</v>
      </c>
      <c r="D690" s="3493" t="s">
        <v>4262</v>
      </c>
      <c r="E690" s="3493">
        <v>27.63</v>
      </c>
      <c r="F690" s="3492">
        <v>9</v>
      </c>
    </row>
    <row r="691" spans="2:6" ht="18.75" thickBot="1">
      <c r="B691" s="3491">
        <v>687</v>
      </c>
      <c r="C691" s="3492" t="s">
        <v>4974</v>
      </c>
      <c r="D691" s="3493" t="s">
        <v>4263</v>
      </c>
      <c r="E691" s="3493">
        <v>27.63</v>
      </c>
      <c r="F691" s="3492">
        <v>9</v>
      </c>
    </row>
    <row r="692" spans="2:6" ht="18.75" thickBot="1">
      <c r="B692" s="3491">
        <v>688</v>
      </c>
      <c r="C692" s="3492" t="s">
        <v>4974</v>
      </c>
      <c r="D692" s="3493" t="s">
        <v>4264</v>
      </c>
      <c r="E692" s="3493">
        <v>27.63</v>
      </c>
      <c r="F692" s="3492">
        <v>9</v>
      </c>
    </row>
    <row r="693" spans="2:6" ht="18.75" thickBot="1">
      <c r="B693" s="3491">
        <v>689</v>
      </c>
      <c r="C693" s="3492" t="s">
        <v>4974</v>
      </c>
      <c r="D693" s="3493" t="s">
        <v>4265</v>
      </c>
      <c r="E693" s="3493">
        <v>27.63</v>
      </c>
      <c r="F693" s="3492">
        <v>9</v>
      </c>
    </row>
    <row r="694" spans="2:6" ht="18.75" thickBot="1">
      <c r="B694" s="3491">
        <v>690</v>
      </c>
      <c r="C694" s="3492" t="s">
        <v>4974</v>
      </c>
      <c r="D694" s="3493" t="s">
        <v>4266</v>
      </c>
      <c r="E694" s="3493">
        <v>27.63</v>
      </c>
      <c r="F694" s="3492">
        <v>9</v>
      </c>
    </row>
    <row r="695" spans="2:6" ht="18.75" thickBot="1">
      <c r="B695" s="3491">
        <v>691</v>
      </c>
      <c r="C695" s="3492" t="s">
        <v>4974</v>
      </c>
      <c r="D695" s="3493" t="s">
        <v>4267</v>
      </c>
      <c r="E695" s="3493">
        <v>27.63</v>
      </c>
      <c r="F695" s="3492">
        <v>9</v>
      </c>
    </row>
    <row r="696" spans="2:6" ht="18.75" thickBot="1">
      <c r="B696" s="3491">
        <v>692</v>
      </c>
      <c r="C696" s="3492" t="s">
        <v>4974</v>
      </c>
      <c r="D696" s="3493" t="s">
        <v>4268</v>
      </c>
      <c r="E696" s="3493">
        <v>27.63</v>
      </c>
      <c r="F696" s="3492">
        <v>9</v>
      </c>
    </row>
    <row r="697" spans="2:6" ht="18.75" thickBot="1">
      <c r="B697" s="3491">
        <v>693</v>
      </c>
      <c r="C697" s="3492" t="s">
        <v>4974</v>
      </c>
      <c r="D697" s="3493" t="s">
        <v>4269</v>
      </c>
      <c r="E697" s="3493">
        <v>27.63</v>
      </c>
      <c r="F697" s="3492">
        <v>9</v>
      </c>
    </row>
    <row r="698" spans="2:6" ht="18.75" thickBot="1">
      <c r="B698" s="3491">
        <v>694</v>
      </c>
      <c r="C698" s="3492" t="s">
        <v>4974</v>
      </c>
      <c r="D698" s="3493" t="s">
        <v>4270</v>
      </c>
      <c r="E698" s="3493">
        <v>27.63</v>
      </c>
      <c r="F698" s="3492">
        <v>9</v>
      </c>
    </row>
    <row r="699" spans="2:6" ht="18.75" thickBot="1">
      <c r="B699" s="3491">
        <v>695</v>
      </c>
      <c r="C699" s="3492" t="s">
        <v>4974</v>
      </c>
      <c r="D699" s="3493" t="s">
        <v>4271</v>
      </c>
      <c r="E699" s="3493">
        <v>27.63</v>
      </c>
      <c r="F699" s="3492">
        <v>9</v>
      </c>
    </row>
    <row r="700" spans="2:6" ht="18.75" thickBot="1">
      <c r="B700" s="3491">
        <v>696</v>
      </c>
      <c r="C700" s="3492" t="s">
        <v>4974</v>
      </c>
      <c r="D700" s="3493" t="s">
        <v>4272</v>
      </c>
      <c r="E700" s="3493">
        <v>27.63</v>
      </c>
      <c r="F700" s="3492">
        <v>9</v>
      </c>
    </row>
    <row r="701" spans="2:6" ht="18.75" thickBot="1">
      <c r="B701" s="3491">
        <v>697</v>
      </c>
      <c r="C701" s="3492" t="s">
        <v>4974</v>
      </c>
      <c r="D701" s="3493" t="s">
        <v>4273</v>
      </c>
      <c r="E701" s="3493">
        <v>27.63</v>
      </c>
      <c r="F701" s="3492">
        <v>9</v>
      </c>
    </row>
    <row r="702" spans="2:6" ht="18.75" thickBot="1">
      <c r="B702" s="3491">
        <v>698</v>
      </c>
      <c r="C702" s="3492" t="s">
        <v>4974</v>
      </c>
      <c r="D702" s="3493" t="s">
        <v>4274</v>
      </c>
      <c r="E702" s="3493">
        <v>27.63</v>
      </c>
      <c r="F702" s="3492">
        <v>9</v>
      </c>
    </row>
    <row r="703" spans="2:6" ht="18.75" thickBot="1">
      <c r="B703" s="3491">
        <v>699</v>
      </c>
      <c r="C703" s="3492" t="s">
        <v>4974</v>
      </c>
      <c r="D703" s="3493" t="s">
        <v>4275</v>
      </c>
      <c r="E703" s="3493">
        <v>27.63</v>
      </c>
      <c r="F703" s="3492">
        <v>9</v>
      </c>
    </row>
    <row r="704" spans="2:6" ht="18.75" thickBot="1">
      <c r="B704" s="3491">
        <v>700</v>
      </c>
      <c r="C704" s="3492" t="s">
        <v>4974</v>
      </c>
      <c r="D704" s="3493" t="s">
        <v>4276</v>
      </c>
      <c r="E704" s="3493">
        <v>27.63</v>
      </c>
      <c r="F704" s="3492">
        <v>9</v>
      </c>
    </row>
    <row r="705" spans="2:6" ht="18.75" thickBot="1">
      <c r="B705" s="3491">
        <v>701</v>
      </c>
      <c r="C705" s="3492" t="s">
        <v>4974</v>
      </c>
      <c r="D705" s="3493" t="s">
        <v>4277</v>
      </c>
      <c r="E705" s="3493">
        <v>27.63</v>
      </c>
      <c r="F705" s="3492">
        <v>9</v>
      </c>
    </row>
    <row r="706" spans="2:6" ht="18.75" thickBot="1">
      <c r="B706" s="3491">
        <v>702</v>
      </c>
      <c r="C706" s="3492" t="s">
        <v>4974</v>
      </c>
      <c r="D706" s="3493" t="s">
        <v>4278</v>
      </c>
      <c r="E706" s="3493">
        <v>27.63</v>
      </c>
      <c r="F706" s="3492">
        <v>9</v>
      </c>
    </row>
    <row r="707" spans="2:6" ht="18.75" thickBot="1">
      <c r="B707" s="3491">
        <v>703</v>
      </c>
      <c r="C707" s="3492" t="s">
        <v>4974</v>
      </c>
      <c r="D707" s="3493" t="s">
        <v>4279</v>
      </c>
      <c r="E707" s="3493">
        <v>27.63</v>
      </c>
      <c r="F707" s="3492">
        <v>9</v>
      </c>
    </row>
    <row r="708" spans="2:6" ht="18.75" thickBot="1">
      <c r="B708" s="3491">
        <v>704</v>
      </c>
      <c r="C708" s="3492" t="s">
        <v>4974</v>
      </c>
      <c r="D708" s="3493" t="s">
        <v>4280</v>
      </c>
      <c r="E708" s="3493">
        <v>27.63</v>
      </c>
      <c r="F708" s="3492">
        <v>9</v>
      </c>
    </row>
    <row r="709" spans="2:6" ht="18.75" thickBot="1">
      <c r="B709" s="3491">
        <v>705</v>
      </c>
      <c r="C709" s="3492" t="s">
        <v>4974</v>
      </c>
      <c r="D709" s="3493" t="s">
        <v>4281</v>
      </c>
      <c r="E709" s="3493">
        <v>27.63</v>
      </c>
      <c r="F709" s="3492">
        <v>9</v>
      </c>
    </row>
    <row r="710" spans="2:6" ht="18.75" thickBot="1">
      <c r="B710" s="3491">
        <v>706</v>
      </c>
      <c r="C710" s="3492" t="s">
        <v>4974</v>
      </c>
      <c r="D710" s="3493" t="s">
        <v>4282</v>
      </c>
      <c r="E710" s="3493">
        <v>27.63</v>
      </c>
      <c r="F710" s="3492">
        <v>9</v>
      </c>
    </row>
    <row r="711" spans="2:6" ht="18.75" thickBot="1">
      <c r="B711" s="3491">
        <v>707</v>
      </c>
      <c r="C711" s="3492" t="s">
        <v>4974</v>
      </c>
      <c r="D711" s="3493" t="s">
        <v>4283</v>
      </c>
      <c r="E711" s="3493">
        <v>27.63</v>
      </c>
      <c r="F711" s="3492">
        <v>9</v>
      </c>
    </row>
    <row r="712" spans="2:6" ht="18.75" thickBot="1">
      <c r="B712" s="3491">
        <v>708</v>
      </c>
      <c r="C712" s="3492" t="s">
        <v>4974</v>
      </c>
      <c r="D712" s="3493" t="s">
        <v>4284</v>
      </c>
      <c r="E712" s="3493">
        <v>27.63</v>
      </c>
      <c r="F712" s="3492">
        <v>9</v>
      </c>
    </row>
    <row r="713" spans="2:6" ht="18.75" thickBot="1">
      <c r="B713" s="3491">
        <v>709</v>
      </c>
      <c r="C713" s="3492" t="s">
        <v>4974</v>
      </c>
      <c r="D713" s="3493" t="s">
        <v>4285</v>
      </c>
      <c r="E713" s="3493">
        <v>27.63</v>
      </c>
      <c r="F713" s="3492">
        <v>9</v>
      </c>
    </row>
    <row r="714" spans="2:6" ht="18.75" thickBot="1">
      <c r="B714" s="3491">
        <v>710</v>
      </c>
      <c r="C714" s="3492" t="s">
        <v>4974</v>
      </c>
      <c r="D714" s="3493" t="s">
        <v>4286</v>
      </c>
      <c r="E714" s="3493">
        <v>27.63</v>
      </c>
      <c r="F714" s="3492">
        <v>9</v>
      </c>
    </row>
    <row r="715" spans="2:6" ht="18.75" thickBot="1">
      <c r="B715" s="3491">
        <v>711</v>
      </c>
      <c r="C715" s="3492" t="s">
        <v>4974</v>
      </c>
      <c r="D715" s="3493" t="s">
        <v>4287</v>
      </c>
      <c r="E715" s="3493">
        <v>27.63</v>
      </c>
      <c r="F715" s="3492">
        <v>9</v>
      </c>
    </row>
    <row r="716" spans="2:6" ht="18.75" thickBot="1">
      <c r="B716" s="3491">
        <v>712</v>
      </c>
      <c r="C716" s="3492" t="s">
        <v>4974</v>
      </c>
      <c r="D716" s="3493" t="s">
        <v>4288</v>
      </c>
      <c r="E716" s="3493">
        <v>27.63</v>
      </c>
      <c r="F716" s="3492">
        <v>9</v>
      </c>
    </row>
    <row r="717" spans="2:6" ht="18.75" thickBot="1">
      <c r="B717" s="3491">
        <v>713</v>
      </c>
      <c r="C717" s="3492" t="s">
        <v>4974</v>
      </c>
      <c r="D717" s="3493" t="s">
        <v>4289</v>
      </c>
      <c r="E717" s="3493">
        <v>27.63</v>
      </c>
      <c r="F717" s="3492">
        <v>9</v>
      </c>
    </row>
    <row r="718" spans="2:6" ht="18.75" thickBot="1">
      <c r="B718" s="3491">
        <v>714</v>
      </c>
      <c r="C718" s="3492" t="s">
        <v>4974</v>
      </c>
      <c r="D718" s="3493" t="s">
        <v>4290</v>
      </c>
      <c r="E718" s="3493">
        <v>27.63</v>
      </c>
      <c r="F718" s="3492">
        <v>9</v>
      </c>
    </row>
    <row r="719" spans="2:6" ht="18.75" thickBot="1">
      <c r="B719" s="3491">
        <v>715</v>
      </c>
      <c r="C719" s="3492" t="s">
        <v>4974</v>
      </c>
      <c r="D719" s="3493" t="s">
        <v>4291</v>
      </c>
      <c r="E719" s="3493">
        <v>27.63</v>
      </c>
      <c r="F719" s="3492">
        <v>9</v>
      </c>
    </row>
    <row r="720" spans="2:6" ht="18.75" thickBot="1">
      <c r="B720" s="3491">
        <v>716</v>
      </c>
      <c r="C720" s="3492" t="s">
        <v>4974</v>
      </c>
      <c r="D720" s="3493" t="s">
        <v>4292</v>
      </c>
      <c r="E720" s="3493">
        <v>27.63</v>
      </c>
      <c r="F720" s="3492">
        <v>9</v>
      </c>
    </row>
    <row r="721" spans="2:6" ht="18.75" thickBot="1">
      <c r="B721" s="3491">
        <v>717</v>
      </c>
      <c r="C721" s="3492" t="s">
        <v>4974</v>
      </c>
      <c r="D721" s="3493" t="s">
        <v>4293</v>
      </c>
      <c r="E721" s="3493">
        <v>27.63</v>
      </c>
      <c r="F721" s="3492">
        <v>9</v>
      </c>
    </row>
    <row r="722" spans="2:6" ht="18.75" thickBot="1">
      <c r="B722" s="3491">
        <v>718</v>
      </c>
      <c r="C722" s="3492" t="s">
        <v>4974</v>
      </c>
      <c r="D722" s="3493" t="s">
        <v>4294</v>
      </c>
      <c r="E722" s="3493">
        <v>27.63</v>
      </c>
      <c r="F722" s="3492">
        <v>9</v>
      </c>
    </row>
    <row r="723" spans="2:6" ht="18.75" thickBot="1">
      <c r="B723" s="3491">
        <v>719</v>
      </c>
      <c r="C723" s="3492" t="s">
        <v>4974</v>
      </c>
      <c r="D723" s="3493" t="s">
        <v>4295</v>
      </c>
      <c r="E723" s="3493">
        <v>27.63</v>
      </c>
      <c r="F723" s="3492">
        <v>9</v>
      </c>
    </row>
    <row r="724" spans="2:6" ht="18.75" thickBot="1">
      <c r="B724" s="3491">
        <v>720</v>
      </c>
      <c r="C724" s="3492" t="s">
        <v>4974</v>
      </c>
      <c r="D724" s="3493" t="s">
        <v>4296</v>
      </c>
      <c r="E724" s="3493">
        <v>27.63</v>
      </c>
      <c r="F724" s="3492">
        <v>9</v>
      </c>
    </row>
    <row r="725" spans="2:6" ht="18.75" thickBot="1">
      <c r="B725" s="3491">
        <v>721</v>
      </c>
      <c r="C725" s="3492" t="s">
        <v>4974</v>
      </c>
      <c r="D725" s="3493" t="s">
        <v>4297</v>
      </c>
      <c r="E725" s="3493">
        <v>27.63</v>
      </c>
      <c r="F725" s="3492">
        <v>9</v>
      </c>
    </row>
    <row r="726" spans="2:6" ht="18.75" thickBot="1">
      <c r="B726" s="3491">
        <v>722</v>
      </c>
      <c r="C726" s="3492" t="s">
        <v>4974</v>
      </c>
      <c r="D726" s="3493" t="s">
        <v>4298</v>
      </c>
      <c r="E726" s="3493">
        <v>27.63</v>
      </c>
      <c r="F726" s="3492">
        <v>9</v>
      </c>
    </row>
    <row r="727" spans="2:6" ht="18.75" thickBot="1">
      <c r="B727" s="3491">
        <v>723</v>
      </c>
      <c r="C727" s="3492" t="s">
        <v>4974</v>
      </c>
      <c r="D727" s="3493" t="s">
        <v>4299</v>
      </c>
      <c r="E727" s="3493">
        <v>27.63</v>
      </c>
      <c r="F727" s="3492">
        <v>9</v>
      </c>
    </row>
    <row r="728" spans="2:6" ht="18.75" thickBot="1">
      <c r="B728" s="3491">
        <v>724</v>
      </c>
      <c r="C728" s="3492" t="s">
        <v>4974</v>
      </c>
      <c r="D728" s="3493" t="s">
        <v>4300</v>
      </c>
      <c r="E728" s="3493">
        <v>27.63</v>
      </c>
      <c r="F728" s="3492">
        <v>9</v>
      </c>
    </row>
    <row r="729" spans="2:6" ht="18.75" thickBot="1">
      <c r="B729" s="3491">
        <v>725</v>
      </c>
      <c r="C729" s="3492" t="s">
        <v>4974</v>
      </c>
      <c r="D729" s="3493" t="s">
        <v>4301</v>
      </c>
      <c r="E729" s="3493">
        <v>27.63</v>
      </c>
      <c r="F729" s="3492">
        <v>9</v>
      </c>
    </row>
    <row r="730" spans="2:6" ht="18.75" thickBot="1">
      <c r="B730" s="3491">
        <v>726</v>
      </c>
      <c r="C730" s="3492" t="s">
        <v>4974</v>
      </c>
      <c r="D730" s="3493" t="s">
        <v>4302</v>
      </c>
      <c r="E730" s="3493">
        <v>27.63</v>
      </c>
      <c r="F730" s="3492">
        <v>9</v>
      </c>
    </row>
    <row r="731" spans="2:6" ht="18.75" thickBot="1">
      <c r="B731" s="3491">
        <v>727</v>
      </c>
      <c r="C731" s="3492" t="s">
        <v>4974</v>
      </c>
      <c r="D731" s="3493" t="s">
        <v>4303</v>
      </c>
      <c r="E731" s="3493">
        <v>27.63</v>
      </c>
      <c r="F731" s="3492">
        <v>9</v>
      </c>
    </row>
    <row r="732" spans="2:6" ht="18.75" thickBot="1">
      <c r="B732" s="3491">
        <v>728</v>
      </c>
      <c r="C732" s="3492" t="s">
        <v>4974</v>
      </c>
      <c r="D732" s="3493" t="s">
        <v>4304</v>
      </c>
      <c r="E732" s="3493">
        <v>27.63</v>
      </c>
      <c r="F732" s="3492">
        <v>9</v>
      </c>
    </row>
    <row r="733" spans="2:6" ht="18.75" thickBot="1">
      <c r="B733" s="3491">
        <v>729</v>
      </c>
      <c r="C733" s="3492" t="s">
        <v>4974</v>
      </c>
      <c r="D733" s="3493" t="s">
        <v>4305</v>
      </c>
      <c r="E733" s="3493">
        <v>27.63</v>
      </c>
      <c r="F733" s="3492">
        <v>9</v>
      </c>
    </row>
    <row r="734" spans="2:6" ht="18.75" thickBot="1">
      <c r="B734" s="3491">
        <v>730</v>
      </c>
      <c r="C734" s="3492" t="s">
        <v>4974</v>
      </c>
      <c r="D734" s="3493" t="s">
        <v>4306</v>
      </c>
      <c r="E734" s="3493">
        <v>27.63</v>
      </c>
      <c r="F734" s="3492">
        <v>9</v>
      </c>
    </row>
    <row r="735" spans="2:6" ht="18.75" thickBot="1">
      <c r="B735" s="3491">
        <v>731</v>
      </c>
      <c r="C735" s="3492" t="s">
        <v>4974</v>
      </c>
      <c r="D735" s="3493" t="s">
        <v>4307</v>
      </c>
      <c r="E735" s="3493">
        <v>27.63</v>
      </c>
      <c r="F735" s="3492">
        <v>9</v>
      </c>
    </row>
    <row r="736" spans="2:6" ht="18.75" thickBot="1">
      <c r="B736" s="3491">
        <v>732</v>
      </c>
      <c r="C736" s="3492" t="s">
        <v>4974</v>
      </c>
      <c r="D736" s="3493" t="s">
        <v>4308</v>
      </c>
      <c r="E736" s="3493">
        <v>27.63</v>
      </c>
      <c r="F736" s="3492">
        <v>9</v>
      </c>
    </row>
    <row r="737" spans="2:6" ht="18.75" thickBot="1">
      <c r="B737" s="3491">
        <v>733</v>
      </c>
      <c r="C737" s="3492" t="s">
        <v>4974</v>
      </c>
      <c r="D737" s="3493" t="s">
        <v>4309</v>
      </c>
      <c r="E737" s="3493">
        <v>27.63</v>
      </c>
      <c r="F737" s="3492">
        <v>9</v>
      </c>
    </row>
    <row r="738" spans="2:6" ht="18.75" thickBot="1">
      <c r="B738" s="3491">
        <v>734</v>
      </c>
      <c r="C738" s="3492" t="s">
        <v>4974</v>
      </c>
      <c r="D738" s="3493" t="s">
        <v>4310</v>
      </c>
      <c r="E738" s="3493">
        <v>27.63</v>
      </c>
      <c r="F738" s="3492">
        <v>9</v>
      </c>
    </row>
    <row r="739" spans="2:6" ht="18.75" thickBot="1">
      <c r="B739" s="3491">
        <v>735</v>
      </c>
      <c r="C739" s="3492" t="s">
        <v>4974</v>
      </c>
      <c r="D739" s="3493" t="s">
        <v>4311</v>
      </c>
      <c r="E739" s="3493">
        <v>27.63</v>
      </c>
      <c r="F739" s="3492">
        <v>9</v>
      </c>
    </row>
    <row r="740" spans="2:6" ht="18.75" thickBot="1">
      <c r="B740" s="3491">
        <v>736</v>
      </c>
      <c r="C740" s="3492" t="s">
        <v>4974</v>
      </c>
      <c r="D740" s="3493" t="s">
        <v>4312</v>
      </c>
      <c r="E740" s="3493">
        <v>27.63</v>
      </c>
      <c r="F740" s="3492">
        <v>9</v>
      </c>
    </row>
    <row r="741" spans="2:6" ht="18.75" thickBot="1">
      <c r="B741" s="3491">
        <v>737</v>
      </c>
      <c r="C741" s="3492" t="s">
        <v>4974</v>
      </c>
      <c r="D741" s="3493" t="s">
        <v>4313</v>
      </c>
      <c r="E741" s="3493">
        <v>27.63</v>
      </c>
      <c r="F741" s="3492">
        <v>9</v>
      </c>
    </row>
    <row r="742" spans="2:6" ht="18.75" thickBot="1">
      <c r="B742" s="3491">
        <v>738</v>
      </c>
      <c r="C742" s="3492" t="s">
        <v>4974</v>
      </c>
      <c r="D742" s="3493" t="s">
        <v>4314</v>
      </c>
      <c r="E742" s="3493">
        <v>27.63</v>
      </c>
      <c r="F742" s="3492">
        <v>9</v>
      </c>
    </row>
    <row r="743" spans="2:6" ht="18.75" thickBot="1">
      <c r="B743" s="3491">
        <v>739</v>
      </c>
      <c r="C743" s="3492" t="s">
        <v>4974</v>
      </c>
      <c r="D743" s="3493" t="s">
        <v>4315</v>
      </c>
      <c r="E743" s="3493">
        <v>27.63</v>
      </c>
      <c r="F743" s="3492">
        <v>9</v>
      </c>
    </row>
    <row r="744" spans="2:6" ht="18.75" thickBot="1">
      <c r="B744" s="3491">
        <v>740</v>
      </c>
      <c r="C744" s="3492" t="s">
        <v>4974</v>
      </c>
      <c r="D744" s="3493" t="s">
        <v>4316</v>
      </c>
      <c r="E744" s="3493">
        <v>27.63</v>
      </c>
      <c r="F744" s="3492">
        <v>9</v>
      </c>
    </row>
    <row r="745" spans="2:6" ht="18.75" thickBot="1">
      <c r="B745" s="3491">
        <v>741</v>
      </c>
      <c r="C745" s="3492" t="s">
        <v>4974</v>
      </c>
      <c r="D745" s="3493" t="s">
        <v>4317</v>
      </c>
      <c r="E745" s="3493">
        <v>27.63</v>
      </c>
      <c r="F745" s="3492">
        <v>9</v>
      </c>
    </row>
    <row r="746" spans="2:6" ht="18.75" thickBot="1">
      <c r="B746" s="3491">
        <v>742</v>
      </c>
      <c r="C746" s="3492" t="s">
        <v>4974</v>
      </c>
      <c r="D746" s="3493" t="s">
        <v>4318</v>
      </c>
      <c r="E746" s="3493">
        <v>27.63</v>
      </c>
      <c r="F746" s="3492">
        <v>9</v>
      </c>
    </row>
    <row r="747" spans="2:6" ht="18.75" thickBot="1">
      <c r="B747" s="3491">
        <v>743</v>
      </c>
      <c r="C747" s="3492" t="s">
        <v>4974</v>
      </c>
      <c r="D747" s="3493" t="s">
        <v>4319</v>
      </c>
      <c r="E747" s="3493">
        <v>27.63</v>
      </c>
      <c r="F747" s="3492">
        <v>9</v>
      </c>
    </row>
    <row r="748" spans="2:6" ht="18.75" thickBot="1">
      <c r="B748" s="3491">
        <v>744</v>
      </c>
      <c r="C748" s="3492" t="s">
        <v>4974</v>
      </c>
      <c r="D748" s="3493" t="s">
        <v>4320</v>
      </c>
      <c r="E748" s="3493">
        <v>27.63</v>
      </c>
      <c r="F748" s="3492">
        <v>9</v>
      </c>
    </row>
    <row r="749" spans="2:6" ht="18.75" thickBot="1">
      <c r="B749" s="3491">
        <v>745</v>
      </c>
      <c r="C749" s="3492" t="s">
        <v>4974</v>
      </c>
      <c r="D749" s="3493" t="s">
        <v>4321</v>
      </c>
      <c r="E749" s="3493">
        <v>27.63</v>
      </c>
      <c r="F749" s="3492">
        <v>9</v>
      </c>
    </row>
    <row r="750" spans="2:6" ht="18.75" thickBot="1">
      <c r="B750" s="3491">
        <v>746</v>
      </c>
      <c r="C750" s="3492" t="s">
        <v>4974</v>
      </c>
      <c r="D750" s="3493" t="s">
        <v>4322</v>
      </c>
      <c r="E750" s="3493">
        <v>27.63</v>
      </c>
      <c r="F750" s="3492">
        <v>9</v>
      </c>
    </row>
    <row r="751" spans="2:6" ht="18.75" thickBot="1">
      <c r="B751" s="3491">
        <v>747</v>
      </c>
      <c r="C751" s="3492" t="s">
        <v>4974</v>
      </c>
      <c r="D751" s="3493" t="s">
        <v>4323</v>
      </c>
      <c r="E751" s="3493">
        <v>27.63</v>
      </c>
      <c r="F751" s="3492">
        <v>9</v>
      </c>
    </row>
    <row r="752" spans="2:6" ht="18.75" thickBot="1">
      <c r="B752" s="3491">
        <v>748</v>
      </c>
      <c r="C752" s="3492" t="s">
        <v>4974</v>
      </c>
      <c r="D752" s="3493" t="s">
        <v>4324</v>
      </c>
      <c r="E752" s="3493">
        <v>27.63</v>
      </c>
      <c r="F752" s="3492">
        <v>9</v>
      </c>
    </row>
    <row r="753" spans="2:6" ht="18.75" thickBot="1">
      <c r="B753" s="3491">
        <v>749</v>
      </c>
      <c r="C753" s="3492" t="s">
        <v>4974</v>
      </c>
      <c r="D753" s="3493" t="s">
        <v>4325</v>
      </c>
      <c r="E753" s="3493">
        <v>48.2</v>
      </c>
      <c r="F753" s="3492">
        <v>15.7</v>
      </c>
    </row>
    <row r="754" spans="2:6" ht="18.75" thickBot="1">
      <c r="B754" s="3491">
        <v>750</v>
      </c>
      <c r="C754" s="3492" t="s">
        <v>4974</v>
      </c>
      <c r="D754" s="3493" t="s">
        <v>4326</v>
      </c>
      <c r="E754" s="3493">
        <v>48.2</v>
      </c>
      <c r="F754" s="3492">
        <v>15.7</v>
      </c>
    </row>
    <row r="755" spans="2:6" ht="18.75" thickBot="1">
      <c r="B755" s="3491">
        <v>751</v>
      </c>
      <c r="C755" s="3492" t="s">
        <v>4974</v>
      </c>
      <c r="D755" s="3493" t="s">
        <v>4327</v>
      </c>
      <c r="E755" s="3493">
        <v>27.63</v>
      </c>
      <c r="F755" s="3492">
        <v>9</v>
      </c>
    </row>
    <row r="756" spans="2:6" ht="18.75" thickBot="1">
      <c r="B756" s="3491">
        <v>752</v>
      </c>
      <c r="C756" s="3492" t="s">
        <v>4974</v>
      </c>
      <c r="D756" s="3493" t="s">
        <v>4328</v>
      </c>
      <c r="E756" s="3493">
        <v>27.63</v>
      </c>
      <c r="F756" s="3492">
        <v>9</v>
      </c>
    </row>
    <row r="757" spans="2:6" ht="18.75" thickBot="1">
      <c r="B757" s="3491">
        <v>753</v>
      </c>
      <c r="C757" s="3492" t="s">
        <v>4974</v>
      </c>
      <c r="D757" s="3493" t="s">
        <v>4329</v>
      </c>
      <c r="E757" s="3493">
        <v>27.63</v>
      </c>
      <c r="F757" s="3492">
        <v>9</v>
      </c>
    </row>
    <row r="758" spans="2:6" ht="18.75" thickBot="1">
      <c r="B758" s="3491">
        <v>754</v>
      </c>
      <c r="C758" s="3492" t="s">
        <v>4974</v>
      </c>
      <c r="D758" s="3493" t="s">
        <v>4330</v>
      </c>
      <c r="E758" s="3493">
        <v>27.63</v>
      </c>
      <c r="F758" s="3492">
        <v>9</v>
      </c>
    </row>
    <row r="759" spans="2:6" ht="18.75" thickBot="1">
      <c r="B759" s="3491">
        <v>755</v>
      </c>
      <c r="C759" s="3492" t="s">
        <v>4974</v>
      </c>
      <c r="D759" s="3493" t="s">
        <v>4331</v>
      </c>
      <c r="E759" s="3493">
        <v>27.63</v>
      </c>
      <c r="F759" s="3492">
        <v>9</v>
      </c>
    </row>
    <row r="760" spans="2:6" ht="18.75" thickBot="1">
      <c r="B760" s="3491">
        <v>756</v>
      </c>
      <c r="C760" s="3492" t="s">
        <v>4974</v>
      </c>
      <c r="D760" s="3493" t="s">
        <v>4332</v>
      </c>
      <c r="E760" s="3493">
        <v>27.63</v>
      </c>
      <c r="F760" s="3492">
        <v>9</v>
      </c>
    </row>
    <row r="761" spans="2:6" ht="18.75" thickBot="1">
      <c r="B761" s="3491">
        <v>757</v>
      </c>
      <c r="C761" s="3492" t="s">
        <v>4974</v>
      </c>
      <c r="D761" s="3493" t="s">
        <v>4333</v>
      </c>
      <c r="E761" s="3493">
        <v>27.63</v>
      </c>
      <c r="F761" s="3492">
        <v>9</v>
      </c>
    </row>
    <row r="762" spans="2:6" ht="18.75" thickBot="1">
      <c r="B762" s="3491">
        <v>758</v>
      </c>
      <c r="C762" s="3492" t="s">
        <v>4974</v>
      </c>
      <c r="D762" s="3493" t="s">
        <v>4334</v>
      </c>
      <c r="E762" s="3493">
        <v>27.63</v>
      </c>
      <c r="F762" s="3492">
        <v>9</v>
      </c>
    </row>
    <row r="763" spans="2:6" ht="18.75" thickBot="1">
      <c r="B763" s="3491">
        <v>759</v>
      </c>
      <c r="C763" s="3492" t="s">
        <v>4974</v>
      </c>
      <c r="D763" s="3493" t="s">
        <v>4335</v>
      </c>
      <c r="E763" s="3493">
        <v>27.63</v>
      </c>
      <c r="F763" s="3492">
        <v>9</v>
      </c>
    </row>
    <row r="764" spans="2:6" ht="18.75" thickBot="1">
      <c r="B764" s="3491">
        <v>760</v>
      </c>
      <c r="C764" s="3492" t="s">
        <v>4974</v>
      </c>
      <c r="D764" s="3493" t="s">
        <v>4336</v>
      </c>
      <c r="E764" s="3493">
        <v>27.63</v>
      </c>
      <c r="F764" s="3492">
        <v>9</v>
      </c>
    </row>
    <row r="765" spans="2:6" ht="18.75" thickBot="1">
      <c r="B765" s="3491">
        <v>761</v>
      </c>
      <c r="C765" s="3492" t="s">
        <v>4974</v>
      </c>
      <c r="D765" s="3493" t="s">
        <v>4337</v>
      </c>
      <c r="E765" s="3493">
        <v>27.63</v>
      </c>
      <c r="F765" s="3492">
        <v>9</v>
      </c>
    </row>
    <row r="766" spans="2:6" ht="18.75" thickBot="1">
      <c r="B766" s="3491">
        <v>762</v>
      </c>
      <c r="C766" s="3492" t="s">
        <v>4974</v>
      </c>
      <c r="D766" s="3493" t="s">
        <v>4338</v>
      </c>
      <c r="E766" s="3493">
        <v>27.63</v>
      </c>
      <c r="F766" s="3492">
        <v>9</v>
      </c>
    </row>
    <row r="767" spans="2:6" ht="18.75" thickBot="1">
      <c r="B767" s="3491">
        <v>763</v>
      </c>
      <c r="C767" s="3492" t="s">
        <v>4974</v>
      </c>
      <c r="D767" s="3493" t="s">
        <v>4339</v>
      </c>
      <c r="E767" s="3493">
        <v>27.63</v>
      </c>
      <c r="F767" s="3492">
        <v>9</v>
      </c>
    </row>
    <row r="768" spans="2:6" ht="18.75" thickBot="1">
      <c r="B768" s="3491">
        <v>764</v>
      </c>
      <c r="C768" s="3492" t="s">
        <v>4974</v>
      </c>
      <c r="D768" s="3493" t="s">
        <v>4340</v>
      </c>
      <c r="E768" s="3493">
        <v>27.63</v>
      </c>
      <c r="F768" s="3492">
        <v>9</v>
      </c>
    </row>
    <row r="769" spans="2:6" ht="18.75" thickBot="1">
      <c r="B769" s="3491">
        <v>765</v>
      </c>
      <c r="C769" s="3492" t="s">
        <v>4974</v>
      </c>
      <c r="D769" s="3493" t="s">
        <v>4341</v>
      </c>
      <c r="E769" s="3493">
        <v>27.63</v>
      </c>
      <c r="F769" s="3492">
        <v>9</v>
      </c>
    </row>
    <row r="770" spans="2:6" ht="18.75" thickBot="1">
      <c r="B770" s="3491">
        <v>766</v>
      </c>
      <c r="C770" s="3492" t="s">
        <v>4974</v>
      </c>
      <c r="D770" s="3493" t="s">
        <v>4342</v>
      </c>
      <c r="E770" s="3493">
        <v>27.63</v>
      </c>
      <c r="F770" s="3492">
        <v>9</v>
      </c>
    </row>
    <row r="771" spans="2:6" ht="18.75" thickBot="1">
      <c r="B771" s="3491">
        <v>767</v>
      </c>
      <c r="C771" s="3492" t="s">
        <v>4974</v>
      </c>
      <c r="D771" s="3493" t="s">
        <v>4343</v>
      </c>
      <c r="E771" s="3493">
        <v>27.63</v>
      </c>
      <c r="F771" s="3492">
        <v>9</v>
      </c>
    </row>
    <row r="772" spans="2:6" ht="18.75" thickBot="1">
      <c r="B772" s="3491">
        <v>768</v>
      </c>
      <c r="C772" s="3492" t="s">
        <v>4974</v>
      </c>
      <c r="D772" s="3493" t="s">
        <v>4344</v>
      </c>
      <c r="E772" s="3493">
        <v>27.63</v>
      </c>
      <c r="F772" s="3492">
        <v>9</v>
      </c>
    </row>
    <row r="773" spans="2:6" ht="18.75" thickBot="1">
      <c r="B773" s="3491">
        <v>769</v>
      </c>
      <c r="C773" s="3492" t="s">
        <v>4974</v>
      </c>
      <c r="D773" s="3493" t="s">
        <v>4345</v>
      </c>
      <c r="E773" s="3493">
        <v>27.63</v>
      </c>
      <c r="F773" s="3492">
        <v>9</v>
      </c>
    </row>
    <row r="774" spans="2:6" ht="18.75" thickBot="1">
      <c r="B774" s="3491">
        <v>770</v>
      </c>
      <c r="C774" s="3492" t="s">
        <v>4974</v>
      </c>
      <c r="D774" s="3493" t="s">
        <v>4346</v>
      </c>
      <c r="E774" s="3493">
        <v>27.63</v>
      </c>
      <c r="F774" s="3492">
        <v>9</v>
      </c>
    </row>
    <row r="775" spans="2:6" ht="18.75" thickBot="1">
      <c r="B775" s="3491">
        <v>771</v>
      </c>
      <c r="C775" s="3492" t="s">
        <v>4974</v>
      </c>
      <c r="D775" s="3493" t="s">
        <v>4347</v>
      </c>
      <c r="E775" s="3493">
        <v>27.63</v>
      </c>
      <c r="F775" s="3492">
        <v>9</v>
      </c>
    </row>
    <row r="776" spans="2:6" ht="18.75" thickBot="1">
      <c r="B776" s="3491">
        <v>772</v>
      </c>
      <c r="C776" s="3492" t="s">
        <v>4974</v>
      </c>
      <c r="D776" s="3493" t="s">
        <v>4348</v>
      </c>
      <c r="E776" s="3493">
        <v>27.63</v>
      </c>
      <c r="F776" s="3492">
        <v>9</v>
      </c>
    </row>
    <row r="777" spans="2:6" ht="18.75" thickBot="1">
      <c r="B777" s="3491">
        <v>773</v>
      </c>
      <c r="C777" s="3492" t="s">
        <v>4974</v>
      </c>
      <c r="D777" s="3493" t="s">
        <v>4349</v>
      </c>
      <c r="E777" s="3493">
        <v>27.63</v>
      </c>
      <c r="F777" s="3492">
        <v>9</v>
      </c>
    </row>
    <row r="778" spans="2:6" ht="18.75" thickBot="1">
      <c r="B778" s="3491">
        <v>774</v>
      </c>
      <c r="C778" s="3492" t="s">
        <v>4974</v>
      </c>
      <c r="D778" s="3493" t="s">
        <v>4350</v>
      </c>
      <c r="E778" s="3493">
        <v>27.63</v>
      </c>
      <c r="F778" s="3492">
        <v>9</v>
      </c>
    </row>
    <row r="779" spans="2:6" ht="18.75" thickBot="1">
      <c r="B779" s="3491">
        <v>775</v>
      </c>
      <c r="C779" s="3492" t="s">
        <v>4974</v>
      </c>
      <c r="D779" s="3493" t="s">
        <v>4351</v>
      </c>
      <c r="E779" s="3493">
        <v>27.63</v>
      </c>
      <c r="F779" s="3492">
        <v>9</v>
      </c>
    </row>
    <row r="780" spans="2:6" ht="18.75" thickBot="1">
      <c r="B780" s="3491">
        <v>776</v>
      </c>
      <c r="C780" s="3492" t="s">
        <v>4974</v>
      </c>
      <c r="D780" s="3493" t="s">
        <v>4352</v>
      </c>
      <c r="E780" s="3493">
        <v>27.63</v>
      </c>
      <c r="F780" s="3492">
        <v>9</v>
      </c>
    </row>
    <row r="781" spans="2:6" ht="18.75" thickBot="1">
      <c r="B781" s="3491">
        <v>777</v>
      </c>
      <c r="C781" s="3492" t="s">
        <v>4974</v>
      </c>
      <c r="D781" s="3493" t="s">
        <v>4353</v>
      </c>
      <c r="E781" s="3493">
        <v>27.63</v>
      </c>
      <c r="F781" s="3492">
        <v>9</v>
      </c>
    </row>
    <row r="782" spans="2:6" ht="18.75" thickBot="1">
      <c r="B782" s="3491">
        <v>778</v>
      </c>
      <c r="C782" s="3492" t="s">
        <v>4974</v>
      </c>
      <c r="D782" s="3493" t="s">
        <v>4354</v>
      </c>
      <c r="E782" s="3493">
        <v>27.63</v>
      </c>
      <c r="F782" s="3492">
        <v>9</v>
      </c>
    </row>
    <row r="783" spans="2:6" ht="18.75" thickBot="1">
      <c r="B783" s="3491">
        <v>779</v>
      </c>
      <c r="C783" s="3492" t="s">
        <v>4974</v>
      </c>
      <c r="D783" s="3493" t="s">
        <v>4355</v>
      </c>
      <c r="E783" s="3493">
        <v>27.63</v>
      </c>
      <c r="F783" s="3492">
        <v>9</v>
      </c>
    </row>
    <row r="784" spans="2:6" ht="18.75" thickBot="1">
      <c r="B784" s="3491">
        <v>780</v>
      </c>
      <c r="C784" s="3492" t="s">
        <v>4974</v>
      </c>
      <c r="D784" s="3493" t="s">
        <v>4356</v>
      </c>
      <c r="E784" s="3493">
        <v>27.63</v>
      </c>
      <c r="F784" s="3492">
        <v>9</v>
      </c>
    </row>
    <row r="785" spans="2:6" ht="18.75" thickBot="1">
      <c r="B785" s="3491">
        <v>781</v>
      </c>
      <c r="C785" s="3492" t="s">
        <v>4974</v>
      </c>
      <c r="D785" s="3493" t="s">
        <v>4357</v>
      </c>
      <c r="E785" s="3493">
        <v>27.63</v>
      </c>
      <c r="F785" s="3492">
        <v>9</v>
      </c>
    </row>
    <row r="786" spans="2:6" ht="18.75" thickBot="1">
      <c r="B786" s="3491">
        <v>782</v>
      </c>
      <c r="C786" s="3492" t="s">
        <v>4974</v>
      </c>
      <c r="D786" s="3493" t="s">
        <v>4358</v>
      </c>
      <c r="E786" s="3493">
        <v>27.63</v>
      </c>
      <c r="F786" s="3492">
        <v>9</v>
      </c>
    </row>
    <row r="787" spans="2:6" ht="18.75" thickBot="1">
      <c r="B787" s="3491">
        <v>783</v>
      </c>
      <c r="C787" s="3492" t="s">
        <v>4974</v>
      </c>
      <c r="D787" s="3493" t="s">
        <v>4359</v>
      </c>
      <c r="E787" s="3493">
        <v>27.63</v>
      </c>
      <c r="F787" s="3492">
        <v>9</v>
      </c>
    </row>
    <row r="788" spans="2:6" ht="18.75" thickBot="1">
      <c r="B788" s="3491">
        <v>784</v>
      </c>
      <c r="C788" s="3492" t="s">
        <v>4974</v>
      </c>
      <c r="D788" s="3493" t="s">
        <v>4360</v>
      </c>
      <c r="E788" s="3493">
        <v>27.63</v>
      </c>
      <c r="F788" s="3492">
        <v>9</v>
      </c>
    </row>
    <row r="789" spans="2:6" ht="18.75" thickBot="1">
      <c r="B789" s="3491">
        <v>785</v>
      </c>
      <c r="C789" s="3492" t="s">
        <v>4974</v>
      </c>
      <c r="D789" s="3493" t="s">
        <v>4361</v>
      </c>
      <c r="E789" s="3493">
        <v>27.63</v>
      </c>
      <c r="F789" s="3492">
        <v>9</v>
      </c>
    </row>
    <row r="790" spans="2:6" ht="18.75" thickBot="1">
      <c r="B790" s="3491">
        <v>786</v>
      </c>
      <c r="C790" s="3492" t="s">
        <v>4974</v>
      </c>
      <c r="D790" s="3493" t="s">
        <v>4362</v>
      </c>
      <c r="E790" s="3493">
        <v>27.63</v>
      </c>
      <c r="F790" s="3492">
        <v>9</v>
      </c>
    </row>
    <row r="791" spans="2:6" ht="18.75" thickBot="1">
      <c r="B791" s="3491">
        <v>787</v>
      </c>
      <c r="C791" s="3492" t="s">
        <v>4974</v>
      </c>
      <c r="D791" s="3493" t="s">
        <v>4363</v>
      </c>
      <c r="E791" s="3493">
        <v>27.63</v>
      </c>
      <c r="F791" s="3492">
        <v>9</v>
      </c>
    </row>
    <row r="792" spans="2:6" ht="18.75" thickBot="1">
      <c r="B792" s="3491">
        <v>788</v>
      </c>
      <c r="C792" s="3492" t="s">
        <v>4974</v>
      </c>
      <c r="D792" s="3493" t="s">
        <v>4364</v>
      </c>
      <c r="E792" s="3493">
        <v>27.63</v>
      </c>
      <c r="F792" s="3492">
        <v>9</v>
      </c>
    </row>
    <row r="793" spans="2:6" ht="18.75" thickBot="1">
      <c r="B793" s="3491">
        <v>789</v>
      </c>
      <c r="C793" s="3492" t="s">
        <v>4974</v>
      </c>
      <c r="D793" s="3493" t="s">
        <v>4365</v>
      </c>
      <c r="E793" s="3493">
        <v>27.63</v>
      </c>
      <c r="F793" s="3492">
        <v>9</v>
      </c>
    </row>
    <row r="794" spans="2:6" ht="18.75" thickBot="1">
      <c r="B794" s="3491">
        <v>790</v>
      </c>
      <c r="C794" s="3492" t="s">
        <v>4974</v>
      </c>
      <c r="D794" s="3493" t="s">
        <v>4366</v>
      </c>
      <c r="E794" s="3493">
        <v>27.63</v>
      </c>
      <c r="F794" s="3492">
        <v>9</v>
      </c>
    </row>
    <row r="795" spans="2:6" ht="18.75" thickBot="1">
      <c r="B795" s="3491">
        <v>791</v>
      </c>
      <c r="C795" s="3492" t="s">
        <v>4974</v>
      </c>
      <c r="D795" s="3493" t="s">
        <v>4367</v>
      </c>
      <c r="E795" s="3493">
        <v>27.63</v>
      </c>
      <c r="F795" s="3492">
        <v>9</v>
      </c>
    </row>
    <row r="796" spans="2:6" ht="18.75" thickBot="1">
      <c r="B796" s="3491">
        <v>792</v>
      </c>
      <c r="C796" s="3492" t="s">
        <v>4974</v>
      </c>
      <c r="D796" s="3493" t="s">
        <v>4368</v>
      </c>
      <c r="E796" s="3493">
        <v>27.63</v>
      </c>
      <c r="F796" s="3492">
        <v>9</v>
      </c>
    </row>
    <row r="797" spans="2:6" ht="18.75" thickBot="1">
      <c r="B797" s="3491">
        <v>793</v>
      </c>
      <c r="C797" s="3492" t="s">
        <v>4974</v>
      </c>
      <c r="D797" s="3493" t="s">
        <v>4369</v>
      </c>
      <c r="E797" s="3493">
        <v>27.63</v>
      </c>
      <c r="F797" s="3492">
        <v>9</v>
      </c>
    </row>
    <row r="798" spans="2:6" ht="18.75" thickBot="1">
      <c r="B798" s="3491">
        <v>794</v>
      </c>
      <c r="C798" s="3492" t="s">
        <v>4974</v>
      </c>
      <c r="D798" s="3493" t="s">
        <v>4370</v>
      </c>
      <c r="E798" s="3493">
        <v>27.63</v>
      </c>
      <c r="F798" s="3492">
        <v>9</v>
      </c>
    </row>
    <row r="799" spans="2:6" ht="18.75" thickBot="1">
      <c r="B799" s="3491">
        <v>795</v>
      </c>
      <c r="C799" s="3492" t="s">
        <v>4974</v>
      </c>
      <c r="D799" s="3493" t="s">
        <v>4371</v>
      </c>
      <c r="E799" s="3493">
        <v>27.63</v>
      </c>
      <c r="F799" s="3492">
        <v>9</v>
      </c>
    </row>
    <row r="800" spans="2:6" ht="18.75" thickBot="1">
      <c r="B800" s="3491">
        <v>796</v>
      </c>
      <c r="C800" s="3492" t="s">
        <v>4974</v>
      </c>
      <c r="D800" s="3493" t="s">
        <v>4372</v>
      </c>
      <c r="E800" s="3493">
        <v>27.63</v>
      </c>
      <c r="F800" s="3492">
        <v>9</v>
      </c>
    </row>
    <row r="801" spans="2:6" ht="18.75" thickBot="1">
      <c r="B801" s="3491">
        <v>797</v>
      </c>
      <c r="C801" s="3492" t="s">
        <v>4974</v>
      </c>
      <c r="D801" s="3493" t="s">
        <v>4373</v>
      </c>
      <c r="E801" s="3493">
        <v>27.63</v>
      </c>
      <c r="F801" s="3492">
        <v>9</v>
      </c>
    </row>
    <row r="802" spans="2:6" ht="18.75" thickBot="1">
      <c r="B802" s="3491">
        <v>798</v>
      </c>
      <c r="C802" s="3492" t="s">
        <v>4974</v>
      </c>
      <c r="D802" s="3493" t="s">
        <v>4374</v>
      </c>
      <c r="E802" s="3493">
        <v>27.63</v>
      </c>
      <c r="F802" s="3492">
        <v>9</v>
      </c>
    </row>
    <row r="803" spans="2:6" ht="18.75" thickBot="1">
      <c r="B803" s="3491">
        <v>799</v>
      </c>
      <c r="C803" s="3492" t="s">
        <v>4974</v>
      </c>
      <c r="D803" s="3493" t="s">
        <v>4375</v>
      </c>
      <c r="E803" s="3493">
        <v>27.63</v>
      </c>
      <c r="F803" s="3492">
        <v>9</v>
      </c>
    </row>
    <row r="804" spans="2:6" ht="18.75" thickBot="1">
      <c r="B804" s="3491">
        <v>800</v>
      </c>
      <c r="C804" s="3492" t="s">
        <v>4974</v>
      </c>
      <c r="D804" s="3493" t="s">
        <v>4376</v>
      </c>
      <c r="E804" s="3493">
        <v>27.63</v>
      </c>
      <c r="F804" s="3492">
        <v>9</v>
      </c>
    </row>
    <row r="805" spans="2:6" ht="18.75" thickBot="1">
      <c r="B805" s="3491">
        <v>801</v>
      </c>
      <c r="C805" s="3492" t="s">
        <v>4974</v>
      </c>
      <c r="D805" s="3493" t="s">
        <v>4377</v>
      </c>
      <c r="E805" s="3493">
        <v>27.63</v>
      </c>
      <c r="F805" s="3492">
        <v>9</v>
      </c>
    </row>
    <row r="806" spans="2:6" ht="18.75" thickBot="1">
      <c r="B806" s="3491">
        <v>802</v>
      </c>
      <c r="C806" s="3492" t="s">
        <v>4974</v>
      </c>
      <c r="D806" s="3493" t="s">
        <v>4378</v>
      </c>
      <c r="E806" s="3493">
        <v>27.63</v>
      </c>
      <c r="F806" s="3492">
        <v>9</v>
      </c>
    </row>
    <row r="807" spans="2:6" ht="18.75" thickBot="1">
      <c r="B807" s="3491">
        <v>803</v>
      </c>
      <c r="C807" s="3492" t="s">
        <v>4974</v>
      </c>
      <c r="D807" s="3493" t="s">
        <v>4379</v>
      </c>
      <c r="E807" s="3493">
        <v>27.63</v>
      </c>
      <c r="F807" s="3492">
        <v>9</v>
      </c>
    </row>
    <row r="808" spans="2:6" ht="18.75" thickBot="1">
      <c r="B808" s="3491">
        <v>804</v>
      </c>
      <c r="C808" s="3492" t="s">
        <v>4974</v>
      </c>
      <c r="D808" s="3493" t="s">
        <v>4380</v>
      </c>
      <c r="E808" s="3493">
        <v>27.63</v>
      </c>
      <c r="F808" s="3492">
        <v>9</v>
      </c>
    </row>
    <row r="809" spans="2:6" ht="18.75" thickBot="1">
      <c r="B809" s="3491">
        <v>805</v>
      </c>
      <c r="C809" s="3492" t="s">
        <v>4974</v>
      </c>
      <c r="D809" s="3493" t="s">
        <v>4381</v>
      </c>
      <c r="E809" s="3493">
        <v>27.63</v>
      </c>
      <c r="F809" s="3492">
        <v>9</v>
      </c>
    </row>
    <row r="810" spans="2:6" ht="18.75" thickBot="1">
      <c r="B810" s="3491">
        <v>806</v>
      </c>
      <c r="C810" s="3492" t="s">
        <v>4974</v>
      </c>
      <c r="D810" s="3493" t="s">
        <v>4382</v>
      </c>
      <c r="E810" s="3493">
        <v>27.63</v>
      </c>
      <c r="F810" s="3492">
        <v>9</v>
      </c>
    </row>
    <row r="811" spans="2:6" ht="18.75" thickBot="1">
      <c r="B811" s="3491">
        <v>807</v>
      </c>
      <c r="C811" s="3492" t="s">
        <v>4974</v>
      </c>
      <c r="D811" s="3493" t="s">
        <v>4383</v>
      </c>
      <c r="E811" s="3493">
        <v>27.63</v>
      </c>
      <c r="F811" s="3492">
        <v>9</v>
      </c>
    </row>
    <row r="812" spans="2:6" ht="18.75" thickBot="1">
      <c r="B812" s="3491">
        <v>808</v>
      </c>
      <c r="C812" s="3492" t="s">
        <v>4974</v>
      </c>
      <c r="D812" s="3493" t="s">
        <v>4384</v>
      </c>
      <c r="E812" s="3493">
        <v>27.63</v>
      </c>
      <c r="F812" s="3492">
        <v>9</v>
      </c>
    </row>
    <row r="813" spans="2:6" ht="18.75" thickBot="1">
      <c r="B813" s="3491">
        <v>809</v>
      </c>
      <c r="C813" s="3492" t="s">
        <v>4974</v>
      </c>
      <c r="D813" s="3493" t="s">
        <v>4385</v>
      </c>
      <c r="E813" s="3493">
        <v>27.63</v>
      </c>
      <c r="F813" s="3492">
        <v>9</v>
      </c>
    </row>
    <row r="814" spans="2:6" ht="18.75" thickBot="1">
      <c r="B814" s="3491">
        <v>810</v>
      </c>
      <c r="C814" s="3492" t="s">
        <v>4974</v>
      </c>
      <c r="D814" s="3493" t="s">
        <v>4386</v>
      </c>
      <c r="E814" s="3493">
        <v>27.63</v>
      </c>
      <c r="F814" s="3492">
        <v>9</v>
      </c>
    </row>
    <row r="815" spans="2:6" ht="18.75" thickBot="1">
      <c r="B815" s="3491">
        <v>811</v>
      </c>
      <c r="C815" s="3492" t="s">
        <v>4974</v>
      </c>
      <c r="D815" s="3493" t="s">
        <v>4387</v>
      </c>
      <c r="E815" s="3493">
        <v>27.63</v>
      </c>
      <c r="F815" s="3492">
        <v>9</v>
      </c>
    </row>
    <row r="816" spans="2:6" ht="18.75" thickBot="1">
      <c r="B816" s="3491">
        <v>812</v>
      </c>
      <c r="C816" s="3492" t="s">
        <v>4974</v>
      </c>
      <c r="D816" s="3493" t="s">
        <v>4388</v>
      </c>
      <c r="E816" s="3493">
        <v>27.63</v>
      </c>
      <c r="F816" s="3492">
        <v>9</v>
      </c>
    </row>
    <row r="817" spans="2:6" ht="18.75" thickBot="1">
      <c r="B817" s="3491">
        <v>813</v>
      </c>
      <c r="C817" s="3492" t="s">
        <v>4974</v>
      </c>
      <c r="D817" s="3493" t="s">
        <v>4389</v>
      </c>
      <c r="E817" s="3493">
        <v>27.63</v>
      </c>
      <c r="F817" s="3492">
        <v>9</v>
      </c>
    </row>
    <row r="818" spans="2:6" ht="18.75" thickBot="1">
      <c r="B818" s="3491">
        <v>814</v>
      </c>
      <c r="C818" s="3492" t="s">
        <v>4974</v>
      </c>
      <c r="D818" s="3493" t="s">
        <v>4390</v>
      </c>
      <c r="E818" s="3493">
        <v>27.63</v>
      </c>
      <c r="F818" s="3492">
        <v>9</v>
      </c>
    </row>
    <row r="819" spans="2:6" ht="18.75" thickBot="1">
      <c r="B819" s="3491">
        <v>815</v>
      </c>
      <c r="C819" s="3492" t="s">
        <v>4974</v>
      </c>
      <c r="D819" s="3493" t="s">
        <v>4391</v>
      </c>
      <c r="E819" s="3493">
        <v>27.63</v>
      </c>
      <c r="F819" s="3492">
        <v>9</v>
      </c>
    </row>
    <row r="820" spans="2:6" ht="18.75" thickBot="1">
      <c r="B820" s="3491">
        <v>816</v>
      </c>
      <c r="C820" s="3492" t="s">
        <v>4974</v>
      </c>
      <c r="D820" s="3493" t="s">
        <v>4392</v>
      </c>
      <c r="E820" s="3493">
        <v>27.63</v>
      </c>
      <c r="F820" s="3492">
        <v>9</v>
      </c>
    </row>
    <row r="821" spans="2:6" ht="18.75" thickBot="1">
      <c r="B821" s="3491">
        <v>817</v>
      </c>
      <c r="C821" s="3492" t="s">
        <v>4974</v>
      </c>
      <c r="D821" s="3493" t="s">
        <v>4393</v>
      </c>
      <c r="E821" s="3493">
        <v>27.63</v>
      </c>
      <c r="F821" s="3492">
        <v>9</v>
      </c>
    </row>
    <row r="822" spans="2:6" ht="18.75" thickBot="1">
      <c r="B822" s="3491">
        <v>818</v>
      </c>
      <c r="C822" s="3492" t="s">
        <v>4974</v>
      </c>
      <c r="D822" s="3493" t="s">
        <v>4394</v>
      </c>
      <c r="E822" s="3493">
        <v>27.63</v>
      </c>
      <c r="F822" s="3492">
        <v>9</v>
      </c>
    </row>
    <row r="823" spans="2:6" ht="18.75" thickBot="1">
      <c r="B823" s="3491">
        <v>819</v>
      </c>
      <c r="C823" s="3492" t="s">
        <v>4974</v>
      </c>
      <c r="D823" s="3493" t="s">
        <v>4395</v>
      </c>
      <c r="E823" s="3493">
        <v>27.63</v>
      </c>
      <c r="F823" s="3492">
        <v>9</v>
      </c>
    </row>
    <row r="824" spans="2:6" ht="18.75" thickBot="1">
      <c r="B824" s="3491">
        <v>820</v>
      </c>
      <c r="C824" s="3492" t="s">
        <v>4974</v>
      </c>
      <c r="D824" s="3493" t="s">
        <v>4396</v>
      </c>
      <c r="E824" s="3493">
        <v>27.63</v>
      </c>
      <c r="F824" s="3492">
        <v>9</v>
      </c>
    </row>
    <row r="825" spans="2:6" ht="18.75" thickBot="1">
      <c r="B825" s="3491">
        <v>821</v>
      </c>
      <c r="C825" s="3492" t="s">
        <v>4974</v>
      </c>
      <c r="D825" s="3493" t="s">
        <v>4397</v>
      </c>
      <c r="E825" s="3493">
        <v>27.63</v>
      </c>
      <c r="F825" s="3492">
        <v>9</v>
      </c>
    </row>
    <row r="826" spans="2:6" ht="18.75" thickBot="1">
      <c r="B826" s="3491">
        <v>822</v>
      </c>
      <c r="C826" s="3492" t="s">
        <v>4974</v>
      </c>
      <c r="D826" s="3493" t="s">
        <v>4398</v>
      </c>
      <c r="E826" s="3493">
        <v>27.63</v>
      </c>
      <c r="F826" s="3492">
        <v>9</v>
      </c>
    </row>
    <row r="827" spans="2:6" ht="18.75" thickBot="1">
      <c r="B827" s="3491">
        <v>823</v>
      </c>
      <c r="C827" s="3492" t="s">
        <v>4974</v>
      </c>
      <c r="D827" s="3493" t="s">
        <v>4399</v>
      </c>
      <c r="E827" s="3493">
        <v>27.63</v>
      </c>
      <c r="F827" s="3492">
        <v>9</v>
      </c>
    </row>
    <row r="828" spans="2:6" ht="18.75" thickBot="1">
      <c r="B828" s="3491">
        <v>824</v>
      </c>
      <c r="C828" s="3492" t="s">
        <v>4974</v>
      </c>
      <c r="D828" s="3493" t="s">
        <v>4400</v>
      </c>
      <c r="E828" s="3493">
        <v>27.63</v>
      </c>
      <c r="F828" s="3492">
        <v>9</v>
      </c>
    </row>
    <row r="829" spans="2:6" ht="18.75" thickBot="1">
      <c r="B829" s="3491">
        <v>825</v>
      </c>
      <c r="C829" s="3492" t="s">
        <v>4974</v>
      </c>
      <c r="D829" s="3493" t="s">
        <v>4401</v>
      </c>
      <c r="E829" s="3493">
        <v>27.63</v>
      </c>
      <c r="F829" s="3492">
        <v>9</v>
      </c>
    </row>
    <row r="830" spans="2:6" ht="18.75" thickBot="1">
      <c r="B830" s="3491">
        <v>826</v>
      </c>
      <c r="C830" s="3492" t="s">
        <v>4974</v>
      </c>
      <c r="D830" s="3493" t="s">
        <v>4402</v>
      </c>
      <c r="E830" s="3493">
        <v>27.63</v>
      </c>
      <c r="F830" s="3492">
        <v>9</v>
      </c>
    </row>
    <row r="831" spans="2:6" ht="18.75" thickBot="1">
      <c r="B831" s="3491">
        <v>827</v>
      </c>
      <c r="C831" s="3492" t="s">
        <v>4974</v>
      </c>
      <c r="D831" s="3493" t="s">
        <v>4403</v>
      </c>
      <c r="E831" s="3493">
        <v>27.63</v>
      </c>
      <c r="F831" s="3492">
        <v>9</v>
      </c>
    </row>
    <row r="832" spans="2:6" ht="18.75" thickBot="1">
      <c r="B832" s="3491">
        <v>828</v>
      </c>
      <c r="C832" s="3492" t="s">
        <v>4974</v>
      </c>
      <c r="D832" s="3493" t="s">
        <v>4404</v>
      </c>
      <c r="E832" s="3493">
        <v>27.63</v>
      </c>
      <c r="F832" s="3492">
        <v>9</v>
      </c>
    </row>
    <row r="833" spans="2:6" ht="18.75" thickBot="1">
      <c r="B833" s="3491">
        <v>829</v>
      </c>
      <c r="C833" s="3492" t="s">
        <v>4974</v>
      </c>
      <c r="D833" s="3493" t="s">
        <v>4405</v>
      </c>
      <c r="E833" s="3493">
        <v>27.63</v>
      </c>
      <c r="F833" s="3492">
        <v>9</v>
      </c>
    </row>
    <row r="834" spans="2:6" ht="18.75" thickBot="1">
      <c r="B834" s="3491">
        <v>830</v>
      </c>
      <c r="C834" s="3492" t="s">
        <v>4974</v>
      </c>
      <c r="D834" s="3493" t="s">
        <v>4406</v>
      </c>
      <c r="E834" s="3493">
        <v>27.63</v>
      </c>
      <c r="F834" s="3492">
        <v>9</v>
      </c>
    </row>
    <row r="835" spans="2:6" ht="18.75" thickBot="1">
      <c r="B835" s="3491">
        <v>831</v>
      </c>
      <c r="C835" s="3492" t="s">
        <v>4974</v>
      </c>
      <c r="D835" s="3493" t="s">
        <v>4407</v>
      </c>
      <c r="E835" s="3493">
        <v>27.63</v>
      </c>
      <c r="F835" s="3492">
        <v>9</v>
      </c>
    </row>
    <row r="836" spans="2:6" ht="18.75" thickBot="1">
      <c r="B836" s="3491">
        <v>832</v>
      </c>
      <c r="C836" s="3492" t="s">
        <v>4974</v>
      </c>
      <c r="D836" s="3493" t="s">
        <v>4408</v>
      </c>
      <c r="E836" s="3493">
        <v>27.63</v>
      </c>
      <c r="F836" s="3492">
        <v>9</v>
      </c>
    </row>
    <row r="837" spans="2:6" ht="18.75" thickBot="1">
      <c r="B837" s="3491">
        <v>833</v>
      </c>
      <c r="C837" s="3492" t="s">
        <v>4974</v>
      </c>
      <c r="D837" s="3493" t="s">
        <v>4409</v>
      </c>
      <c r="E837" s="3493">
        <v>27.63</v>
      </c>
      <c r="F837" s="3492">
        <v>9</v>
      </c>
    </row>
    <row r="838" spans="2:6" ht="18.75" thickBot="1">
      <c r="B838" s="3491">
        <v>834</v>
      </c>
      <c r="C838" s="3492" t="s">
        <v>4974</v>
      </c>
      <c r="D838" s="3493" t="s">
        <v>4410</v>
      </c>
      <c r="E838" s="3493">
        <v>27.63</v>
      </c>
      <c r="F838" s="3492">
        <v>9</v>
      </c>
    </row>
    <row r="839" spans="2:6" ht="18.75" thickBot="1">
      <c r="B839" s="3491">
        <v>835</v>
      </c>
      <c r="C839" s="3492" t="s">
        <v>4974</v>
      </c>
      <c r="D839" s="3493" t="s">
        <v>4411</v>
      </c>
      <c r="E839" s="3493">
        <v>27.63</v>
      </c>
      <c r="F839" s="3492">
        <v>9</v>
      </c>
    </row>
    <row r="840" spans="2:6" ht="18.75" thickBot="1">
      <c r="B840" s="3491">
        <v>836</v>
      </c>
      <c r="C840" s="3492" t="s">
        <v>4974</v>
      </c>
      <c r="D840" s="3493" t="s">
        <v>4412</v>
      </c>
      <c r="E840" s="3493">
        <v>27.63</v>
      </c>
      <c r="F840" s="3492">
        <v>9</v>
      </c>
    </row>
    <row r="841" spans="2:6" ht="18.75" thickBot="1">
      <c r="B841" s="3491">
        <v>837</v>
      </c>
      <c r="C841" s="3492" t="s">
        <v>4974</v>
      </c>
      <c r="D841" s="3493" t="s">
        <v>4413</v>
      </c>
      <c r="E841" s="3493">
        <v>27.63</v>
      </c>
      <c r="F841" s="3492">
        <v>9</v>
      </c>
    </row>
    <row r="842" spans="2:6" ht="18.75" thickBot="1">
      <c r="B842" s="3491">
        <v>838</v>
      </c>
      <c r="C842" s="3492" t="s">
        <v>4974</v>
      </c>
      <c r="D842" s="3493" t="s">
        <v>4414</v>
      </c>
      <c r="E842" s="3493">
        <v>27.63</v>
      </c>
      <c r="F842" s="3492">
        <v>9</v>
      </c>
    </row>
    <row r="843" spans="2:6" ht="18.75" thickBot="1">
      <c r="B843" s="3491">
        <v>839</v>
      </c>
      <c r="C843" s="3492" t="s">
        <v>4974</v>
      </c>
      <c r="D843" s="3493" t="s">
        <v>4415</v>
      </c>
      <c r="E843" s="3493">
        <v>27.63</v>
      </c>
      <c r="F843" s="3492">
        <v>9</v>
      </c>
    </row>
    <row r="844" spans="2:6" ht="18.75" thickBot="1">
      <c r="B844" s="3491">
        <v>840</v>
      </c>
      <c r="C844" s="3492" t="s">
        <v>4974</v>
      </c>
      <c r="D844" s="3493" t="s">
        <v>4416</v>
      </c>
      <c r="E844" s="3493">
        <v>27.63</v>
      </c>
      <c r="F844" s="3492">
        <v>9</v>
      </c>
    </row>
    <row r="845" spans="2:6" ht="18.75" thickBot="1">
      <c r="B845" s="3491">
        <v>841</v>
      </c>
      <c r="C845" s="3492" t="s">
        <v>4974</v>
      </c>
      <c r="D845" s="3493" t="s">
        <v>4417</v>
      </c>
      <c r="E845" s="3493">
        <v>27.63</v>
      </c>
      <c r="F845" s="3492">
        <v>9</v>
      </c>
    </row>
    <row r="846" spans="2:6" ht="18.75" thickBot="1">
      <c r="B846" s="3491">
        <v>842</v>
      </c>
      <c r="C846" s="3492" t="s">
        <v>4974</v>
      </c>
      <c r="D846" s="3493" t="s">
        <v>4418</v>
      </c>
      <c r="E846" s="3493">
        <v>27.63</v>
      </c>
      <c r="F846" s="3492">
        <v>9</v>
      </c>
    </row>
    <row r="847" spans="2:6" ht="18.75" thickBot="1">
      <c r="B847" s="3491">
        <v>843</v>
      </c>
      <c r="C847" s="3492" t="s">
        <v>4974</v>
      </c>
      <c r="D847" s="3493" t="s">
        <v>4419</v>
      </c>
      <c r="E847" s="3493">
        <v>27.63</v>
      </c>
      <c r="F847" s="3492">
        <v>9</v>
      </c>
    </row>
    <row r="848" spans="2:6" ht="18.75" thickBot="1">
      <c r="B848" s="3491">
        <v>844</v>
      </c>
      <c r="C848" s="3492" t="s">
        <v>4974</v>
      </c>
      <c r="D848" s="3493" t="s">
        <v>4420</v>
      </c>
      <c r="E848" s="3493">
        <v>27.63</v>
      </c>
      <c r="F848" s="3492">
        <v>9</v>
      </c>
    </row>
    <row r="849" spans="2:6" ht="18.75" thickBot="1">
      <c r="B849" s="3491">
        <v>845</v>
      </c>
      <c r="C849" s="3492" t="s">
        <v>4974</v>
      </c>
      <c r="D849" s="3493" t="s">
        <v>4421</v>
      </c>
      <c r="E849" s="3493">
        <v>27.63</v>
      </c>
      <c r="F849" s="3492">
        <v>9</v>
      </c>
    </row>
    <row r="850" spans="2:6" ht="18.75" thickBot="1">
      <c r="B850" s="3491">
        <v>846</v>
      </c>
      <c r="C850" s="3492" t="s">
        <v>4974</v>
      </c>
      <c r="D850" s="3493" t="s">
        <v>4422</v>
      </c>
      <c r="E850" s="3493">
        <v>27.63</v>
      </c>
      <c r="F850" s="3492">
        <v>9</v>
      </c>
    </row>
    <row r="851" spans="2:6" ht="18.75" thickBot="1">
      <c r="B851" s="3491">
        <v>847</v>
      </c>
      <c r="C851" s="3492" t="s">
        <v>4974</v>
      </c>
      <c r="D851" s="3493" t="s">
        <v>4423</v>
      </c>
      <c r="E851" s="3493">
        <v>27.63</v>
      </c>
      <c r="F851" s="3492">
        <v>9</v>
      </c>
    </row>
    <row r="852" spans="2:6" ht="18.75" thickBot="1">
      <c r="B852" s="3491">
        <v>848</v>
      </c>
      <c r="C852" s="3492" t="s">
        <v>4974</v>
      </c>
      <c r="D852" s="3493" t="s">
        <v>4424</v>
      </c>
      <c r="E852" s="3493">
        <v>27.63</v>
      </c>
      <c r="F852" s="3492">
        <v>9</v>
      </c>
    </row>
    <row r="853" spans="2:6" ht="18.75" thickBot="1">
      <c r="B853" s="3491">
        <v>849</v>
      </c>
      <c r="C853" s="3492" t="s">
        <v>4974</v>
      </c>
      <c r="D853" s="3493" t="s">
        <v>4425</v>
      </c>
      <c r="E853" s="3493">
        <v>27.63</v>
      </c>
      <c r="F853" s="3492">
        <v>9</v>
      </c>
    </row>
    <row r="854" spans="2:6" ht="18.75" thickBot="1">
      <c r="B854" s="3491">
        <v>850</v>
      </c>
      <c r="C854" s="3492" t="s">
        <v>4974</v>
      </c>
      <c r="D854" s="3493" t="s">
        <v>4426</v>
      </c>
      <c r="E854" s="3493">
        <v>27.63</v>
      </c>
      <c r="F854" s="3492">
        <v>9</v>
      </c>
    </row>
    <row r="855" spans="2:6" ht="18.75" thickBot="1">
      <c r="B855" s="3491">
        <v>851</v>
      </c>
      <c r="C855" s="3492" t="s">
        <v>4974</v>
      </c>
      <c r="D855" s="3493" t="s">
        <v>4427</v>
      </c>
      <c r="E855" s="3493">
        <v>27.63</v>
      </c>
      <c r="F855" s="3492">
        <v>9</v>
      </c>
    </row>
    <row r="856" spans="2:6" ht="18.75" thickBot="1">
      <c r="B856" s="3491">
        <v>852</v>
      </c>
      <c r="C856" s="3492" t="s">
        <v>4974</v>
      </c>
      <c r="D856" s="3493" t="s">
        <v>4428</v>
      </c>
      <c r="E856" s="3493">
        <v>27.63</v>
      </c>
      <c r="F856" s="3492">
        <v>9</v>
      </c>
    </row>
    <row r="857" spans="2:6" ht="18.75" thickBot="1">
      <c r="B857" s="3491">
        <v>853</v>
      </c>
      <c r="C857" s="3492" t="s">
        <v>4974</v>
      </c>
      <c r="D857" s="3493" t="s">
        <v>4429</v>
      </c>
      <c r="E857" s="3493">
        <v>27.63</v>
      </c>
      <c r="F857" s="3492">
        <v>9</v>
      </c>
    </row>
    <row r="858" spans="2:6" ht="18.75" thickBot="1">
      <c r="B858" s="3491">
        <v>854</v>
      </c>
      <c r="C858" s="3492" t="s">
        <v>4974</v>
      </c>
      <c r="D858" s="3493" t="s">
        <v>4430</v>
      </c>
      <c r="E858" s="3493">
        <v>27.63</v>
      </c>
      <c r="F858" s="3492">
        <v>9</v>
      </c>
    </row>
    <row r="859" spans="2:6" ht="18.75" thickBot="1">
      <c r="B859" s="3491">
        <v>855</v>
      </c>
      <c r="C859" s="3492" t="s">
        <v>4974</v>
      </c>
      <c r="D859" s="3493" t="s">
        <v>4431</v>
      </c>
      <c r="E859" s="3493">
        <v>27.63</v>
      </c>
      <c r="F859" s="3492">
        <v>9</v>
      </c>
    </row>
    <row r="860" spans="2:6" ht="18.75" thickBot="1">
      <c r="B860" s="3491">
        <v>856</v>
      </c>
      <c r="C860" s="3492" t="s">
        <v>4974</v>
      </c>
      <c r="D860" s="3493" t="s">
        <v>4432</v>
      </c>
      <c r="E860" s="3493">
        <v>27.63</v>
      </c>
      <c r="F860" s="3492">
        <v>9</v>
      </c>
    </row>
    <row r="861" spans="2:6" ht="18.75" thickBot="1">
      <c r="B861" s="3491">
        <v>857</v>
      </c>
      <c r="C861" s="3492" t="s">
        <v>4974</v>
      </c>
      <c r="D861" s="3493" t="s">
        <v>4433</v>
      </c>
      <c r="E861" s="3493">
        <v>27.63</v>
      </c>
      <c r="F861" s="3492">
        <v>9</v>
      </c>
    </row>
    <row r="862" spans="2:6" ht="18.75" thickBot="1">
      <c r="B862" s="3491">
        <v>858</v>
      </c>
      <c r="C862" s="3492" t="s">
        <v>4974</v>
      </c>
      <c r="D862" s="3493" t="s">
        <v>4434</v>
      </c>
      <c r="E862" s="3493">
        <v>27.63</v>
      </c>
      <c r="F862" s="3492">
        <v>9</v>
      </c>
    </row>
    <row r="863" spans="2:6" ht="18.75" thickBot="1">
      <c r="B863" s="3491">
        <v>859</v>
      </c>
      <c r="C863" s="3492" t="s">
        <v>4974</v>
      </c>
      <c r="D863" s="3493" t="s">
        <v>4435</v>
      </c>
      <c r="E863" s="3493">
        <v>27.63</v>
      </c>
      <c r="F863" s="3492">
        <v>9</v>
      </c>
    </row>
    <row r="864" spans="2:6" ht="18.75" thickBot="1">
      <c r="B864" s="3491">
        <v>860</v>
      </c>
      <c r="C864" s="3492" t="s">
        <v>4974</v>
      </c>
      <c r="D864" s="3493" t="s">
        <v>4436</v>
      </c>
      <c r="E864" s="3493">
        <v>27.63</v>
      </c>
      <c r="F864" s="3492">
        <v>9</v>
      </c>
    </row>
    <row r="865" spans="2:6" ht="18.75" thickBot="1">
      <c r="B865" s="3491">
        <v>861</v>
      </c>
      <c r="C865" s="3492" t="s">
        <v>4974</v>
      </c>
      <c r="D865" s="3493" t="s">
        <v>4437</v>
      </c>
      <c r="E865" s="3493">
        <v>27.63</v>
      </c>
      <c r="F865" s="3492">
        <v>9</v>
      </c>
    </row>
    <row r="866" spans="2:6" ht="18.75" thickBot="1">
      <c r="B866" s="3491">
        <v>862</v>
      </c>
      <c r="C866" s="3492" t="s">
        <v>4974</v>
      </c>
      <c r="D866" s="3493" t="s">
        <v>4438</v>
      </c>
      <c r="E866" s="3493">
        <v>27.63</v>
      </c>
      <c r="F866" s="3492">
        <v>9</v>
      </c>
    </row>
    <row r="867" spans="2:6" ht="18.75" thickBot="1">
      <c r="B867" s="3491">
        <v>863</v>
      </c>
      <c r="C867" s="3492" t="s">
        <v>4974</v>
      </c>
      <c r="D867" s="3493" t="s">
        <v>4439</v>
      </c>
      <c r="E867" s="3493">
        <v>27.63</v>
      </c>
      <c r="F867" s="3492">
        <v>9</v>
      </c>
    </row>
    <row r="868" spans="2:6" ht="18.75" thickBot="1">
      <c r="B868" s="3491">
        <v>864</v>
      </c>
      <c r="C868" s="3492" t="s">
        <v>4974</v>
      </c>
      <c r="D868" s="3493" t="s">
        <v>4440</v>
      </c>
      <c r="E868" s="3493">
        <v>27.63</v>
      </c>
      <c r="F868" s="3492">
        <v>9</v>
      </c>
    </row>
    <row r="869" spans="2:6" ht="18.75" thickBot="1">
      <c r="B869" s="3491">
        <v>865</v>
      </c>
      <c r="C869" s="3492" t="s">
        <v>4974</v>
      </c>
      <c r="D869" s="3493" t="s">
        <v>4441</v>
      </c>
      <c r="E869" s="3493">
        <v>27.63</v>
      </c>
      <c r="F869" s="3492">
        <v>9</v>
      </c>
    </row>
    <row r="870" spans="2:6" ht="18.75" thickBot="1">
      <c r="B870" s="3491">
        <v>866</v>
      </c>
      <c r="C870" s="3492" t="s">
        <v>4974</v>
      </c>
      <c r="D870" s="3493" t="s">
        <v>4442</v>
      </c>
      <c r="E870" s="3493">
        <v>27.63</v>
      </c>
      <c r="F870" s="3492">
        <v>9</v>
      </c>
    </row>
    <row r="871" spans="2:6" ht="18.75" thickBot="1">
      <c r="B871" s="3491">
        <v>867</v>
      </c>
      <c r="C871" s="3492" t="s">
        <v>4974</v>
      </c>
      <c r="D871" s="3493" t="s">
        <v>4443</v>
      </c>
      <c r="E871" s="3493">
        <v>27.63</v>
      </c>
      <c r="F871" s="3492">
        <v>9</v>
      </c>
    </row>
    <row r="872" spans="2:6" ht="18.75" thickBot="1">
      <c r="B872" s="3491">
        <v>868</v>
      </c>
      <c r="C872" s="3492" t="s">
        <v>4974</v>
      </c>
      <c r="D872" s="3493" t="s">
        <v>4444</v>
      </c>
      <c r="E872" s="3493">
        <v>27.63</v>
      </c>
      <c r="F872" s="3492">
        <v>9</v>
      </c>
    </row>
    <row r="873" spans="2:6" ht="18.75" thickBot="1">
      <c r="B873" s="3491">
        <v>869</v>
      </c>
      <c r="C873" s="3492" t="s">
        <v>4974</v>
      </c>
      <c r="D873" s="3493" t="s">
        <v>4445</v>
      </c>
      <c r="E873" s="3493">
        <v>27.63</v>
      </c>
      <c r="F873" s="3492">
        <v>9</v>
      </c>
    </row>
    <row r="874" spans="2:6" ht="18.75" thickBot="1">
      <c r="B874" s="3491">
        <v>870</v>
      </c>
      <c r="C874" s="3492" t="s">
        <v>4974</v>
      </c>
      <c r="D874" s="3493" t="s">
        <v>4446</v>
      </c>
      <c r="E874" s="3493">
        <v>27.63</v>
      </c>
      <c r="F874" s="3492">
        <v>9</v>
      </c>
    </row>
    <row r="875" spans="2:6" ht="18.75" thickBot="1">
      <c r="B875" s="3491">
        <v>871</v>
      </c>
      <c r="C875" s="3492" t="s">
        <v>4974</v>
      </c>
      <c r="D875" s="3493" t="s">
        <v>4447</v>
      </c>
      <c r="E875" s="3493">
        <v>27.63</v>
      </c>
      <c r="F875" s="3492">
        <v>9</v>
      </c>
    </row>
    <row r="876" spans="2:6" ht="18.75" thickBot="1">
      <c r="B876" s="3491">
        <v>872</v>
      </c>
      <c r="C876" s="3492" t="s">
        <v>4974</v>
      </c>
      <c r="D876" s="3493" t="s">
        <v>4448</v>
      </c>
      <c r="E876" s="3493">
        <v>27.63</v>
      </c>
      <c r="F876" s="3492">
        <v>9</v>
      </c>
    </row>
    <row r="877" spans="2:6" ht="18.75" thickBot="1">
      <c r="B877" s="3491">
        <v>873</v>
      </c>
      <c r="C877" s="3492" t="s">
        <v>4974</v>
      </c>
      <c r="D877" s="3493" t="s">
        <v>4449</v>
      </c>
      <c r="E877" s="3493">
        <v>27.63</v>
      </c>
      <c r="F877" s="3492">
        <v>9</v>
      </c>
    </row>
    <row r="878" spans="2:6" ht="18.75" thickBot="1">
      <c r="B878" s="3491">
        <v>874</v>
      </c>
      <c r="C878" s="3492" t="s">
        <v>4974</v>
      </c>
      <c r="D878" s="3493" t="s">
        <v>4450</v>
      </c>
      <c r="E878" s="3493">
        <v>27.63</v>
      </c>
      <c r="F878" s="3492">
        <v>9</v>
      </c>
    </row>
    <row r="879" spans="2:6" ht="18.75" thickBot="1">
      <c r="B879" s="3491">
        <v>875</v>
      </c>
      <c r="C879" s="3492" t="s">
        <v>4974</v>
      </c>
      <c r="D879" s="3493" t="s">
        <v>4451</v>
      </c>
      <c r="E879" s="3493">
        <v>27.63</v>
      </c>
      <c r="F879" s="3492">
        <v>9</v>
      </c>
    </row>
    <row r="880" spans="2:6" ht="18.75" thickBot="1">
      <c r="B880" s="3491">
        <v>876</v>
      </c>
      <c r="C880" s="3492" t="s">
        <v>4974</v>
      </c>
      <c r="D880" s="3493" t="s">
        <v>4452</v>
      </c>
      <c r="E880" s="3493">
        <v>27.63</v>
      </c>
      <c r="F880" s="3492">
        <v>9</v>
      </c>
    </row>
    <row r="881" spans="2:6" ht="18.75" thickBot="1">
      <c r="B881" s="3491">
        <v>877</v>
      </c>
      <c r="C881" s="3492" t="s">
        <v>4974</v>
      </c>
      <c r="D881" s="3493" t="s">
        <v>4453</v>
      </c>
      <c r="E881" s="3493">
        <v>27.63</v>
      </c>
      <c r="F881" s="3492">
        <v>9</v>
      </c>
    </row>
    <row r="882" spans="2:6" ht="18.75" thickBot="1">
      <c r="B882" s="3491">
        <v>878</v>
      </c>
      <c r="C882" s="3492" t="s">
        <v>4974</v>
      </c>
      <c r="D882" s="3493" t="s">
        <v>4454</v>
      </c>
      <c r="E882" s="3493">
        <v>27.63</v>
      </c>
      <c r="F882" s="3492">
        <v>9</v>
      </c>
    </row>
    <row r="883" spans="2:6" ht="18.75" thickBot="1">
      <c r="B883" s="3491">
        <v>879</v>
      </c>
      <c r="C883" s="3492" t="s">
        <v>4974</v>
      </c>
      <c r="D883" s="3493" t="s">
        <v>4455</v>
      </c>
      <c r="E883" s="3493">
        <v>27.63</v>
      </c>
      <c r="F883" s="3492">
        <v>9</v>
      </c>
    </row>
    <row r="884" spans="2:6" ht="18.75" thickBot="1">
      <c r="B884" s="3491">
        <v>880</v>
      </c>
      <c r="C884" s="3492" t="s">
        <v>4974</v>
      </c>
      <c r="D884" s="3493" t="s">
        <v>4456</v>
      </c>
      <c r="E884" s="3493">
        <v>27.63</v>
      </c>
      <c r="F884" s="3492">
        <v>9</v>
      </c>
    </row>
    <row r="885" spans="2:6" ht="18.75" thickBot="1">
      <c r="B885" s="3491">
        <v>881</v>
      </c>
      <c r="C885" s="3492" t="s">
        <v>4974</v>
      </c>
      <c r="D885" s="3493" t="s">
        <v>4457</v>
      </c>
      <c r="E885" s="3493">
        <v>27.63</v>
      </c>
      <c r="F885" s="3492">
        <v>9</v>
      </c>
    </row>
    <row r="886" spans="2:6" ht="18.75" thickBot="1">
      <c r="B886" s="3491">
        <v>882</v>
      </c>
      <c r="C886" s="3492" t="s">
        <v>4974</v>
      </c>
      <c r="D886" s="3493" t="s">
        <v>4458</v>
      </c>
      <c r="E886" s="3493">
        <v>27.63</v>
      </c>
      <c r="F886" s="3492">
        <v>9</v>
      </c>
    </row>
    <row r="887" spans="2:6" ht="18.75" thickBot="1">
      <c r="B887" s="3491">
        <v>883</v>
      </c>
      <c r="C887" s="3492" t="s">
        <v>4974</v>
      </c>
      <c r="D887" s="3493" t="s">
        <v>4459</v>
      </c>
      <c r="E887" s="3493">
        <v>27.63</v>
      </c>
      <c r="F887" s="3492">
        <v>9</v>
      </c>
    </row>
    <row r="888" spans="2:6" ht="18.75" thickBot="1">
      <c r="B888" s="3491">
        <v>884</v>
      </c>
      <c r="C888" s="3492" t="s">
        <v>4974</v>
      </c>
      <c r="D888" s="3493" t="s">
        <v>4460</v>
      </c>
      <c r="E888" s="3493">
        <v>27.63</v>
      </c>
      <c r="F888" s="3492">
        <v>9</v>
      </c>
    </row>
    <row r="889" spans="2:6" ht="18.75" thickBot="1">
      <c r="B889" s="3491">
        <v>885</v>
      </c>
      <c r="C889" s="3492" t="s">
        <v>4974</v>
      </c>
      <c r="D889" s="3493" t="s">
        <v>4461</v>
      </c>
      <c r="E889" s="3493">
        <v>27.63</v>
      </c>
      <c r="F889" s="3492">
        <v>9</v>
      </c>
    </row>
    <row r="890" spans="2:6" ht="18.75" thickBot="1">
      <c r="B890" s="3491">
        <v>886</v>
      </c>
      <c r="C890" s="3492" t="s">
        <v>4974</v>
      </c>
      <c r="D890" s="3493" t="s">
        <v>4462</v>
      </c>
      <c r="E890" s="3493">
        <v>27.63</v>
      </c>
      <c r="F890" s="3492">
        <v>9</v>
      </c>
    </row>
    <row r="891" spans="2:6" ht="18.75" thickBot="1">
      <c r="B891" s="3491">
        <v>887</v>
      </c>
      <c r="C891" s="3492" t="s">
        <v>4974</v>
      </c>
      <c r="D891" s="3493" t="s">
        <v>4463</v>
      </c>
      <c r="E891" s="3493">
        <v>27.63</v>
      </c>
      <c r="F891" s="3492">
        <v>9</v>
      </c>
    </row>
    <row r="892" spans="2:6" ht="18.75" thickBot="1">
      <c r="B892" s="3491">
        <v>888</v>
      </c>
      <c r="C892" s="3492" t="s">
        <v>4974</v>
      </c>
      <c r="D892" s="3493" t="s">
        <v>4464</v>
      </c>
      <c r="E892" s="3493">
        <v>27.63</v>
      </c>
      <c r="F892" s="3492">
        <v>9</v>
      </c>
    </row>
    <row r="893" spans="2:6" ht="18.75" thickBot="1">
      <c r="B893" s="3491">
        <v>889</v>
      </c>
      <c r="C893" s="3492" t="s">
        <v>4974</v>
      </c>
      <c r="D893" s="3493" t="s">
        <v>4465</v>
      </c>
      <c r="E893" s="3493">
        <v>27.63</v>
      </c>
      <c r="F893" s="3492">
        <v>9</v>
      </c>
    </row>
    <row r="894" spans="2:6" ht="18.75" thickBot="1">
      <c r="B894" s="3491">
        <v>890</v>
      </c>
      <c r="C894" s="3492" t="s">
        <v>4974</v>
      </c>
      <c r="D894" s="3493" t="s">
        <v>4466</v>
      </c>
      <c r="E894" s="3493">
        <v>27.63</v>
      </c>
      <c r="F894" s="3492">
        <v>9</v>
      </c>
    </row>
    <row r="895" spans="2:6" ht="18.75" thickBot="1">
      <c r="B895" s="3491">
        <v>891</v>
      </c>
      <c r="C895" s="3492" t="s">
        <v>4974</v>
      </c>
      <c r="D895" s="3493" t="s">
        <v>4467</v>
      </c>
      <c r="E895" s="3493">
        <v>27.63</v>
      </c>
      <c r="F895" s="3492">
        <v>9</v>
      </c>
    </row>
    <row r="896" spans="2:6" ht="18.75" thickBot="1">
      <c r="B896" s="3491">
        <v>892</v>
      </c>
      <c r="C896" s="3492" t="s">
        <v>4974</v>
      </c>
      <c r="D896" s="3493" t="s">
        <v>4468</v>
      </c>
      <c r="E896" s="3493">
        <v>27.63</v>
      </c>
      <c r="F896" s="3492">
        <v>9</v>
      </c>
    </row>
    <row r="897" spans="2:6" ht="18.75" thickBot="1">
      <c r="B897" s="3491">
        <v>893</v>
      </c>
      <c r="C897" s="3492" t="s">
        <v>4974</v>
      </c>
      <c r="D897" s="3493" t="s">
        <v>4469</v>
      </c>
      <c r="E897" s="3493">
        <v>27.63</v>
      </c>
      <c r="F897" s="3492">
        <v>9</v>
      </c>
    </row>
    <row r="898" spans="2:6" ht="18.75" thickBot="1">
      <c r="B898" s="3491">
        <v>894</v>
      </c>
      <c r="C898" s="3492" t="s">
        <v>4974</v>
      </c>
      <c r="D898" s="3493" t="s">
        <v>4470</v>
      </c>
      <c r="E898" s="3493">
        <v>27.63</v>
      </c>
      <c r="F898" s="3492">
        <v>9</v>
      </c>
    </row>
    <row r="899" spans="2:6" ht="18.75" thickBot="1">
      <c r="B899" s="3491">
        <v>895</v>
      </c>
      <c r="C899" s="3492" t="s">
        <v>4974</v>
      </c>
      <c r="D899" s="3493" t="s">
        <v>4471</v>
      </c>
      <c r="E899" s="3493">
        <v>27.63</v>
      </c>
      <c r="F899" s="3492">
        <v>9</v>
      </c>
    </row>
    <row r="900" spans="2:6" ht="18.75" thickBot="1">
      <c r="B900" s="3491">
        <v>896</v>
      </c>
      <c r="C900" s="3492" t="s">
        <v>4974</v>
      </c>
      <c r="D900" s="3493" t="s">
        <v>4472</v>
      </c>
      <c r="E900" s="3493">
        <v>27.63</v>
      </c>
      <c r="F900" s="3492">
        <v>9</v>
      </c>
    </row>
    <row r="901" spans="2:6" ht="18.75" thickBot="1">
      <c r="B901" s="3491">
        <v>897</v>
      </c>
      <c r="C901" s="3492" t="s">
        <v>4974</v>
      </c>
      <c r="D901" s="3493" t="s">
        <v>4473</v>
      </c>
      <c r="E901" s="3493">
        <v>27.63</v>
      </c>
      <c r="F901" s="3492">
        <v>9</v>
      </c>
    </row>
    <row r="902" spans="2:6" ht="18.75" thickBot="1">
      <c r="B902" s="3491">
        <v>898</v>
      </c>
      <c r="C902" s="3492" t="s">
        <v>4974</v>
      </c>
      <c r="D902" s="3493" t="s">
        <v>4474</v>
      </c>
      <c r="E902" s="3493">
        <v>27.63</v>
      </c>
      <c r="F902" s="3492">
        <v>9</v>
      </c>
    </row>
    <row r="903" spans="2:6" ht="18.75" thickBot="1">
      <c r="B903" s="3491">
        <v>899</v>
      </c>
      <c r="C903" s="3492" t="s">
        <v>4974</v>
      </c>
      <c r="D903" s="3493" t="s">
        <v>4475</v>
      </c>
      <c r="E903" s="3493">
        <v>27.63</v>
      </c>
      <c r="F903" s="3492">
        <v>9</v>
      </c>
    </row>
    <row r="904" spans="2:6" ht="18.75" thickBot="1">
      <c r="B904" s="3491">
        <v>900</v>
      </c>
      <c r="C904" s="3492" t="s">
        <v>4974</v>
      </c>
      <c r="D904" s="3493" t="s">
        <v>4476</v>
      </c>
      <c r="E904" s="3493">
        <v>27.63</v>
      </c>
      <c r="F904" s="3492">
        <v>9</v>
      </c>
    </row>
    <row r="905" spans="2:6" ht="18.75" thickBot="1">
      <c r="B905" s="3491">
        <v>901</v>
      </c>
      <c r="C905" s="3492" t="s">
        <v>4974</v>
      </c>
      <c r="D905" s="3493" t="s">
        <v>4477</v>
      </c>
      <c r="E905" s="3493">
        <v>27.63</v>
      </c>
      <c r="F905" s="3492">
        <v>9</v>
      </c>
    </row>
    <row r="906" spans="2:6" ht="18.75" thickBot="1">
      <c r="B906" s="3491">
        <v>902</v>
      </c>
      <c r="C906" s="3492" t="s">
        <v>4974</v>
      </c>
      <c r="D906" s="3493" t="s">
        <v>4478</v>
      </c>
      <c r="E906" s="3493">
        <v>27.63</v>
      </c>
      <c r="F906" s="3492">
        <v>9</v>
      </c>
    </row>
    <row r="907" spans="2:6" ht="18.75" thickBot="1">
      <c r="B907" s="3491">
        <v>903</v>
      </c>
      <c r="C907" s="3492" t="s">
        <v>4974</v>
      </c>
      <c r="D907" s="3493" t="s">
        <v>4479</v>
      </c>
      <c r="E907" s="3493">
        <v>27.63</v>
      </c>
      <c r="F907" s="3492">
        <v>9</v>
      </c>
    </row>
    <row r="908" spans="2:6" ht="18.75" thickBot="1">
      <c r="B908" s="3491">
        <v>904</v>
      </c>
      <c r="C908" s="3492" t="s">
        <v>4974</v>
      </c>
      <c r="D908" s="3493" t="s">
        <v>4480</v>
      </c>
      <c r="E908" s="3493">
        <v>27.63</v>
      </c>
      <c r="F908" s="3492">
        <v>9</v>
      </c>
    </row>
    <row r="909" spans="2:6" ht="18.75" thickBot="1">
      <c r="B909" s="3491">
        <v>905</v>
      </c>
      <c r="C909" s="3492" t="s">
        <v>4974</v>
      </c>
      <c r="D909" s="3493" t="s">
        <v>4481</v>
      </c>
      <c r="E909" s="3493">
        <v>27.63</v>
      </c>
      <c r="F909" s="3492">
        <v>9</v>
      </c>
    </row>
    <row r="910" spans="2:6" ht="18.75" thickBot="1">
      <c r="B910" s="3491">
        <v>906</v>
      </c>
      <c r="C910" s="3492" t="s">
        <v>4974</v>
      </c>
      <c r="D910" s="3493" t="s">
        <v>4482</v>
      </c>
      <c r="E910" s="3493">
        <v>27.63</v>
      </c>
      <c r="F910" s="3492">
        <v>9</v>
      </c>
    </row>
    <row r="911" spans="2:6" ht="18.75" thickBot="1">
      <c r="B911" s="3491">
        <v>907</v>
      </c>
      <c r="C911" s="3492" t="s">
        <v>4974</v>
      </c>
      <c r="D911" s="3493" t="s">
        <v>4483</v>
      </c>
      <c r="E911" s="3493">
        <v>27.63</v>
      </c>
      <c r="F911" s="3492">
        <v>9</v>
      </c>
    </row>
    <row r="912" spans="2:6" ht="18.75" thickBot="1">
      <c r="B912" s="3491">
        <v>908</v>
      </c>
      <c r="C912" s="3492" t="s">
        <v>4974</v>
      </c>
      <c r="D912" s="3493" t="s">
        <v>4484</v>
      </c>
      <c r="E912" s="3493">
        <v>27.63</v>
      </c>
      <c r="F912" s="3492">
        <v>9</v>
      </c>
    </row>
    <row r="913" spans="2:6" ht="18.75" thickBot="1">
      <c r="B913" s="3491">
        <v>909</v>
      </c>
      <c r="C913" s="3492" t="s">
        <v>4974</v>
      </c>
      <c r="D913" s="3493" t="s">
        <v>4485</v>
      </c>
      <c r="E913" s="3493">
        <v>27.63</v>
      </c>
      <c r="F913" s="3492">
        <v>9</v>
      </c>
    </row>
    <row r="914" spans="2:6" ht="18.75" thickBot="1">
      <c r="B914" s="3491">
        <v>910</v>
      </c>
      <c r="C914" s="3492" t="s">
        <v>4974</v>
      </c>
      <c r="D914" s="3493" t="s">
        <v>4486</v>
      </c>
      <c r="E914" s="3493">
        <v>27.63</v>
      </c>
      <c r="F914" s="3492">
        <v>9</v>
      </c>
    </row>
    <row r="915" spans="2:6" ht="18.75" thickBot="1">
      <c r="B915" s="3491">
        <v>911</v>
      </c>
      <c r="C915" s="3492" t="s">
        <v>4974</v>
      </c>
      <c r="D915" s="3493" t="s">
        <v>4487</v>
      </c>
      <c r="E915" s="3493">
        <v>27.63</v>
      </c>
      <c r="F915" s="3492">
        <v>9</v>
      </c>
    </row>
    <row r="916" spans="2:6" ht="18.75" thickBot="1">
      <c r="B916" s="3491">
        <v>912</v>
      </c>
      <c r="C916" s="3492" t="s">
        <v>4974</v>
      </c>
      <c r="D916" s="3493" t="s">
        <v>4488</v>
      </c>
      <c r="E916" s="3493">
        <v>27.63</v>
      </c>
      <c r="F916" s="3492">
        <v>9</v>
      </c>
    </row>
    <row r="917" spans="2:6" ht="18.75" thickBot="1">
      <c r="B917" s="3491">
        <v>913</v>
      </c>
      <c r="C917" s="3492" t="s">
        <v>4974</v>
      </c>
      <c r="D917" s="3493" t="s">
        <v>4489</v>
      </c>
      <c r="E917" s="3493">
        <v>27.63</v>
      </c>
      <c r="F917" s="3492">
        <v>9</v>
      </c>
    </row>
    <row r="918" spans="2:6" ht="18.75" thickBot="1">
      <c r="B918" s="3491">
        <v>914</v>
      </c>
      <c r="C918" s="3492" t="s">
        <v>4974</v>
      </c>
      <c r="D918" s="3493" t="s">
        <v>4490</v>
      </c>
      <c r="E918" s="3493">
        <v>27.63</v>
      </c>
      <c r="F918" s="3492">
        <v>9</v>
      </c>
    </row>
    <row r="919" spans="2:6" ht="18.75" thickBot="1">
      <c r="B919" s="3491">
        <v>915</v>
      </c>
      <c r="C919" s="3492" t="s">
        <v>4974</v>
      </c>
      <c r="D919" s="3493" t="s">
        <v>4491</v>
      </c>
      <c r="E919" s="3493">
        <v>27.63</v>
      </c>
      <c r="F919" s="3492">
        <v>9</v>
      </c>
    </row>
    <row r="920" spans="2:6" ht="18.75" thickBot="1">
      <c r="B920" s="3491">
        <v>916</v>
      </c>
      <c r="C920" s="3492" t="s">
        <v>4974</v>
      </c>
      <c r="D920" s="3493" t="s">
        <v>4492</v>
      </c>
      <c r="E920" s="3493">
        <v>27.63</v>
      </c>
      <c r="F920" s="3492">
        <v>9</v>
      </c>
    </row>
    <row r="921" spans="2:6" ht="18.75" thickBot="1">
      <c r="B921" s="3491">
        <v>917</v>
      </c>
      <c r="C921" s="3492" t="s">
        <v>4974</v>
      </c>
      <c r="D921" s="3493" t="s">
        <v>4493</v>
      </c>
      <c r="E921" s="3493">
        <v>27.46</v>
      </c>
      <c r="F921" s="3492">
        <v>8.94</v>
      </c>
    </row>
    <row r="922" spans="2:6" ht="18.75" thickBot="1">
      <c r="B922" s="3491">
        <v>918</v>
      </c>
      <c r="C922" s="3492" t="s">
        <v>4974</v>
      </c>
      <c r="D922" s="3493" t="s">
        <v>4494</v>
      </c>
      <c r="E922" s="3493">
        <v>27.63</v>
      </c>
      <c r="F922" s="3492">
        <v>9</v>
      </c>
    </row>
    <row r="923" spans="2:6" ht="18.75" thickBot="1">
      <c r="B923" s="3491">
        <v>919</v>
      </c>
      <c r="C923" s="3492" t="s">
        <v>4974</v>
      </c>
      <c r="D923" s="3493" t="s">
        <v>4495</v>
      </c>
      <c r="E923" s="3493">
        <v>27.63</v>
      </c>
      <c r="F923" s="3492">
        <v>9</v>
      </c>
    </row>
    <row r="924" spans="2:6" ht="18.75" thickBot="1">
      <c r="B924" s="3491">
        <v>920</v>
      </c>
      <c r="C924" s="3492" t="s">
        <v>4974</v>
      </c>
      <c r="D924" s="3493" t="s">
        <v>4496</v>
      </c>
      <c r="E924" s="3493">
        <v>27.63</v>
      </c>
      <c r="F924" s="3492">
        <v>9</v>
      </c>
    </row>
    <row r="925" spans="2:6" ht="18.75" thickBot="1">
      <c r="B925" s="3491">
        <v>921</v>
      </c>
      <c r="C925" s="3492" t="s">
        <v>4974</v>
      </c>
      <c r="D925" s="3493" t="s">
        <v>4497</v>
      </c>
      <c r="E925" s="3493">
        <v>27.63</v>
      </c>
      <c r="F925" s="3492">
        <v>9</v>
      </c>
    </row>
    <row r="926" spans="2:6" ht="18.75" thickBot="1">
      <c r="B926" s="3491">
        <v>922</v>
      </c>
      <c r="C926" s="3492" t="s">
        <v>4974</v>
      </c>
      <c r="D926" s="3493" t="s">
        <v>4498</v>
      </c>
      <c r="E926" s="3493">
        <v>27.63</v>
      </c>
      <c r="F926" s="3492">
        <v>9</v>
      </c>
    </row>
    <row r="927" spans="2:6" ht="18.75" thickBot="1">
      <c r="B927" s="3491">
        <v>923</v>
      </c>
      <c r="C927" s="3492" t="s">
        <v>4974</v>
      </c>
      <c r="D927" s="3493" t="s">
        <v>4499</v>
      </c>
      <c r="E927" s="3493">
        <v>27.63</v>
      </c>
      <c r="F927" s="3492">
        <v>9</v>
      </c>
    </row>
    <row r="928" spans="2:6" ht="18.75" thickBot="1">
      <c r="B928" s="3491">
        <v>924</v>
      </c>
      <c r="C928" s="3492" t="s">
        <v>4974</v>
      </c>
      <c r="D928" s="3493" t="s">
        <v>4500</v>
      </c>
      <c r="E928" s="3493">
        <v>27.63</v>
      </c>
      <c r="F928" s="3492">
        <v>9</v>
      </c>
    </row>
    <row r="929" spans="2:6" ht="18.75" thickBot="1">
      <c r="B929" s="3491">
        <v>925</v>
      </c>
      <c r="C929" s="3492" t="s">
        <v>4974</v>
      </c>
      <c r="D929" s="3493" t="s">
        <v>4501</v>
      </c>
      <c r="E929" s="3493">
        <v>27.63</v>
      </c>
      <c r="F929" s="3492">
        <v>9</v>
      </c>
    </row>
    <row r="930" spans="2:6" ht="18.75" thickBot="1">
      <c r="B930" s="3491">
        <v>926</v>
      </c>
      <c r="C930" s="3492" t="s">
        <v>4974</v>
      </c>
      <c r="D930" s="3493" t="s">
        <v>4502</v>
      </c>
      <c r="E930" s="3493">
        <v>20.55</v>
      </c>
      <c r="F930" s="3492">
        <v>6.69</v>
      </c>
    </row>
    <row r="931" spans="2:6" ht="18.75" thickBot="1">
      <c r="B931" s="3491">
        <v>927</v>
      </c>
      <c r="C931" s="3492" t="s">
        <v>4974</v>
      </c>
      <c r="D931" s="3493" t="s">
        <v>4503</v>
      </c>
      <c r="E931" s="3493">
        <v>27.63</v>
      </c>
      <c r="F931" s="3492">
        <v>9</v>
      </c>
    </row>
    <row r="932" spans="2:6" ht="18.75" thickBot="1">
      <c r="B932" s="3491">
        <v>928</v>
      </c>
      <c r="C932" s="3492" t="s">
        <v>4974</v>
      </c>
      <c r="D932" s="3493" t="s">
        <v>4504</v>
      </c>
      <c r="E932" s="3493">
        <v>27.63</v>
      </c>
      <c r="F932" s="3492">
        <v>9</v>
      </c>
    </row>
    <row r="933" spans="2:6" ht="18.75" thickBot="1">
      <c r="B933" s="3491">
        <v>929</v>
      </c>
      <c r="C933" s="3492" t="s">
        <v>4974</v>
      </c>
      <c r="D933" s="3493" t="s">
        <v>4505</v>
      </c>
      <c r="E933" s="3493">
        <v>27.63</v>
      </c>
      <c r="F933" s="3492">
        <v>9</v>
      </c>
    </row>
    <row r="934" spans="2:6" ht="18.75" thickBot="1">
      <c r="B934" s="3491">
        <v>930</v>
      </c>
      <c r="C934" s="3492" t="s">
        <v>4974</v>
      </c>
      <c r="D934" s="3493" t="s">
        <v>4506</v>
      </c>
      <c r="E934" s="3493">
        <v>27.63</v>
      </c>
      <c r="F934" s="3492">
        <v>9</v>
      </c>
    </row>
    <row r="935" spans="2:6" ht="18.75" thickBot="1">
      <c r="B935" s="3491">
        <v>931</v>
      </c>
      <c r="C935" s="3492" t="s">
        <v>4974</v>
      </c>
      <c r="D935" s="3493" t="s">
        <v>4507</v>
      </c>
      <c r="E935" s="3493">
        <v>27.63</v>
      </c>
      <c r="F935" s="3492">
        <v>9</v>
      </c>
    </row>
    <row r="936" spans="2:6" ht="18.75" thickBot="1">
      <c r="B936" s="3491">
        <v>932</v>
      </c>
      <c r="C936" s="3492" t="s">
        <v>4974</v>
      </c>
      <c r="D936" s="3493" t="s">
        <v>4508</v>
      </c>
      <c r="E936" s="3493">
        <v>27.63</v>
      </c>
      <c r="F936" s="3492">
        <v>9</v>
      </c>
    </row>
    <row r="937" spans="2:6" ht="18.75" thickBot="1">
      <c r="B937" s="3491">
        <v>933</v>
      </c>
      <c r="C937" s="3492" t="s">
        <v>4974</v>
      </c>
      <c r="D937" s="3493" t="s">
        <v>4509</v>
      </c>
      <c r="E937" s="3493">
        <v>27.63</v>
      </c>
      <c r="F937" s="3492">
        <v>9</v>
      </c>
    </row>
    <row r="938" spans="2:6" ht="18.75" thickBot="1">
      <c r="B938" s="3491">
        <v>934</v>
      </c>
      <c r="C938" s="3492" t="s">
        <v>4974</v>
      </c>
      <c r="D938" s="3493" t="s">
        <v>4510</v>
      </c>
      <c r="E938" s="3493">
        <v>27.63</v>
      </c>
      <c r="F938" s="3492">
        <v>9</v>
      </c>
    </row>
    <row r="939" spans="2:6" ht="18.75" thickBot="1">
      <c r="B939" s="3491">
        <v>935</v>
      </c>
      <c r="C939" s="3492" t="s">
        <v>4974</v>
      </c>
      <c r="D939" s="3493" t="s">
        <v>4511</v>
      </c>
      <c r="E939" s="3493">
        <v>27.63</v>
      </c>
      <c r="F939" s="3492">
        <v>9</v>
      </c>
    </row>
    <row r="940" spans="2:6" ht="18.75" thickBot="1">
      <c r="B940" s="3491">
        <v>936</v>
      </c>
      <c r="C940" s="3492" t="s">
        <v>4974</v>
      </c>
      <c r="D940" s="3493" t="s">
        <v>4512</v>
      </c>
      <c r="E940" s="3493">
        <v>27.63</v>
      </c>
      <c r="F940" s="3492">
        <v>9</v>
      </c>
    </row>
    <row r="941" spans="2:6" ht="18.75" thickBot="1">
      <c r="B941" s="3491">
        <v>937</v>
      </c>
      <c r="C941" s="3492" t="s">
        <v>4974</v>
      </c>
      <c r="D941" s="3493" t="s">
        <v>4513</v>
      </c>
      <c r="E941" s="3493">
        <v>27.63</v>
      </c>
      <c r="F941" s="3492">
        <v>9</v>
      </c>
    </row>
    <row r="942" spans="2:6" ht="18.75" thickBot="1">
      <c r="B942" s="3491">
        <v>938</v>
      </c>
      <c r="C942" s="3492" t="s">
        <v>4974</v>
      </c>
      <c r="D942" s="3493" t="s">
        <v>4514</v>
      </c>
      <c r="E942" s="3493">
        <v>20.55</v>
      </c>
      <c r="F942" s="3492">
        <v>6.69</v>
      </c>
    </row>
    <row r="943" spans="2:6" ht="18.75" thickBot="1">
      <c r="B943" s="3491">
        <v>939</v>
      </c>
      <c r="C943" s="3492" t="s">
        <v>4974</v>
      </c>
      <c r="D943" s="3493" t="s">
        <v>4515</v>
      </c>
      <c r="E943" s="3493">
        <v>27.63</v>
      </c>
      <c r="F943" s="3492">
        <v>9</v>
      </c>
    </row>
    <row r="944" spans="2:6" ht="18.75" thickBot="1">
      <c r="B944" s="3491">
        <v>940</v>
      </c>
      <c r="C944" s="3492" t="s">
        <v>4974</v>
      </c>
      <c r="D944" s="3493" t="s">
        <v>4516</v>
      </c>
      <c r="E944" s="3493">
        <v>27.63</v>
      </c>
      <c r="F944" s="3492">
        <v>9</v>
      </c>
    </row>
    <row r="945" spans="2:6" ht="18.75" thickBot="1">
      <c r="B945" s="3491">
        <v>941</v>
      </c>
      <c r="C945" s="3492" t="s">
        <v>4974</v>
      </c>
      <c r="D945" s="3493" t="s">
        <v>4517</v>
      </c>
      <c r="E945" s="3493">
        <v>27.63</v>
      </c>
      <c r="F945" s="3492">
        <v>9</v>
      </c>
    </row>
    <row r="946" spans="2:6" ht="18.75" thickBot="1">
      <c r="B946" s="3491">
        <v>942</v>
      </c>
      <c r="C946" s="3492" t="s">
        <v>4974</v>
      </c>
      <c r="D946" s="3493" t="s">
        <v>4518</v>
      </c>
      <c r="E946" s="3493">
        <v>27.63</v>
      </c>
      <c r="F946" s="3492">
        <v>9</v>
      </c>
    </row>
    <row r="947" spans="2:6" ht="18.75" thickBot="1">
      <c r="B947" s="3491">
        <v>943</v>
      </c>
      <c r="C947" s="3492" t="s">
        <v>4974</v>
      </c>
      <c r="D947" s="3493" t="s">
        <v>4519</v>
      </c>
      <c r="E947" s="3493">
        <v>27.63</v>
      </c>
      <c r="F947" s="3492">
        <v>9</v>
      </c>
    </row>
    <row r="948" spans="2:6" ht="18.75" thickBot="1">
      <c r="B948" s="3491">
        <v>944</v>
      </c>
      <c r="C948" s="3492" t="s">
        <v>4974</v>
      </c>
      <c r="D948" s="3493" t="s">
        <v>4520</v>
      </c>
      <c r="E948" s="3493">
        <v>27.63</v>
      </c>
      <c r="F948" s="3492">
        <v>9</v>
      </c>
    </row>
    <row r="949" spans="2:6" ht="18.75" thickBot="1">
      <c r="B949" s="3491">
        <v>945</v>
      </c>
      <c r="C949" s="3492" t="s">
        <v>4974</v>
      </c>
      <c r="D949" s="3493" t="s">
        <v>4521</v>
      </c>
      <c r="E949" s="3493">
        <v>27.63</v>
      </c>
      <c r="F949" s="3492">
        <v>9</v>
      </c>
    </row>
    <row r="950" spans="2:6" ht="18.75" thickBot="1">
      <c r="B950" s="3491">
        <v>946</v>
      </c>
      <c r="C950" s="3492" t="s">
        <v>4974</v>
      </c>
      <c r="D950" s="3493" t="s">
        <v>4522</v>
      </c>
      <c r="E950" s="3493">
        <v>27.63</v>
      </c>
      <c r="F950" s="3492">
        <v>9</v>
      </c>
    </row>
    <row r="951" spans="2:6" ht="18.75" thickBot="1">
      <c r="B951" s="3491">
        <v>947</v>
      </c>
      <c r="C951" s="3492" t="s">
        <v>4974</v>
      </c>
      <c r="D951" s="3493" t="s">
        <v>4523</v>
      </c>
      <c r="E951" s="3493">
        <v>27.63</v>
      </c>
      <c r="F951" s="3492">
        <v>9</v>
      </c>
    </row>
    <row r="952" spans="2:6" ht="18.75" thickBot="1">
      <c r="B952" s="3491">
        <v>948</v>
      </c>
      <c r="C952" s="3492" t="s">
        <v>4974</v>
      </c>
      <c r="D952" s="3493" t="s">
        <v>4524</v>
      </c>
      <c r="E952" s="3493">
        <v>27.63</v>
      </c>
      <c r="F952" s="3492">
        <v>9</v>
      </c>
    </row>
    <row r="953" spans="2:6" ht="18.75" thickBot="1">
      <c r="B953" s="3491">
        <v>949</v>
      </c>
      <c r="C953" s="3492" t="s">
        <v>4974</v>
      </c>
      <c r="D953" s="3493" t="s">
        <v>4525</v>
      </c>
      <c r="E953" s="3493">
        <v>27.63</v>
      </c>
      <c r="F953" s="3492">
        <v>9</v>
      </c>
    </row>
    <row r="954" spans="2:6" ht="18.75" thickBot="1">
      <c r="B954" s="3491">
        <v>950</v>
      </c>
      <c r="C954" s="3492" t="s">
        <v>4974</v>
      </c>
      <c r="D954" s="3493" t="s">
        <v>4526</v>
      </c>
      <c r="E954" s="3493">
        <v>27.63</v>
      </c>
      <c r="F954" s="3492">
        <v>9</v>
      </c>
    </row>
    <row r="955" spans="2:6" ht="18.75" thickBot="1">
      <c r="B955" s="3491">
        <v>951</v>
      </c>
      <c r="C955" s="3492" t="s">
        <v>4974</v>
      </c>
      <c r="D955" s="3493" t="s">
        <v>4527</v>
      </c>
      <c r="E955" s="3493">
        <v>27.06</v>
      </c>
      <c r="F955" s="3492">
        <v>8.81</v>
      </c>
    </row>
    <row r="956" spans="2:6" ht="18.75" thickBot="1">
      <c r="B956" s="3491">
        <v>952</v>
      </c>
      <c r="C956" s="3492" t="s">
        <v>4974</v>
      </c>
      <c r="D956" s="3493" t="s">
        <v>4528</v>
      </c>
      <c r="E956" s="3493">
        <v>27.63</v>
      </c>
      <c r="F956" s="3492">
        <v>9</v>
      </c>
    </row>
    <row r="957" spans="2:6" ht="18.75" thickBot="1">
      <c r="B957" s="3491">
        <v>953</v>
      </c>
      <c r="C957" s="3492" t="s">
        <v>4974</v>
      </c>
      <c r="D957" s="3493" t="s">
        <v>4529</v>
      </c>
      <c r="E957" s="3493">
        <v>27.63</v>
      </c>
      <c r="F957" s="3492">
        <v>9</v>
      </c>
    </row>
    <row r="958" spans="2:6" ht="18.75" thickBot="1">
      <c r="B958" s="3491">
        <v>954</v>
      </c>
      <c r="C958" s="3492" t="s">
        <v>4974</v>
      </c>
      <c r="D958" s="3493" t="s">
        <v>4530</v>
      </c>
      <c r="E958" s="3493">
        <v>27.63</v>
      </c>
      <c r="F958" s="3492">
        <v>9</v>
      </c>
    </row>
    <row r="959" spans="2:6" ht="18.75" thickBot="1">
      <c r="B959" s="3491">
        <v>955</v>
      </c>
      <c r="C959" s="3492" t="s">
        <v>4974</v>
      </c>
      <c r="D959" s="3493" t="s">
        <v>4531</v>
      </c>
      <c r="E959" s="3493">
        <v>27.63</v>
      </c>
      <c r="F959" s="3492">
        <v>9</v>
      </c>
    </row>
    <row r="960" spans="2:6" ht="18.75" thickBot="1">
      <c r="B960" s="3491">
        <v>956</v>
      </c>
      <c r="C960" s="3492" t="s">
        <v>4974</v>
      </c>
      <c r="D960" s="3493" t="s">
        <v>4532</v>
      </c>
      <c r="E960" s="3493">
        <v>27.63</v>
      </c>
      <c r="F960" s="3492">
        <v>9</v>
      </c>
    </row>
    <row r="961" spans="2:6" ht="18.75" thickBot="1">
      <c r="B961" s="3491">
        <v>957</v>
      </c>
      <c r="C961" s="3492" t="s">
        <v>4974</v>
      </c>
      <c r="D961" s="3493" t="s">
        <v>4533</v>
      </c>
      <c r="E961" s="3493">
        <v>27.63</v>
      </c>
      <c r="F961" s="3492">
        <v>9</v>
      </c>
    </row>
    <row r="962" spans="2:6" ht="18.75" thickBot="1">
      <c r="B962" s="3491">
        <v>958</v>
      </c>
      <c r="C962" s="3492" t="s">
        <v>4974</v>
      </c>
      <c r="D962" s="3493" t="s">
        <v>4534</v>
      </c>
      <c r="E962" s="3493">
        <v>27.63</v>
      </c>
      <c r="F962" s="3492">
        <v>9</v>
      </c>
    </row>
    <row r="963" spans="2:6" ht="18.75" thickBot="1">
      <c r="B963" s="3491">
        <v>959</v>
      </c>
      <c r="C963" s="3492" t="s">
        <v>4974</v>
      </c>
      <c r="D963" s="3493" t="s">
        <v>4535</v>
      </c>
      <c r="E963" s="3493">
        <v>20.55</v>
      </c>
      <c r="F963" s="3492">
        <v>6.69</v>
      </c>
    </row>
    <row r="964" spans="2:6" ht="18.75" thickBot="1">
      <c r="B964" s="3491">
        <v>960</v>
      </c>
      <c r="C964" s="3492" t="s">
        <v>4974</v>
      </c>
      <c r="D964" s="3493" t="s">
        <v>4536</v>
      </c>
      <c r="E964" s="3493">
        <v>27.63</v>
      </c>
      <c r="F964" s="3492">
        <v>9</v>
      </c>
    </row>
    <row r="965" spans="2:6" ht="18.75" thickBot="1">
      <c r="B965" s="3491">
        <v>961</v>
      </c>
      <c r="C965" s="3492" t="s">
        <v>4974</v>
      </c>
      <c r="D965" s="3493" t="s">
        <v>4537</v>
      </c>
      <c r="E965" s="3493">
        <v>27.63</v>
      </c>
      <c r="F965" s="3492">
        <v>9</v>
      </c>
    </row>
    <row r="966" spans="2:6" ht="18.75" thickBot="1">
      <c r="B966" s="3491">
        <v>962</v>
      </c>
      <c r="C966" s="3492" t="s">
        <v>4974</v>
      </c>
      <c r="D966" s="3493" t="s">
        <v>4538</v>
      </c>
      <c r="E966" s="3493">
        <v>27.63</v>
      </c>
      <c r="F966" s="3492">
        <v>9</v>
      </c>
    </row>
    <row r="967" spans="2:6" ht="18.75" thickBot="1">
      <c r="B967" s="3491">
        <v>963</v>
      </c>
      <c r="C967" s="3492" t="s">
        <v>4974</v>
      </c>
      <c r="D967" s="3493" t="s">
        <v>4539</v>
      </c>
      <c r="E967" s="3493">
        <v>27.63</v>
      </c>
      <c r="F967" s="3492">
        <v>9</v>
      </c>
    </row>
    <row r="968" spans="2:6" ht="18.75" thickBot="1">
      <c r="B968" s="3491">
        <v>964</v>
      </c>
      <c r="C968" s="3492" t="s">
        <v>4974</v>
      </c>
      <c r="D968" s="3493" t="s">
        <v>4540</v>
      </c>
      <c r="E968" s="3493">
        <v>27.63</v>
      </c>
      <c r="F968" s="3492">
        <v>9</v>
      </c>
    </row>
    <row r="969" spans="2:6" ht="18.75" thickBot="1">
      <c r="B969" s="3491">
        <v>965</v>
      </c>
      <c r="C969" s="3492" t="s">
        <v>4974</v>
      </c>
      <c r="D969" s="3493" t="s">
        <v>4541</v>
      </c>
      <c r="E969" s="3493">
        <v>27.63</v>
      </c>
      <c r="F969" s="3492">
        <v>9</v>
      </c>
    </row>
    <row r="970" spans="2:6" ht="18.75" thickBot="1">
      <c r="B970" s="3491">
        <v>966</v>
      </c>
      <c r="C970" s="3492" t="s">
        <v>4974</v>
      </c>
      <c r="D970" s="3493" t="s">
        <v>4542</v>
      </c>
      <c r="E970" s="3493">
        <v>20.55</v>
      </c>
      <c r="F970" s="3492">
        <v>6.69</v>
      </c>
    </row>
    <row r="971" spans="2:6" ht="18.75" thickBot="1">
      <c r="B971" s="3491">
        <v>967</v>
      </c>
      <c r="C971" s="3492" t="s">
        <v>4974</v>
      </c>
      <c r="D971" s="3493" t="s">
        <v>4543</v>
      </c>
      <c r="E971" s="3493">
        <v>27.63</v>
      </c>
      <c r="F971" s="3492">
        <v>9</v>
      </c>
    </row>
    <row r="972" spans="2:6" ht="18.75" thickBot="1">
      <c r="B972" s="3491">
        <v>968</v>
      </c>
      <c r="C972" s="3492" t="s">
        <v>4974</v>
      </c>
      <c r="D972" s="3493" t="s">
        <v>4544</v>
      </c>
      <c r="E972" s="3493">
        <v>27.63</v>
      </c>
      <c r="F972" s="3492">
        <v>9</v>
      </c>
    </row>
    <row r="973" spans="2:6" ht="18.75" thickBot="1">
      <c r="B973" s="3491">
        <v>969</v>
      </c>
      <c r="C973" s="3492" t="s">
        <v>4974</v>
      </c>
      <c r="D973" s="3493" t="s">
        <v>4545</v>
      </c>
      <c r="E973" s="3493">
        <v>27.63</v>
      </c>
      <c r="F973" s="3492">
        <v>9</v>
      </c>
    </row>
    <row r="974" spans="2:6" ht="18.75" thickBot="1">
      <c r="B974" s="3491">
        <v>970</v>
      </c>
      <c r="C974" s="3492" t="s">
        <v>4974</v>
      </c>
      <c r="D974" s="3493" t="s">
        <v>4546</v>
      </c>
      <c r="E974" s="3493">
        <v>27.63</v>
      </c>
      <c r="F974" s="3492">
        <v>9</v>
      </c>
    </row>
    <row r="975" spans="2:6" ht="18.75" thickBot="1">
      <c r="B975" s="3491">
        <v>971</v>
      </c>
      <c r="C975" s="3492" t="s">
        <v>4974</v>
      </c>
      <c r="D975" s="3493" t="s">
        <v>4547</v>
      </c>
      <c r="E975" s="3493">
        <v>20.55</v>
      </c>
      <c r="F975" s="3492">
        <v>6.69</v>
      </c>
    </row>
    <row r="976" spans="2:6" ht="18.75" thickBot="1">
      <c r="B976" s="3491">
        <v>972</v>
      </c>
      <c r="C976" s="3492" t="s">
        <v>4974</v>
      </c>
      <c r="D976" s="3493" t="s">
        <v>4548</v>
      </c>
      <c r="E976" s="3493">
        <v>27.63</v>
      </c>
      <c r="F976" s="3492">
        <v>9</v>
      </c>
    </row>
    <row r="977" spans="2:6" ht="18.75" thickBot="1">
      <c r="B977" s="3491">
        <v>973</v>
      </c>
      <c r="C977" s="3492" t="s">
        <v>4974</v>
      </c>
      <c r="D977" s="3493" t="s">
        <v>4549</v>
      </c>
      <c r="E977" s="3493">
        <v>27.63</v>
      </c>
      <c r="F977" s="3492">
        <v>9</v>
      </c>
    </row>
    <row r="978" spans="2:6" ht="18.75" thickBot="1">
      <c r="B978" s="3491">
        <v>974</v>
      </c>
      <c r="C978" s="3492" t="s">
        <v>4974</v>
      </c>
      <c r="D978" s="3493" t="s">
        <v>4550</v>
      </c>
      <c r="E978" s="3493">
        <v>27.63</v>
      </c>
      <c r="F978" s="3492">
        <v>9</v>
      </c>
    </row>
    <row r="979" spans="2:6" ht="18.75" thickBot="1">
      <c r="B979" s="3491">
        <v>975</v>
      </c>
      <c r="C979" s="3492" t="s">
        <v>4974</v>
      </c>
      <c r="D979" s="3493" t="s">
        <v>4551</v>
      </c>
      <c r="E979" s="3493">
        <v>27.63</v>
      </c>
      <c r="F979" s="3492">
        <v>9</v>
      </c>
    </row>
    <row r="980" spans="2:6" ht="18.75" thickBot="1">
      <c r="B980" s="3491">
        <v>976</v>
      </c>
      <c r="C980" s="3492" t="s">
        <v>4974</v>
      </c>
      <c r="D980" s="3493" t="s">
        <v>4552</v>
      </c>
      <c r="E980" s="3493">
        <v>27.63</v>
      </c>
      <c r="F980" s="3492">
        <v>9</v>
      </c>
    </row>
    <row r="981" spans="2:6" ht="18.75" thickBot="1">
      <c r="B981" s="3491">
        <v>977</v>
      </c>
      <c r="C981" s="3492" t="s">
        <v>4974</v>
      </c>
      <c r="D981" s="3493" t="s">
        <v>4553</v>
      </c>
      <c r="E981" s="3493">
        <v>20.55</v>
      </c>
      <c r="F981" s="3492">
        <v>6.69</v>
      </c>
    </row>
    <row r="982" spans="2:6" ht="18.75" thickBot="1">
      <c r="B982" s="3491">
        <v>978</v>
      </c>
      <c r="C982" s="3492" t="s">
        <v>4974</v>
      </c>
      <c r="D982" s="3493" t="s">
        <v>4554</v>
      </c>
      <c r="E982" s="3493">
        <v>27.63</v>
      </c>
      <c r="F982" s="3492">
        <v>9</v>
      </c>
    </row>
    <row r="983" spans="2:6" ht="18.75" thickBot="1">
      <c r="B983" s="3491">
        <v>979</v>
      </c>
      <c r="C983" s="3492" t="s">
        <v>4974</v>
      </c>
      <c r="D983" s="3493" t="s">
        <v>4555</v>
      </c>
      <c r="E983" s="3493">
        <v>27.63</v>
      </c>
      <c r="F983" s="3492">
        <v>9</v>
      </c>
    </row>
    <row r="984" spans="2:6" ht="18.75" thickBot="1">
      <c r="B984" s="3491">
        <v>980</v>
      </c>
      <c r="C984" s="3492" t="s">
        <v>4974</v>
      </c>
      <c r="D984" s="3493" t="s">
        <v>4556</v>
      </c>
      <c r="E984" s="3493">
        <v>27.63</v>
      </c>
      <c r="F984" s="3492">
        <v>9</v>
      </c>
    </row>
    <row r="985" spans="2:6" ht="18.75" thickBot="1">
      <c r="B985" s="3491">
        <v>981</v>
      </c>
      <c r="C985" s="3492" t="s">
        <v>4974</v>
      </c>
      <c r="D985" s="3493" t="s">
        <v>4557</v>
      </c>
      <c r="E985" s="3493">
        <v>27.63</v>
      </c>
      <c r="F985" s="3492">
        <v>9</v>
      </c>
    </row>
    <row r="986" spans="2:6" ht="18.75" thickBot="1">
      <c r="B986" s="3491">
        <v>982</v>
      </c>
      <c r="C986" s="3492" t="s">
        <v>4974</v>
      </c>
      <c r="D986" s="3493" t="s">
        <v>4558</v>
      </c>
      <c r="E986" s="3493">
        <v>27.63</v>
      </c>
      <c r="F986" s="3492">
        <v>9</v>
      </c>
    </row>
    <row r="987" spans="2:6" ht="18.75" thickBot="1">
      <c r="B987" s="3491">
        <v>983</v>
      </c>
      <c r="C987" s="3492" t="s">
        <v>4974</v>
      </c>
      <c r="D987" s="3493" t="s">
        <v>4559</v>
      </c>
      <c r="E987" s="3493">
        <v>27.63</v>
      </c>
      <c r="F987" s="3492">
        <v>9</v>
      </c>
    </row>
    <row r="988" spans="2:6" ht="18.75" thickBot="1">
      <c r="B988" s="3491">
        <v>984</v>
      </c>
      <c r="C988" s="3492" t="s">
        <v>4974</v>
      </c>
      <c r="D988" s="3493" t="s">
        <v>4560</v>
      </c>
      <c r="E988" s="3493">
        <v>27.63</v>
      </c>
      <c r="F988" s="3492">
        <v>9</v>
      </c>
    </row>
    <row r="989" spans="2:6" ht="18.75" thickBot="1">
      <c r="B989" s="3491">
        <v>985</v>
      </c>
      <c r="C989" s="3492" t="s">
        <v>4974</v>
      </c>
      <c r="D989" s="3493" t="s">
        <v>4561</v>
      </c>
      <c r="E989" s="3493">
        <v>27.63</v>
      </c>
      <c r="F989" s="3492">
        <v>9</v>
      </c>
    </row>
    <row r="990" spans="2:6" ht="18.75" thickBot="1">
      <c r="B990" s="3491">
        <v>986</v>
      </c>
      <c r="C990" s="3492" t="s">
        <v>4974</v>
      </c>
      <c r="D990" s="3493" t="s">
        <v>4562</v>
      </c>
      <c r="E990" s="3493">
        <v>27.63</v>
      </c>
      <c r="F990" s="3492">
        <v>9</v>
      </c>
    </row>
    <row r="991" spans="2:6" ht="18.75" thickBot="1">
      <c r="B991" s="3491">
        <v>987</v>
      </c>
      <c r="C991" s="3492" t="s">
        <v>4974</v>
      </c>
      <c r="D991" s="3493" t="s">
        <v>4563</v>
      </c>
      <c r="E991" s="3493">
        <v>27.63</v>
      </c>
      <c r="F991" s="3492">
        <v>9</v>
      </c>
    </row>
    <row r="992" spans="2:6" ht="18.75" thickBot="1">
      <c r="B992" s="3491">
        <v>988</v>
      </c>
      <c r="C992" s="3492" t="s">
        <v>4974</v>
      </c>
      <c r="D992" s="3493" t="s">
        <v>4564</v>
      </c>
      <c r="E992" s="3493">
        <v>27.63</v>
      </c>
      <c r="F992" s="3492">
        <v>9</v>
      </c>
    </row>
    <row r="993" spans="2:6" ht="18.75" thickBot="1">
      <c r="B993" s="3491">
        <v>989</v>
      </c>
      <c r="C993" s="3492" t="s">
        <v>4974</v>
      </c>
      <c r="D993" s="3493" t="s">
        <v>4565</v>
      </c>
      <c r="E993" s="3493">
        <v>27.63</v>
      </c>
      <c r="F993" s="3492">
        <v>9</v>
      </c>
    </row>
    <row r="994" spans="2:6" ht="18.75" thickBot="1">
      <c r="B994" s="3491">
        <v>990</v>
      </c>
      <c r="C994" s="3492" t="s">
        <v>4974</v>
      </c>
      <c r="D994" s="3493" t="s">
        <v>4566</v>
      </c>
      <c r="E994" s="3493">
        <v>27.63</v>
      </c>
      <c r="F994" s="3492">
        <v>9</v>
      </c>
    </row>
    <row r="995" spans="2:6" ht="18.75" thickBot="1">
      <c r="B995" s="3491">
        <v>991</v>
      </c>
      <c r="C995" s="3492" t="s">
        <v>4974</v>
      </c>
      <c r="D995" s="3493" t="s">
        <v>4567</v>
      </c>
      <c r="E995" s="3493">
        <v>27.63</v>
      </c>
      <c r="F995" s="3492">
        <v>9</v>
      </c>
    </row>
    <row r="996" spans="2:6" ht="18.75" thickBot="1">
      <c r="B996" s="3491">
        <v>992</v>
      </c>
      <c r="C996" s="3492" t="s">
        <v>4974</v>
      </c>
      <c r="D996" s="3493" t="s">
        <v>4568</v>
      </c>
      <c r="E996" s="3493">
        <v>27.63</v>
      </c>
      <c r="F996" s="3492">
        <v>9</v>
      </c>
    </row>
    <row r="997" spans="2:6" ht="18.75" thickBot="1">
      <c r="B997" s="3491">
        <v>993</v>
      </c>
      <c r="C997" s="3492" t="s">
        <v>4974</v>
      </c>
      <c r="D997" s="3493" t="s">
        <v>4569</v>
      </c>
      <c r="E997" s="3493">
        <v>27.63</v>
      </c>
      <c r="F997" s="3492">
        <v>9</v>
      </c>
    </row>
    <row r="998" spans="2:6" ht="18.75" thickBot="1">
      <c r="B998" s="3491">
        <v>994</v>
      </c>
      <c r="C998" s="3492" t="s">
        <v>4974</v>
      </c>
      <c r="D998" s="3493" t="s">
        <v>4570</v>
      </c>
      <c r="E998" s="3493">
        <v>27.63</v>
      </c>
      <c r="F998" s="3492">
        <v>9</v>
      </c>
    </row>
    <row r="999" spans="2:6" ht="18.75" thickBot="1">
      <c r="B999" s="3491">
        <v>995</v>
      </c>
      <c r="C999" s="3492" t="s">
        <v>4974</v>
      </c>
      <c r="D999" s="3493" t="s">
        <v>4571</v>
      </c>
      <c r="E999" s="3493">
        <v>27.63</v>
      </c>
      <c r="F999" s="3492">
        <v>9</v>
      </c>
    </row>
    <row r="1000" spans="2:6" ht="18.75" thickBot="1">
      <c r="B1000" s="3491">
        <v>996</v>
      </c>
      <c r="C1000" s="3492" t="s">
        <v>4974</v>
      </c>
      <c r="D1000" s="3493" t="s">
        <v>4572</v>
      </c>
      <c r="E1000" s="3493">
        <v>27.63</v>
      </c>
      <c r="F1000" s="3492">
        <v>9</v>
      </c>
    </row>
    <row r="1001" spans="2:6" ht="18.75" thickBot="1">
      <c r="B1001" s="3491">
        <v>997</v>
      </c>
      <c r="C1001" s="3492" t="s">
        <v>4974</v>
      </c>
      <c r="D1001" s="3493" t="s">
        <v>4573</v>
      </c>
      <c r="E1001" s="3493">
        <v>27.63</v>
      </c>
      <c r="F1001" s="3492">
        <v>9</v>
      </c>
    </row>
    <row r="1002" spans="2:6" ht="18.75" thickBot="1">
      <c r="B1002" s="3491">
        <v>998</v>
      </c>
      <c r="C1002" s="3492" t="s">
        <v>4974</v>
      </c>
      <c r="D1002" s="3493" t="s">
        <v>4574</v>
      </c>
      <c r="E1002" s="3493">
        <v>27.63</v>
      </c>
      <c r="F1002" s="3492">
        <v>9</v>
      </c>
    </row>
    <row r="1003" spans="2:6" ht="18.75" thickBot="1">
      <c r="B1003" s="3491">
        <v>999</v>
      </c>
      <c r="C1003" s="3492" t="s">
        <v>4974</v>
      </c>
      <c r="D1003" s="3493" t="s">
        <v>4575</v>
      </c>
      <c r="E1003" s="3493">
        <v>27.63</v>
      </c>
      <c r="F1003" s="3492">
        <v>9</v>
      </c>
    </row>
    <row r="1004" spans="2:6" ht="18.75" thickBot="1">
      <c r="B1004" s="3491">
        <v>1000</v>
      </c>
      <c r="C1004" s="3492" t="s">
        <v>4974</v>
      </c>
      <c r="D1004" s="3493" t="s">
        <v>4576</v>
      </c>
      <c r="E1004" s="3493">
        <v>27.63</v>
      </c>
      <c r="F1004" s="3492">
        <v>9</v>
      </c>
    </row>
    <row r="1005" spans="2:6" ht="18.75" thickBot="1">
      <c r="B1005" s="3491">
        <v>1001</v>
      </c>
      <c r="C1005" s="3492" t="s">
        <v>4974</v>
      </c>
      <c r="D1005" s="3493" t="s">
        <v>4577</v>
      </c>
      <c r="E1005" s="3493">
        <v>27.63</v>
      </c>
      <c r="F1005" s="3492">
        <v>9</v>
      </c>
    </row>
    <row r="1006" spans="2:6" ht="18.75" thickBot="1">
      <c r="B1006" s="3491">
        <v>1002</v>
      </c>
      <c r="C1006" s="3492" t="s">
        <v>4974</v>
      </c>
      <c r="D1006" s="3493" t="s">
        <v>4578</v>
      </c>
      <c r="E1006" s="3493">
        <v>27.63</v>
      </c>
      <c r="F1006" s="3492">
        <v>9</v>
      </c>
    </row>
    <row r="1007" spans="2:6" ht="18.75" thickBot="1">
      <c r="B1007" s="3491">
        <v>1003</v>
      </c>
      <c r="C1007" s="3492" t="s">
        <v>4974</v>
      </c>
      <c r="D1007" s="3493" t="s">
        <v>4579</v>
      </c>
      <c r="E1007" s="3493">
        <v>27.63</v>
      </c>
      <c r="F1007" s="3492">
        <v>9</v>
      </c>
    </row>
    <row r="1008" spans="2:6" ht="18.75" thickBot="1">
      <c r="B1008" s="3491">
        <v>1004</v>
      </c>
      <c r="C1008" s="3492" t="s">
        <v>4974</v>
      </c>
      <c r="D1008" s="3493" t="s">
        <v>4580</v>
      </c>
      <c r="E1008" s="3493">
        <v>27.63</v>
      </c>
      <c r="F1008" s="3492">
        <v>9</v>
      </c>
    </row>
    <row r="1009" spans="2:6" ht="18.75" thickBot="1">
      <c r="B1009" s="3491">
        <v>1005</v>
      </c>
      <c r="C1009" s="3492" t="s">
        <v>4974</v>
      </c>
      <c r="D1009" s="3493" t="s">
        <v>4581</v>
      </c>
      <c r="E1009" s="3493">
        <v>27.63</v>
      </c>
      <c r="F1009" s="3492">
        <v>9</v>
      </c>
    </row>
    <row r="1010" spans="2:6" ht="18.75" thickBot="1">
      <c r="B1010" s="3491">
        <v>1006</v>
      </c>
      <c r="C1010" s="3492" t="s">
        <v>4974</v>
      </c>
      <c r="D1010" s="3493" t="s">
        <v>4582</v>
      </c>
      <c r="E1010" s="3493">
        <v>27.63</v>
      </c>
      <c r="F1010" s="3492">
        <v>9</v>
      </c>
    </row>
    <row r="1011" spans="2:6" ht="18.75" thickBot="1">
      <c r="B1011" s="3491">
        <v>1007</v>
      </c>
      <c r="C1011" s="3492" t="s">
        <v>4974</v>
      </c>
      <c r="D1011" s="3493" t="s">
        <v>4583</v>
      </c>
      <c r="E1011" s="3493">
        <v>27.63</v>
      </c>
      <c r="F1011" s="3492">
        <v>9</v>
      </c>
    </row>
    <row r="1012" spans="2:6" ht="18.75" thickBot="1">
      <c r="B1012" s="3491">
        <v>1008</v>
      </c>
      <c r="C1012" s="3492" t="s">
        <v>4974</v>
      </c>
      <c r="D1012" s="3493" t="s">
        <v>4584</v>
      </c>
      <c r="E1012" s="3493">
        <v>27.63</v>
      </c>
      <c r="F1012" s="3492">
        <v>9</v>
      </c>
    </row>
    <row r="1013" spans="2:6" ht="18.75" thickBot="1">
      <c r="B1013" s="3491">
        <v>1009</v>
      </c>
      <c r="C1013" s="3492" t="s">
        <v>4974</v>
      </c>
      <c r="D1013" s="3493" t="s">
        <v>4585</v>
      </c>
      <c r="E1013" s="3493">
        <v>27.63</v>
      </c>
      <c r="F1013" s="3492">
        <v>9</v>
      </c>
    </row>
    <row r="1014" spans="2:6" ht="18.75" thickBot="1">
      <c r="B1014" s="3491">
        <v>1010</v>
      </c>
      <c r="C1014" s="3492" t="s">
        <v>4974</v>
      </c>
      <c r="D1014" s="3493" t="s">
        <v>4586</v>
      </c>
      <c r="E1014" s="3493">
        <v>27.63</v>
      </c>
      <c r="F1014" s="3492">
        <v>9</v>
      </c>
    </row>
    <row r="1015" spans="2:6" ht="18.75" thickBot="1">
      <c r="B1015" s="3491">
        <v>1011</v>
      </c>
      <c r="C1015" s="3492" t="s">
        <v>4974</v>
      </c>
      <c r="D1015" s="3493" t="s">
        <v>4587</v>
      </c>
      <c r="E1015" s="3493">
        <v>27.63</v>
      </c>
      <c r="F1015" s="3492">
        <v>9</v>
      </c>
    </row>
    <row r="1016" spans="2:6" ht="18.75" thickBot="1">
      <c r="B1016" s="3491">
        <v>1012</v>
      </c>
      <c r="C1016" s="3492" t="s">
        <v>4974</v>
      </c>
      <c r="D1016" s="3493" t="s">
        <v>4588</v>
      </c>
      <c r="E1016" s="3493">
        <v>27.63</v>
      </c>
      <c r="F1016" s="3492">
        <v>9</v>
      </c>
    </row>
    <row r="1017" spans="2:6" ht="18.75" thickBot="1">
      <c r="B1017" s="3491">
        <v>1013</v>
      </c>
      <c r="C1017" s="3492" t="s">
        <v>4974</v>
      </c>
      <c r="D1017" s="3493" t="s">
        <v>4589</v>
      </c>
      <c r="E1017" s="3493">
        <v>27.63</v>
      </c>
      <c r="F1017" s="3492">
        <v>9</v>
      </c>
    </row>
    <row r="1018" spans="2:6" ht="18.75" thickBot="1">
      <c r="B1018" s="3491">
        <v>1014</v>
      </c>
      <c r="C1018" s="3492" t="s">
        <v>4974</v>
      </c>
      <c r="D1018" s="3493" t="s">
        <v>4590</v>
      </c>
      <c r="E1018" s="3493">
        <v>27.63</v>
      </c>
      <c r="F1018" s="3492">
        <v>9</v>
      </c>
    </row>
    <row r="1019" spans="2:6" ht="18.75" thickBot="1">
      <c r="B1019" s="3491">
        <v>1015</v>
      </c>
      <c r="C1019" s="3492" t="s">
        <v>4974</v>
      </c>
      <c r="D1019" s="3493" t="s">
        <v>4591</v>
      </c>
      <c r="E1019" s="3493">
        <v>27.63</v>
      </c>
      <c r="F1019" s="3492">
        <v>9</v>
      </c>
    </row>
    <row r="1020" spans="2:6" ht="18.75" thickBot="1">
      <c r="B1020" s="3491">
        <v>1016</v>
      </c>
      <c r="C1020" s="3492" t="s">
        <v>4974</v>
      </c>
      <c r="D1020" s="3493" t="s">
        <v>4592</v>
      </c>
      <c r="E1020" s="3493">
        <v>27.63</v>
      </c>
      <c r="F1020" s="3492">
        <v>9</v>
      </c>
    </row>
    <row r="1021" spans="2:6" ht="18.75" thickBot="1">
      <c r="B1021" s="3491">
        <v>1017</v>
      </c>
      <c r="C1021" s="3492" t="s">
        <v>4974</v>
      </c>
      <c r="D1021" s="3493" t="s">
        <v>4593</v>
      </c>
      <c r="E1021" s="3493">
        <v>27.63</v>
      </c>
      <c r="F1021" s="3492">
        <v>9</v>
      </c>
    </row>
    <row r="1022" spans="2:6" ht="18.75" thickBot="1">
      <c r="B1022" s="3491">
        <v>1018</v>
      </c>
      <c r="C1022" s="3492" t="s">
        <v>4974</v>
      </c>
      <c r="D1022" s="3493" t="s">
        <v>4594</v>
      </c>
      <c r="E1022" s="3493">
        <v>27.63</v>
      </c>
      <c r="F1022" s="3492">
        <v>9</v>
      </c>
    </row>
    <row r="1023" spans="2:6" ht="18.75" thickBot="1">
      <c r="B1023" s="3491">
        <v>1019</v>
      </c>
      <c r="C1023" s="3492" t="s">
        <v>4974</v>
      </c>
      <c r="D1023" s="3493" t="s">
        <v>4595</v>
      </c>
      <c r="E1023" s="3493">
        <v>27.63</v>
      </c>
      <c r="F1023" s="3492">
        <v>9</v>
      </c>
    </row>
    <row r="1024" spans="2:6" ht="18.75" thickBot="1">
      <c r="B1024" s="3491">
        <v>1020</v>
      </c>
      <c r="C1024" s="3492" t="s">
        <v>4974</v>
      </c>
      <c r="D1024" s="3493" t="s">
        <v>4596</v>
      </c>
      <c r="E1024" s="3493">
        <v>27.63</v>
      </c>
      <c r="F1024" s="3492">
        <v>9</v>
      </c>
    </row>
    <row r="1025" spans="2:6" ht="18.75" thickBot="1">
      <c r="B1025" s="3491">
        <v>1021</v>
      </c>
      <c r="C1025" s="3492" t="s">
        <v>4974</v>
      </c>
      <c r="D1025" s="3493" t="s">
        <v>4597</v>
      </c>
      <c r="E1025" s="3493">
        <v>27.63</v>
      </c>
      <c r="F1025" s="3492">
        <v>9</v>
      </c>
    </row>
    <row r="1026" spans="2:6" ht="18.75" thickBot="1">
      <c r="B1026" s="3491">
        <v>1022</v>
      </c>
      <c r="C1026" s="3492" t="s">
        <v>4974</v>
      </c>
      <c r="D1026" s="3493" t="s">
        <v>4598</v>
      </c>
      <c r="E1026" s="3493">
        <v>27.63</v>
      </c>
      <c r="F1026" s="3492">
        <v>9</v>
      </c>
    </row>
    <row r="1027" spans="2:6" ht="18.75" thickBot="1">
      <c r="B1027" s="3491">
        <v>1023</v>
      </c>
      <c r="C1027" s="3492" t="s">
        <v>4974</v>
      </c>
      <c r="D1027" s="3493" t="s">
        <v>4599</v>
      </c>
      <c r="E1027" s="3493">
        <v>27.63</v>
      </c>
      <c r="F1027" s="3492">
        <v>9</v>
      </c>
    </row>
    <row r="1028" spans="2:6" ht="18.75" thickBot="1">
      <c r="B1028" s="3491">
        <v>1024</v>
      </c>
      <c r="C1028" s="3492" t="s">
        <v>4974</v>
      </c>
      <c r="D1028" s="3493" t="s">
        <v>4600</v>
      </c>
      <c r="E1028" s="3493">
        <v>27.63</v>
      </c>
      <c r="F1028" s="3492">
        <v>9</v>
      </c>
    </row>
    <row r="1029" spans="2:6" ht="18.75" thickBot="1">
      <c r="B1029" s="3491">
        <v>1025</v>
      </c>
      <c r="C1029" s="3492" t="s">
        <v>4974</v>
      </c>
      <c r="D1029" s="3493" t="s">
        <v>4601</v>
      </c>
      <c r="E1029" s="3493">
        <v>27.63</v>
      </c>
      <c r="F1029" s="3492">
        <v>9</v>
      </c>
    </row>
    <row r="1030" spans="2:6" ht="18.75" thickBot="1">
      <c r="B1030" s="3491">
        <v>1026</v>
      </c>
      <c r="C1030" s="3492" t="s">
        <v>4974</v>
      </c>
      <c r="D1030" s="3493" t="s">
        <v>4602</v>
      </c>
      <c r="E1030" s="3493">
        <v>27.63</v>
      </c>
      <c r="F1030" s="3492">
        <v>9</v>
      </c>
    </row>
    <row r="1031" spans="2:6" ht="18.75" thickBot="1">
      <c r="B1031" s="3491">
        <v>1027</v>
      </c>
      <c r="C1031" s="3492" t="s">
        <v>4974</v>
      </c>
      <c r="D1031" s="3493" t="s">
        <v>4603</v>
      </c>
      <c r="E1031" s="3493">
        <v>27.63</v>
      </c>
      <c r="F1031" s="3492">
        <v>9</v>
      </c>
    </row>
    <row r="1032" spans="2:6" ht="18.75" thickBot="1">
      <c r="B1032" s="3491">
        <v>1028</v>
      </c>
      <c r="C1032" s="3492" t="s">
        <v>4974</v>
      </c>
      <c r="D1032" s="3493" t="s">
        <v>4604</v>
      </c>
      <c r="E1032" s="3493">
        <v>27.63</v>
      </c>
      <c r="F1032" s="3492">
        <v>9</v>
      </c>
    </row>
    <row r="1033" spans="2:6" ht="18.75" thickBot="1">
      <c r="B1033" s="3491">
        <v>1029</v>
      </c>
      <c r="C1033" s="3492" t="s">
        <v>4974</v>
      </c>
      <c r="D1033" s="3493" t="s">
        <v>4605</v>
      </c>
      <c r="E1033" s="3493">
        <v>27.63</v>
      </c>
      <c r="F1033" s="3492">
        <v>9</v>
      </c>
    </row>
    <row r="1034" spans="2:6" ht="18.75" thickBot="1">
      <c r="B1034" s="3491">
        <v>1030</v>
      </c>
      <c r="C1034" s="3492" t="s">
        <v>4974</v>
      </c>
      <c r="D1034" s="3493" t="s">
        <v>4606</v>
      </c>
      <c r="E1034" s="3493">
        <v>27.63</v>
      </c>
      <c r="F1034" s="3492">
        <v>9</v>
      </c>
    </row>
    <row r="1035" spans="2:6" ht="18.75" thickBot="1">
      <c r="B1035" s="3491">
        <v>1031</v>
      </c>
      <c r="C1035" s="3492" t="s">
        <v>4974</v>
      </c>
      <c r="D1035" s="3493" t="s">
        <v>4607</v>
      </c>
      <c r="E1035" s="3493">
        <v>48.22</v>
      </c>
      <c r="F1035" s="3492">
        <v>15.7</v>
      </c>
    </row>
    <row r="1036" spans="2:6" ht="18.75" thickBot="1">
      <c r="B1036" s="3491">
        <v>1032</v>
      </c>
      <c r="C1036" s="3492" t="s">
        <v>4974</v>
      </c>
      <c r="D1036" s="3493" t="s">
        <v>4608</v>
      </c>
      <c r="E1036" s="3493">
        <v>27.63</v>
      </c>
      <c r="F1036" s="3492">
        <v>9</v>
      </c>
    </row>
    <row r="1037" spans="2:6" ht="18.75" thickBot="1">
      <c r="B1037" s="3491">
        <v>1033</v>
      </c>
      <c r="C1037" s="3492" t="s">
        <v>4974</v>
      </c>
      <c r="D1037" s="3493" t="s">
        <v>4609</v>
      </c>
      <c r="E1037" s="3493">
        <v>27.63</v>
      </c>
      <c r="F1037" s="3492">
        <v>9</v>
      </c>
    </row>
    <row r="1038" spans="2:6" ht="18.75" thickBot="1">
      <c r="B1038" s="3491">
        <v>1034</v>
      </c>
      <c r="C1038" s="3492" t="s">
        <v>4974</v>
      </c>
      <c r="D1038" s="3493" t="s">
        <v>4610</v>
      </c>
      <c r="E1038" s="3493">
        <v>27.63</v>
      </c>
      <c r="F1038" s="3492">
        <v>9</v>
      </c>
    </row>
    <row r="1039" spans="2:6" ht="18.75" thickBot="1">
      <c r="B1039" s="3491">
        <v>1035</v>
      </c>
      <c r="C1039" s="3492" t="s">
        <v>4974</v>
      </c>
      <c r="D1039" s="3493" t="s">
        <v>4611</v>
      </c>
      <c r="E1039" s="3493">
        <v>27.63</v>
      </c>
      <c r="F1039" s="3492">
        <v>9</v>
      </c>
    </row>
    <row r="1040" spans="2:6" ht="18.75" thickBot="1">
      <c r="B1040" s="3491">
        <v>1036</v>
      </c>
      <c r="C1040" s="3492" t="s">
        <v>4974</v>
      </c>
      <c r="D1040" s="3493" t="s">
        <v>4612</v>
      </c>
      <c r="E1040" s="3493">
        <v>27.63</v>
      </c>
      <c r="F1040" s="3492">
        <v>9</v>
      </c>
    </row>
    <row r="1041" spans="2:6" ht="18.75" thickBot="1">
      <c r="B1041" s="3491">
        <v>1037</v>
      </c>
      <c r="C1041" s="3492" t="s">
        <v>4974</v>
      </c>
      <c r="D1041" s="3493" t="s">
        <v>4613</v>
      </c>
      <c r="E1041" s="3493">
        <v>27.63</v>
      </c>
      <c r="F1041" s="3492">
        <v>9</v>
      </c>
    </row>
    <row r="1042" spans="2:6" ht="18.75" thickBot="1">
      <c r="B1042" s="3491">
        <v>1038</v>
      </c>
      <c r="C1042" s="3492" t="s">
        <v>4974</v>
      </c>
      <c r="D1042" s="3493" t="s">
        <v>4614</v>
      </c>
      <c r="E1042" s="3493">
        <v>27.63</v>
      </c>
      <c r="F1042" s="3492">
        <v>9</v>
      </c>
    </row>
    <row r="1043" spans="2:6" ht="18.75" thickBot="1">
      <c r="B1043" s="3491">
        <v>1039</v>
      </c>
      <c r="C1043" s="3492" t="s">
        <v>4974</v>
      </c>
      <c r="D1043" s="3493" t="s">
        <v>4615</v>
      </c>
      <c r="E1043" s="3493">
        <v>27.63</v>
      </c>
      <c r="F1043" s="3492">
        <v>9</v>
      </c>
    </row>
    <row r="1044" spans="2:6" ht="18.75" thickBot="1">
      <c r="B1044" s="3491">
        <v>1040</v>
      </c>
      <c r="C1044" s="3492" t="s">
        <v>4974</v>
      </c>
      <c r="D1044" s="3493" t="s">
        <v>4616</v>
      </c>
      <c r="E1044" s="3493">
        <v>27.63</v>
      </c>
      <c r="F1044" s="3492">
        <v>9</v>
      </c>
    </row>
    <row r="1045" spans="2:6" ht="18.75" thickBot="1">
      <c r="B1045" s="3491">
        <v>1041</v>
      </c>
      <c r="C1045" s="3492" t="s">
        <v>4974</v>
      </c>
      <c r="D1045" s="3493" t="s">
        <v>4617</v>
      </c>
      <c r="E1045" s="3493">
        <v>27.63</v>
      </c>
      <c r="F1045" s="3492">
        <v>9</v>
      </c>
    </row>
    <row r="1046" spans="2:6" ht="18.75" thickBot="1">
      <c r="B1046" s="3491">
        <v>1042</v>
      </c>
      <c r="C1046" s="3492" t="s">
        <v>4974</v>
      </c>
      <c r="D1046" s="3493" t="s">
        <v>4618</v>
      </c>
      <c r="E1046" s="3493">
        <v>27.63</v>
      </c>
      <c r="F1046" s="3492">
        <v>9</v>
      </c>
    </row>
    <row r="1047" spans="2:6" ht="18.75" thickBot="1">
      <c r="B1047" s="3491">
        <v>1043</v>
      </c>
      <c r="C1047" s="3492" t="s">
        <v>4974</v>
      </c>
      <c r="D1047" s="3493" t="s">
        <v>4619</v>
      </c>
      <c r="E1047" s="3493">
        <v>27.63</v>
      </c>
      <c r="F1047" s="3492">
        <v>9</v>
      </c>
    </row>
    <row r="1048" spans="2:6" ht="18.75" thickBot="1">
      <c r="B1048" s="3491">
        <v>1044</v>
      </c>
      <c r="C1048" s="3492" t="s">
        <v>4974</v>
      </c>
      <c r="D1048" s="3493" t="s">
        <v>4620</v>
      </c>
      <c r="E1048" s="3493">
        <v>27.63</v>
      </c>
      <c r="F1048" s="3492">
        <v>9</v>
      </c>
    </row>
    <row r="1049" spans="2:6" ht="18.75" thickBot="1">
      <c r="B1049" s="3491">
        <v>1045</v>
      </c>
      <c r="C1049" s="3492" t="s">
        <v>4974</v>
      </c>
      <c r="D1049" s="3493" t="s">
        <v>4621</v>
      </c>
      <c r="E1049" s="3493">
        <v>27.63</v>
      </c>
      <c r="F1049" s="3492">
        <v>9</v>
      </c>
    </row>
    <row r="1050" spans="2:6" ht="18.75" thickBot="1">
      <c r="B1050" s="3491">
        <v>1046</v>
      </c>
      <c r="C1050" s="3492" t="s">
        <v>4974</v>
      </c>
      <c r="D1050" s="3493" t="s">
        <v>4622</v>
      </c>
      <c r="E1050" s="3493">
        <v>27.63</v>
      </c>
      <c r="F1050" s="3492">
        <v>9</v>
      </c>
    </row>
    <row r="1051" spans="2:6" ht="18.75" thickBot="1">
      <c r="B1051" s="3491">
        <v>1047</v>
      </c>
      <c r="C1051" s="3492" t="s">
        <v>4974</v>
      </c>
      <c r="D1051" s="3493" t="s">
        <v>4623</v>
      </c>
      <c r="E1051" s="3493">
        <v>27.63</v>
      </c>
      <c r="F1051" s="3492">
        <v>9</v>
      </c>
    </row>
    <row r="1052" spans="2:6" ht="18.75" thickBot="1">
      <c r="B1052" s="3491">
        <v>1048</v>
      </c>
      <c r="C1052" s="3492" t="s">
        <v>4974</v>
      </c>
      <c r="D1052" s="3493" t="s">
        <v>4624</v>
      </c>
      <c r="E1052" s="3493">
        <v>27.63</v>
      </c>
      <c r="F1052" s="3492">
        <v>9</v>
      </c>
    </row>
    <row r="1053" spans="2:6" ht="18.75" thickBot="1">
      <c r="B1053" s="3491">
        <v>1049</v>
      </c>
      <c r="C1053" s="3492" t="s">
        <v>4974</v>
      </c>
      <c r="D1053" s="3493" t="s">
        <v>4625</v>
      </c>
      <c r="E1053" s="3493">
        <v>27.63</v>
      </c>
      <c r="F1053" s="3492">
        <v>9</v>
      </c>
    </row>
    <row r="1054" spans="2:6" ht="18.75" thickBot="1">
      <c r="B1054" s="3491">
        <v>1050</v>
      </c>
      <c r="C1054" s="3492" t="s">
        <v>4974</v>
      </c>
      <c r="D1054" s="3493" t="s">
        <v>4626</v>
      </c>
      <c r="E1054" s="3493">
        <v>27.63</v>
      </c>
      <c r="F1054" s="3492">
        <v>9</v>
      </c>
    </row>
    <row r="1055" spans="2:6" ht="18.75" thickBot="1">
      <c r="B1055" s="3491">
        <v>1051</v>
      </c>
      <c r="C1055" s="3492" t="s">
        <v>4974</v>
      </c>
      <c r="D1055" s="3493" t="s">
        <v>4627</v>
      </c>
      <c r="E1055" s="3493">
        <v>27.63</v>
      </c>
      <c r="F1055" s="3492">
        <v>9</v>
      </c>
    </row>
    <row r="1056" spans="2:6" ht="18.75" thickBot="1">
      <c r="B1056" s="3491">
        <v>1052</v>
      </c>
      <c r="C1056" s="3492" t="s">
        <v>4974</v>
      </c>
      <c r="D1056" s="3493" t="s">
        <v>4628</v>
      </c>
      <c r="E1056" s="3493">
        <v>27.63</v>
      </c>
      <c r="F1056" s="3492">
        <v>9</v>
      </c>
    </row>
    <row r="1057" spans="2:9" ht="18.75" thickBot="1">
      <c r="B1057" s="3491">
        <v>1053</v>
      </c>
      <c r="C1057" s="3492" t="s">
        <v>4974</v>
      </c>
      <c r="D1057" s="3493" t="s">
        <v>4629</v>
      </c>
      <c r="E1057" s="3493">
        <v>27.63</v>
      </c>
      <c r="F1057" s="3492">
        <v>9</v>
      </c>
    </row>
    <row r="1058" spans="2:9" ht="18.75" thickBot="1">
      <c r="B1058" s="3491">
        <v>1054</v>
      </c>
      <c r="C1058" s="3492" t="s">
        <v>4974</v>
      </c>
      <c r="D1058" s="3493" t="s">
        <v>4630</v>
      </c>
      <c r="E1058" s="3493">
        <v>27.63</v>
      </c>
      <c r="F1058" s="3492">
        <v>9</v>
      </c>
    </row>
    <row r="1059" spans="2:9" ht="18.75" thickBot="1">
      <c r="B1059" s="3491">
        <v>1055</v>
      </c>
      <c r="C1059" s="3492" t="s">
        <v>4974</v>
      </c>
      <c r="D1059" s="3493" t="s">
        <v>4631</v>
      </c>
      <c r="E1059" s="3493">
        <v>27.63</v>
      </c>
      <c r="F1059" s="3492">
        <v>9</v>
      </c>
    </row>
    <row r="1060" spans="2:9" ht="18.75" thickBot="1">
      <c r="B1060" s="3491">
        <v>1056</v>
      </c>
      <c r="C1060" s="3492" t="s">
        <v>4974</v>
      </c>
      <c r="D1060" s="3493" t="s">
        <v>4632</v>
      </c>
      <c r="E1060" s="3493">
        <v>27.63</v>
      </c>
      <c r="F1060" s="3492">
        <v>9</v>
      </c>
    </row>
    <row r="1061" spans="2:9" ht="18.75" thickBot="1">
      <c r="B1061" s="3491">
        <v>1057</v>
      </c>
      <c r="C1061" s="3492" t="s">
        <v>4974</v>
      </c>
      <c r="D1061" s="3493" t="s">
        <v>4633</v>
      </c>
      <c r="E1061" s="3493">
        <v>27.63</v>
      </c>
      <c r="F1061" s="3492">
        <v>9</v>
      </c>
    </row>
    <row r="1062" spans="2:9" ht="18.75" thickBot="1">
      <c r="B1062" s="3491">
        <v>1058</v>
      </c>
      <c r="C1062" s="3492" t="s">
        <v>4974</v>
      </c>
      <c r="D1062" s="3493" t="s">
        <v>4634</v>
      </c>
      <c r="E1062" s="3493">
        <v>27.63</v>
      </c>
      <c r="F1062" s="3492">
        <v>9</v>
      </c>
    </row>
    <row r="1063" spans="2:9" ht="18.75" thickBot="1">
      <c r="B1063" s="3491">
        <v>1059</v>
      </c>
      <c r="C1063" s="3492" t="s">
        <v>4974</v>
      </c>
      <c r="D1063" s="3493" t="s">
        <v>4635</v>
      </c>
      <c r="E1063" s="3493">
        <v>20.55</v>
      </c>
      <c r="F1063" s="3492">
        <v>6.69</v>
      </c>
    </row>
    <row r="1064" spans="2:9" ht="18.75" thickBot="1">
      <c r="B1064" s="3491">
        <v>1060</v>
      </c>
      <c r="C1064" s="3492" t="s">
        <v>4974</v>
      </c>
      <c r="D1064" s="3493" t="s">
        <v>4636</v>
      </c>
      <c r="E1064" s="3493">
        <v>27.63</v>
      </c>
      <c r="F1064" s="3492">
        <v>9</v>
      </c>
      <c r="I1064">
        <f>1060-285</f>
        <v>775</v>
      </c>
    </row>
    <row r="1065" spans="2:9" ht="18.75" thickBot="1">
      <c r="B1065" s="3494">
        <v>1061</v>
      </c>
      <c r="C1065" s="3495" t="s">
        <v>4974</v>
      </c>
      <c r="D1065" s="3495" t="s">
        <v>4637</v>
      </c>
      <c r="E1065" s="3495">
        <v>51.31</v>
      </c>
      <c r="F1065" s="3495">
        <v>16.71</v>
      </c>
    </row>
    <row r="1066" spans="2:9" ht="18.75" thickBot="1">
      <c r="B1066" s="3494">
        <v>1062</v>
      </c>
      <c r="C1066" s="3495" t="s">
        <v>4974</v>
      </c>
      <c r="D1066" s="3495" t="s">
        <v>4638</v>
      </c>
      <c r="E1066" s="3495">
        <v>39.340000000000003</v>
      </c>
      <c r="F1066" s="3495">
        <v>12.81</v>
      </c>
    </row>
    <row r="1067" spans="2:9" ht="18.75" thickBot="1">
      <c r="B1067" s="3494">
        <v>1063</v>
      </c>
      <c r="C1067" s="3495" t="s">
        <v>4974</v>
      </c>
      <c r="D1067" s="3495" t="s">
        <v>4639</v>
      </c>
      <c r="E1067" s="3495">
        <v>54.79</v>
      </c>
      <c r="F1067" s="3495">
        <v>17.84</v>
      </c>
    </row>
    <row r="1068" spans="2:9" ht="18.75" thickBot="1">
      <c r="B1068" s="3494">
        <v>1064</v>
      </c>
      <c r="C1068" s="3495" t="s">
        <v>4974</v>
      </c>
      <c r="D1068" s="3495" t="s">
        <v>4640</v>
      </c>
      <c r="E1068" s="3495">
        <v>68.3</v>
      </c>
      <c r="F1068" s="3495">
        <v>22.24</v>
      </c>
    </row>
    <row r="1069" spans="2:9" ht="18.75" thickBot="1">
      <c r="B1069" s="3494">
        <v>1065</v>
      </c>
      <c r="C1069" s="3495" t="s">
        <v>4974</v>
      </c>
      <c r="D1069" s="3495" t="s">
        <v>4641</v>
      </c>
      <c r="E1069" s="3495">
        <v>37.270000000000003</v>
      </c>
      <c r="F1069" s="3495">
        <v>12.14</v>
      </c>
    </row>
    <row r="1070" spans="2:9" ht="18.75" thickBot="1">
      <c r="B1070" s="3494">
        <v>1066</v>
      </c>
      <c r="C1070" s="3495" t="s">
        <v>4974</v>
      </c>
      <c r="D1070" s="3495" t="s">
        <v>4642</v>
      </c>
      <c r="E1070" s="3495">
        <v>26.78</v>
      </c>
      <c r="F1070" s="3495">
        <v>8.7200000000000006</v>
      </c>
    </row>
    <row r="1071" spans="2:9" ht="18.75" thickBot="1">
      <c r="B1071" s="3494">
        <v>1067</v>
      </c>
      <c r="C1071" s="3495" t="s">
        <v>4974</v>
      </c>
      <c r="D1071" s="3495" t="s">
        <v>4643</v>
      </c>
      <c r="E1071" s="3495">
        <v>37.270000000000003</v>
      </c>
      <c r="F1071" s="3495">
        <v>12.14</v>
      </c>
    </row>
    <row r="1072" spans="2:9" ht="18.75" thickBot="1">
      <c r="B1072" s="3494">
        <v>1068</v>
      </c>
      <c r="C1072" s="3495" t="s">
        <v>4974</v>
      </c>
      <c r="D1072" s="3495" t="s">
        <v>4644</v>
      </c>
      <c r="E1072" s="3495">
        <v>37.270000000000003</v>
      </c>
      <c r="F1072" s="3495">
        <v>12.14</v>
      </c>
    </row>
    <row r="1073" spans="2:6" ht="18.75" thickBot="1">
      <c r="B1073" s="3494">
        <v>1069</v>
      </c>
      <c r="C1073" s="3495" t="s">
        <v>4974</v>
      </c>
      <c r="D1073" s="3495" t="s">
        <v>4645</v>
      </c>
      <c r="E1073" s="3495">
        <v>26.78</v>
      </c>
      <c r="F1073" s="3495">
        <v>8.7200000000000006</v>
      </c>
    </row>
    <row r="1074" spans="2:6" ht="18.75" thickBot="1">
      <c r="B1074" s="3494">
        <v>1070</v>
      </c>
      <c r="C1074" s="3495" t="s">
        <v>4974</v>
      </c>
      <c r="D1074" s="3495" t="s">
        <v>4646</v>
      </c>
      <c r="E1074" s="3495">
        <v>26.78</v>
      </c>
      <c r="F1074" s="3495">
        <v>8.7200000000000006</v>
      </c>
    </row>
    <row r="1075" spans="2:6" ht="18.75" thickBot="1">
      <c r="B1075" s="3494">
        <v>1071</v>
      </c>
      <c r="C1075" s="3495" t="s">
        <v>4974</v>
      </c>
      <c r="D1075" s="3495" t="s">
        <v>4647</v>
      </c>
      <c r="E1075" s="3495">
        <v>26.78</v>
      </c>
      <c r="F1075" s="3495">
        <v>8.7200000000000006</v>
      </c>
    </row>
    <row r="1076" spans="2:6" ht="18.75" thickBot="1">
      <c r="B1076" s="3494">
        <v>1072</v>
      </c>
      <c r="C1076" s="3495" t="s">
        <v>4974</v>
      </c>
      <c r="D1076" s="3495" t="s">
        <v>4648</v>
      </c>
      <c r="E1076" s="3495">
        <v>37.270000000000003</v>
      </c>
      <c r="F1076" s="3495">
        <v>12.14</v>
      </c>
    </row>
    <row r="1077" spans="2:6" ht="18.75" thickBot="1">
      <c r="B1077" s="3494">
        <v>1073</v>
      </c>
      <c r="C1077" s="3495" t="s">
        <v>4974</v>
      </c>
      <c r="D1077" s="3495" t="s">
        <v>4649</v>
      </c>
      <c r="E1077" s="3495">
        <v>32.79</v>
      </c>
      <c r="F1077" s="3495">
        <v>10.68</v>
      </c>
    </row>
    <row r="1078" spans="2:6" ht="18.75" thickBot="1">
      <c r="B1078" s="3494">
        <v>1074</v>
      </c>
      <c r="C1078" s="3495" t="s">
        <v>4974</v>
      </c>
      <c r="D1078" s="3495" t="s">
        <v>4650</v>
      </c>
      <c r="E1078" s="3495">
        <v>23.56</v>
      </c>
      <c r="F1078" s="3495">
        <v>7.67</v>
      </c>
    </row>
    <row r="1079" spans="2:6" ht="18.75" thickBot="1">
      <c r="B1079" s="3494">
        <v>1075</v>
      </c>
      <c r="C1079" s="3495" t="s">
        <v>4974</v>
      </c>
      <c r="D1079" s="3495" t="s">
        <v>4651</v>
      </c>
      <c r="E1079" s="3495">
        <v>23.56</v>
      </c>
      <c r="F1079" s="3495">
        <v>7.67</v>
      </c>
    </row>
    <row r="1080" spans="2:6" ht="18.75" thickBot="1">
      <c r="B1080" s="3494">
        <v>1076</v>
      </c>
      <c r="C1080" s="3495" t="s">
        <v>4974</v>
      </c>
      <c r="D1080" s="3495" t="s">
        <v>4652</v>
      </c>
      <c r="E1080" s="3495">
        <v>23.56</v>
      </c>
      <c r="F1080" s="3495">
        <v>7.67</v>
      </c>
    </row>
    <row r="1081" spans="2:6" ht="18.75" thickBot="1">
      <c r="B1081" s="3494">
        <v>1077</v>
      </c>
      <c r="C1081" s="3495" t="s">
        <v>4974</v>
      </c>
      <c r="D1081" s="3495" t="s">
        <v>4653</v>
      </c>
      <c r="E1081" s="3495">
        <v>32.79</v>
      </c>
      <c r="F1081" s="3495">
        <v>10.68</v>
      </c>
    </row>
    <row r="1082" spans="2:6" ht="18.75" thickBot="1">
      <c r="B1082" s="3494">
        <v>1078</v>
      </c>
      <c r="C1082" s="3495" t="s">
        <v>4974</v>
      </c>
      <c r="D1082" s="3495" t="s">
        <v>4654</v>
      </c>
      <c r="E1082" s="3495">
        <v>32.79</v>
      </c>
      <c r="F1082" s="3495">
        <v>10.68</v>
      </c>
    </row>
    <row r="1083" spans="2:6" ht="18.75" thickBot="1">
      <c r="B1083" s="3494">
        <v>1079</v>
      </c>
      <c r="C1083" s="3495" t="s">
        <v>4974</v>
      </c>
      <c r="D1083" s="3495" t="s">
        <v>4655</v>
      </c>
      <c r="E1083" s="3495">
        <v>23.56</v>
      </c>
      <c r="F1083" s="3495">
        <v>7.67</v>
      </c>
    </row>
    <row r="1084" spans="2:6" ht="18.75" thickBot="1">
      <c r="B1084" s="3494">
        <v>1080</v>
      </c>
      <c r="C1084" s="3495" t="s">
        <v>4974</v>
      </c>
      <c r="D1084" s="3495" t="s">
        <v>4656</v>
      </c>
      <c r="E1084" s="3495">
        <v>32.79</v>
      </c>
      <c r="F1084" s="3495">
        <v>10.68</v>
      </c>
    </row>
    <row r="1085" spans="2:6" ht="18.75" thickBot="1">
      <c r="B1085" s="3494">
        <v>1081</v>
      </c>
      <c r="C1085" s="3495" t="s">
        <v>4974</v>
      </c>
      <c r="D1085" s="3495" t="s">
        <v>4657</v>
      </c>
      <c r="E1085" s="3495">
        <v>57.51</v>
      </c>
      <c r="F1085" s="3495">
        <v>18.73</v>
      </c>
    </row>
    <row r="1086" spans="2:6" ht="18.75" thickBot="1">
      <c r="B1086" s="3494">
        <v>1082</v>
      </c>
      <c r="C1086" s="3495" t="s">
        <v>4974</v>
      </c>
      <c r="D1086" s="3495" t="s">
        <v>4658</v>
      </c>
      <c r="E1086" s="3495">
        <v>109.85</v>
      </c>
      <c r="F1086" s="3495">
        <v>35.78</v>
      </c>
    </row>
    <row r="1087" spans="2:6" ht="18.75" thickBot="1">
      <c r="B1087" s="3494">
        <v>1083</v>
      </c>
      <c r="C1087" s="3495" t="s">
        <v>4974</v>
      </c>
      <c r="D1087" s="3495" t="s">
        <v>4659</v>
      </c>
      <c r="E1087" s="3495">
        <v>27.7</v>
      </c>
      <c r="F1087" s="3495">
        <v>9.02</v>
      </c>
    </row>
    <row r="1088" spans="2:6" ht="18.75" thickBot="1">
      <c r="B1088" s="3494">
        <v>1084</v>
      </c>
      <c r="C1088" s="3495" t="s">
        <v>4974</v>
      </c>
      <c r="D1088" s="3495" t="s">
        <v>4660</v>
      </c>
      <c r="E1088" s="3495">
        <v>27.7</v>
      </c>
      <c r="F1088" s="3495">
        <v>9.02</v>
      </c>
    </row>
    <row r="1089" spans="2:6" ht="18.75" thickBot="1">
      <c r="B1089" s="3494">
        <v>1085</v>
      </c>
      <c r="C1089" s="3495" t="s">
        <v>4974</v>
      </c>
      <c r="D1089" s="3495" t="s">
        <v>4661</v>
      </c>
      <c r="E1089" s="3495">
        <v>43.14</v>
      </c>
      <c r="F1089" s="3495">
        <v>14.05</v>
      </c>
    </row>
    <row r="1090" spans="2:6" ht="18.75" thickBot="1">
      <c r="B1090" s="3494">
        <v>1086</v>
      </c>
      <c r="C1090" s="3495" t="s">
        <v>4974</v>
      </c>
      <c r="D1090" s="3495" t="s">
        <v>4662</v>
      </c>
      <c r="E1090" s="3495">
        <v>43.14</v>
      </c>
      <c r="F1090" s="3495">
        <v>14.05</v>
      </c>
    </row>
    <row r="1091" spans="2:6" ht="18.75" thickBot="1">
      <c r="B1091" s="3494">
        <v>1087</v>
      </c>
      <c r="C1091" s="3495" t="s">
        <v>4974</v>
      </c>
      <c r="D1091" s="3495" t="s">
        <v>4663</v>
      </c>
      <c r="E1091" s="3495">
        <v>90.05</v>
      </c>
      <c r="F1091" s="3495">
        <v>29.33</v>
      </c>
    </row>
    <row r="1092" spans="2:6" ht="18.75" thickBot="1">
      <c r="B1092" s="3494">
        <v>1088</v>
      </c>
      <c r="C1092" s="3495" t="s">
        <v>4974</v>
      </c>
      <c r="D1092" s="3495" t="s">
        <v>4664</v>
      </c>
      <c r="E1092" s="3495">
        <v>72.63</v>
      </c>
      <c r="F1092" s="3495">
        <v>23.65</v>
      </c>
    </row>
    <row r="1093" spans="2:6" ht="18.75" thickBot="1">
      <c r="B1093" s="3494">
        <v>1089</v>
      </c>
      <c r="C1093" s="3495" t="s">
        <v>4974</v>
      </c>
      <c r="D1093" s="3495" t="s">
        <v>4665</v>
      </c>
      <c r="E1093" s="3495">
        <v>72.63</v>
      </c>
      <c r="F1093" s="3495">
        <v>23.65</v>
      </c>
    </row>
    <row r="1094" spans="2:6" ht="18.75" thickBot="1">
      <c r="B1094" s="3494">
        <v>1090</v>
      </c>
      <c r="C1094" s="3495" t="s">
        <v>4974</v>
      </c>
      <c r="D1094" s="3495" t="s">
        <v>4666</v>
      </c>
      <c r="E1094" s="3495">
        <v>49.16</v>
      </c>
      <c r="F1094" s="3495">
        <v>16.010000000000002</v>
      </c>
    </row>
    <row r="1095" spans="2:6" ht="18.75" thickBot="1">
      <c r="B1095" s="3494">
        <v>1091</v>
      </c>
      <c r="C1095" s="3495" t="s">
        <v>4974</v>
      </c>
      <c r="D1095" s="3495" t="s">
        <v>4667</v>
      </c>
      <c r="E1095" s="3495">
        <v>48.91</v>
      </c>
      <c r="F1095" s="3495">
        <v>15.93</v>
      </c>
    </row>
    <row r="1096" spans="2:6" ht="18.75" thickBot="1">
      <c r="B1096" s="3494">
        <v>1092</v>
      </c>
      <c r="C1096" s="3495" t="s">
        <v>4974</v>
      </c>
      <c r="D1096" s="3495" t="s">
        <v>4668</v>
      </c>
      <c r="E1096" s="3495">
        <v>90.12</v>
      </c>
      <c r="F1096" s="3495">
        <v>29.35</v>
      </c>
    </row>
    <row r="1097" spans="2:6" ht="18.75" thickBot="1">
      <c r="B1097" s="3494">
        <v>1093</v>
      </c>
      <c r="C1097" s="3495" t="s">
        <v>4974</v>
      </c>
      <c r="D1097" s="3495" t="s">
        <v>4669</v>
      </c>
      <c r="E1097" s="3495">
        <v>43.17</v>
      </c>
      <c r="F1097" s="3495">
        <v>14.06</v>
      </c>
    </row>
    <row r="1098" spans="2:6" ht="18.75" thickBot="1">
      <c r="B1098" s="3494">
        <v>1094</v>
      </c>
      <c r="C1098" s="3495" t="s">
        <v>4974</v>
      </c>
      <c r="D1098" s="3495" t="s">
        <v>4670</v>
      </c>
      <c r="E1098" s="3495">
        <v>43.17</v>
      </c>
      <c r="F1098" s="3495">
        <v>14.06</v>
      </c>
    </row>
    <row r="1099" spans="2:6" ht="18.75" thickBot="1">
      <c r="B1099" s="3494">
        <v>1095</v>
      </c>
      <c r="C1099" s="3495" t="s">
        <v>4974</v>
      </c>
      <c r="D1099" s="3495" t="s">
        <v>4671</v>
      </c>
      <c r="E1099" s="3495">
        <v>27.72</v>
      </c>
      <c r="F1099" s="3495">
        <v>9.0299999999999994</v>
      </c>
    </row>
    <row r="1100" spans="2:6" ht="18.75" thickBot="1">
      <c r="B1100" s="3494">
        <v>1096</v>
      </c>
      <c r="C1100" s="3495" t="s">
        <v>4974</v>
      </c>
      <c r="D1100" s="3495" t="s">
        <v>4672</v>
      </c>
      <c r="E1100" s="3495">
        <v>27.72</v>
      </c>
      <c r="F1100" s="3495">
        <v>9.0299999999999994</v>
      </c>
    </row>
    <row r="1101" spans="2:6" ht="18.75" thickBot="1">
      <c r="B1101" s="3494">
        <v>1097</v>
      </c>
      <c r="C1101" s="3495" t="s">
        <v>4974</v>
      </c>
      <c r="D1101" s="3495" t="s">
        <v>4673</v>
      </c>
      <c r="E1101" s="3495">
        <v>109.93</v>
      </c>
      <c r="F1101" s="3495">
        <v>35.799999999999997</v>
      </c>
    </row>
    <row r="1102" spans="2:6" ht="18.75" thickBot="1">
      <c r="B1102" s="3494">
        <v>1098</v>
      </c>
      <c r="C1102" s="3495" t="s">
        <v>4974</v>
      </c>
      <c r="D1102" s="3495" t="s">
        <v>4674</v>
      </c>
      <c r="E1102" s="3495">
        <v>48.95</v>
      </c>
      <c r="F1102" s="3495">
        <v>15.94</v>
      </c>
    </row>
    <row r="1103" spans="2:6" ht="18.75" thickBot="1">
      <c r="B1103" s="3494">
        <v>1099</v>
      </c>
      <c r="C1103" s="3495" t="s">
        <v>4974</v>
      </c>
      <c r="D1103" s="3495" t="s">
        <v>4675</v>
      </c>
      <c r="E1103" s="3495">
        <v>49.19</v>
      </c>
      <c r="F1103" s="3495">
        <v>16.02</v>
      </c>
    </row>
    <row r="1104" spans="2:6" ht="18.75" thickBot="1">
      <c r="B1104" s="3494">
        <v>1100</v>
      </c>
      <c r="C1104" s="3495" t="s">
        <v>4974</v>
      </c>
      <c r="D1104" s="3495" t="s">
        <v>4676</v>
      </c>
      <c r="E1104" s="3495">
        <v>72.680000000000007</v>
      </c>
      <c r="F1104" s="3495">
        <v>23.67</v>
      </c>
    </row>
    <row r="1105" spans="2:6" ht="18.75" thickBot="1">
      <c r="B1105" s="3494">
        <v>1101</v>
      </c>
      <c r="C1105" s="3495" t="s">
        <v>4974</v>
      </c>
      <c r="D1105" s="3495" t="s">
        <v>4677</v>
      </c>
      <c r="E1105" s="3495">
        <v>72.680000000000007</v>
      </c>
      <c r="F1105" s="3495">
        <v>23.67</v>
      </c>
    </row>
    <row r="1106" spans="2:6" ht="18.75" thickBot="1">
      <c r="B1106" s="3494">
        <v>1102</v>
      </c>
      <c r="C1106" s="3495" t="s">
        <v>4974</v>
      </c>
      <c r="D1106" s="3495" t="s">
        <v>4678</v>
      </c>
      <c r="E1106" s="3495">
        <v>37.93</v>
      </c>
      <c r="F1106" s="3495">
        <v>12.35</v>
      </c>
    </row>
    <row r="1107" spans="2:6" ht="18.75" thickBot="1">
      <c r="B1107" s="3494">
        <v>1103</v>
      </c>
      <c r="C1107" s="3495" t="s">
        <v>4974</v>
      </c>
      <c r="D1107" s="3495" t="s">
        <v>4679</v>
      </c>
      <c r="E1107" s="3495">
        <v>33.049999999999997</v>
      </c>
      <c r="F1107" s="3495">
        <v>10.76</v>
      </c>
    </row>
    <row r="1108" spans="2:6" ht="18.75" thickBot="1">
      <c r="B1108" s="3494">
        <v>1104</v>
      </c>
      <c r="C1108" s="3495" t="s">
        <v>4974</v>
      </c>
      <c r="D1108" s="3495" t="s">
        <v>4680</v>
      </c>
      <c r="E1108" s="3495">
        <v>33.049999999999997</v>
      </c>
      <c r="F1108" s="3495">
        <v>10.76</v>
      </c>
    </row>
    <row r="1109" spans="2:6" ht="18.75" thickBot="1">
      <c r="B1109" s="3494">
        <v>1105</v>
      </c>
      <c r="C1109" s="3495" t="s">
        <v>4974</v>
      </c>
      <c r="D1109" s="3495" t="s">
        <v>4681</v>
      </c>
      <c r="E1109" s="3495">
        <v>38.6</v>
      </c>
      <c r="F1109" s="3495">
        <v>12.57</v>
      </c>
    </row>
    <row r="1110" spans="2:6" ht="18.75" thickBot="1">
      <c r="B1110" s="3494">
        <v>1106</v>
      </c>
      <c r="C1110" s="3495" t="s">
        <v>4974</v>
      </c>
      <c r="D1110" s="3495" t="s">
        <v>4682</v>
      </c>
      <c r="E1110" s="3495">
        <v>19.62</v>
      </c>
      <c r="F1110" s="3495">
        <v>6.39</v>
      </c>
    </row>
    <row r="1111" spans="2:6" ht="18.75" thickBot="1">
      <c r="B1111" s="3494">
        <v>1107</v>
      </c>
      <c r="C1111" s="3495" t="s">
        <v>4974</v>
      </c>
      <c r="D1111" s="3495" t="s">
        <v>4683</v>
      </c>
      <c r="E1111" s="3495">
        <v>33.630000000000003</v>
      </c>
      <c r="F1111" s="3495">
        <v>10.95</v>
      </c>
    </row>
    <row r="1112" spans="2:6" ht="18.75" thickBot="1">
      <c r="B1112" s="3494">
        <v>1108</v>
      </c>
      <c r="C1112" s="3495" t="s">
        <v>4974</v>
      </c>
      <c r="D1112" s="3495" t="s">
        <v>4684</v>
      </c>
      <c r="E1112" s="3495">
        <v>22.53</v>
      </c>
      <c r="F1112" s="3495">
        <v>7.34</v>
      </c>
    </row>
    <row r="1113" spans="2:6" ht="18.75" thickBot="1">
      <c r="B1113" s="3494">
        <v>1109</v>
      </c>
      <c r="C1113" s="3495" t="s">
        <v>4974</v>
      </c>
      <c r="D1113" s="3495" t="s">
        <v>4685</v>
      </c>
      <c r="E1113" s="3495">
        <v>22.53</v>
      </c>
      <c r="F1113" s="3495">
        <v>7.34</v>
      </c>
    </row>
    <row r="1114" spans="2:6" ht="18.75" thickBot="1">
      <c r="B1114" s="3494">
        <v>1110</v>
      </c>
      <c r="C1114" s="3495" t="s">
        <v>4974</v>
      </c>
      <c r="D1114" s="3495" t="s">
        <v>4686</v>
      </c>
      <c r="E1114" s="3495">
        <v>50.85</v>
      </c>
      <c r="F1114" s="3495">
        <v>16.559999999999999</v>
      </c>
    </row>
    <row r="1115" spans="2:6" ht="18.75" thickBot="1">
      <c r="B1115" s="3494">
        <v>1111</v>
      </c>
      <c r="C1115" s="3495" t="s">
        <v>4974</v>
      </c>
      <c r="D1115" s="3495" t="s">
        <v>4687</v>
      </c>
      <c r="E1115" s="3495">
        <v>50.85</v>
      </c>
      <c r="F1115" s="3495">
        <v>16.559999999999999</v>
      </c>
    </row>
    <row r="1116" spans="2:6" ht="18.75" thickBot="1">
      <c r="B1116" s="3494">
        <v>1112</v>
      </c>
      <c r="C1116" s="3495" t="s">
        <v>4974</v>
      </c>
      <c r="D1116" s="3495" t="s">
        <v>4688</v>
      </c>
      <c r="E1116" s="3495">
        <v>13.16</v>
      </c>
      <c r="F1116" s="3495">
        <v>4.29</v>
      </c>
    </row>
    <row r="1117" spans="2:6" ht="18.75" thickBot="1">
      <c r="B1117" s="3494">
        <v>1113</v>
      </c>
      <c r="C1117" s="3495" t="s">
        <v>4974</v>
      </c>
      <c r="D1117" s="3495" t="s">
        <v>4689</v>
      </c>
      <c r="E1117" s="3495">
        <v>13.16</v>
      </c>
      <c r="F1117" s="3495">
        <v>4.29</v>
      </c>
    </row>
    <row r="1118" spans="2:6" ht="18.75" thickBot="1">
      <c r="B1118" s="3494">
        <v>1114</v>
      </c>
      <c r="C1118" s="3495" t="s">
        <v>4974</v>
      </c>
      <c r="D1118" s="3495" t="s">
        <v>4690</v>
      </c>
      <c r="E1118" s="3495">
        <v>130.13999999999999</v>
      </c>
      <c r="F1118" s="3495">
        <v>42.38</v>
      </c>
    </row>
    <row r="1119" spans="2:6" ht="18.75" thickBot="1">
      <c r="B1119" s="3494">
        <v>1115</v>
      </c>
      <c r="C1119" s="3495" t="s">
        <v>4974</v>
      </c>
      <c r="D1119" s="3495" t="s">
        <v>4691</v>
      </c>
      <c r="E1119" s="3495">
        <v>79.650000000000006</v>
      </c>
      <c r="F1119" s="3495">
        <v>25.94</v>
      </c>
    </row>
    <row r="1120" spans="2:6" ht="18.75" thickBot="1">
      <c r="B1120" s="3494">
        <v>1116</v>
      </c>
      <c r="C1120" s="3495" t="s">
        <v>4974</v>
      </c>
      <c r="D1120" s="3495" t="s">
        <v>4692</v>
      </c>
      <c r="E1120" s="3495">
        <v>79.650000000000006</v>
      </c>
      <c r="F1120" s="3495">
        <v>25.94</v>
      </c>
    </row>
    <row r="1121" spans="2:6" ht="18.75" thickBot="1">
      <c r="B1121" s="3494">
        <v>1117</v>
      </c>
      <c r="C1121" s="3495" t="s">
        <v>4974</v>
      </c>
      <c r="D1121" s="3495" t="s">
        <v>4693</v>
      </c>
      <c r="E1121" s="3495">
        <v>87.45</v>
      </c>
      <c r="F1121" s="3495">
        <v>28.48</v>
      </c>
    </row>
    <row r="1122" spans="2:6" ht="18.75" thickBot="1">
      <c r="B1122" s="3494">
        <v>1118</v>
      </c>
      <c r="C1122" s="3495" t="s">
        <v>4974</v>
      </c>
      <c r="D1122" s="3495" t="s">
        <v>4694</v>
      </c>
      <c r="E1122" s="3495">
        <v>87.45</v>
      </c>
      <c r="F1122" s="3495">
        <v>28.48</v>
      </c>
    </row>
    <row r="1123" spans="2:6" ht="18.75" thickBot="1">
      <c r="B1123" s="3494">
        <v>1119</v>
      </c>
      <c r="C1123" s="3495" t="s">
        <v>4974</v>
      </c>
      <c r="D1123" s="3495" t="s">
        <v>4695</v>
      </c>
      <c r="E1123" s="3495">
        <v>105.79</v>
      </c>
      <c r="F1123" s="3495">
        <v>34.450000000000003</v>
      </c>
    </row>
    <row r="1124" spans="2:6" ht="18.75" thickBot="1">
      <c r="B1124" s="3494">
        <v>1120</v>
      </c>
      <c r="C1124" s="3495" t="s">
        <v>4974</v>
      </c>
      <c r="D1124" s="3495" t="s">
        <v>4696</v>
      </c>
      <c r="E1124" s="3495">
        <v>34.56</v>
      </c>
      <c r="F1124" s="3495">
        <v>11.26</v>
      </c>
    </row>
    <row r="1125" spans="2:6" ht="18.75" thickBot="1">
      <c r="B1125" s="3494">
        <v>1121</v>
      </c>
      <c r="C1125" s="3495" t="s">
        <v>4974</v>
      </c>
      <c r="D1125" s="3495" t="s">
        <v>4697</v>
      </c>
      <c r="E1125" s="3495">
        <v>16.38</v>
      </c>
      <c r="F1125" s="3495">
        <v>5.33</v>
      </c>
    </row>
    <row r="1126" spans="2:6" ht="18.75" thickBot="1">
      <c r="B1126" s="3494">
        <v>1122</v>
      </c>
      <c r="C1126" s="3495" t="s">
        <v>4974</v>
      </c>
      <c r="D1126" s="3495" t="s">
        <v>4698</v>
      </c>
      <c r="E1126" s="3495">
        <v>10.029999999999999</v>
      </c>
      <c r="F1126" s="3495">
        <v>3.27</v>
      </c>
    </row>
    <row r="1127" spans="2:6" ht="18.75" thickBot="1">
      <c r="B1127" s="3494">
        <v>1123</v>
      </c>
      <c r="C1127" s="3495" t="s">
        <v>4974</v>
      </c>
      <c r="D1127" s="3495" t="s">
        <v>4699</v>
      </c>
      <c r="E1127" s="3495">
        <v>16.38</v>
      </c>
      <c r="F1127" s="3495">
        <v>5.33</v>
      </c>
    </row>
    <row r="1128" spans="2:6" ht="18.75" thickBot="1">
      <c r="B1128" s="3494">
        <v>1124</v>
      </c>
      <c r="C1128" s="3495" t="s">
        <v>4974</v>
      </c>
      <c r="D1128" s="3495" t="s">
        <v>4700</v>
      </c>
      <c r="E1128" s="3495">
        <v>34.56</v>
      </c>
      <c r="F1128" s="3495">
        <v>11.26</v>
      </c>
    </row>
    <row r="1129" spans="2:6" ht="18.75" thickBot="1">
      <c r="B1129" s="3494">
        <v>1125</v>
      </c>
      <c r="C1129" s="3495" t="s">
        <v>4974</v>
      </c>
      <c r="D1129" s="3495" t="s">
        <v>4701</v>
      </c>
      <c r="E1129" s="3495">
        <v>19.54</v>
      </c>
      <c r="F1129" s="3495">
        <v>6.36</v>
      </c>
    </row>
    <row r="1130" spans="2:6" ht="18.75" thickBot="1">
      <c r="B1130" s="3494">
        <v>1126</v>
      </c>
      <c r="C1130" s="3495" t="s">
        <v>4974</v>
      </c>
      <c r="D1130" s="3495" t="s">
        <v>4702</v>
      </c>
      <c r="E1130" s="3495">
        <v>13.2</v>
      </c>
      <c r="F1130" s="3495">
        <v>4.3</v>
      </c>
    </row>
    <row r="1131" spans="2:6" ht="18.75" thickBot="1">
      <c r="B1131" s="3494">
        <v>1127</v>
      </c>
      <c r="C1131" s="3495" t="s">
        <v>4974</v>
      </c>
      <c r="D1131" s="3495" t="s">
        <v>4703</v>
      </c>
      <c r="E1131" s="3495">
        <v>13.2</v>
      </c>
      <c r="F1131" s="3495">
        <v>4.3</v>
      </c>
    </row>
    <row r="1132" spans="2:6" ht="18.75" thickBot="1">
      <c r="B1132" s="3494">
        <v>1128</v>
      </c>
      <c r="C1132" s="3495" t="s">
        <v>4974</v>
      </c>
      <c r="D1132" s="3495" t="s">
        <v>4704</v>
      </c>
      <c r="E1132" s="3495">
        <v>19.54</v>
      </c>
      <c r="F1132" s="3495">
        <v>6.36</v>
      </c>
    </row>
    <row r="1133" spans="2:6" ht="18.75" thickBot="1">
      <c r="B1133" s="3494">
        <v>1129</v>
      </c>
      <c r="C1133" s="3495" t="s">
        <v>4974</v>
      </c>
      <c r="D1133" s="3495" t="s">
        <v>4705</v>
      </c>
      <c r="E1133" s="3495">
        <v>13.32</v>
      </c>
      <c r="F1133" s="3495">
        <v>4.34</v>
      </c>
    </row>
    <row r="1134" spans="2:6" ht="18.75" thickBot="1">
      <c r="B1134" s="3494">
        <v>1130</v>
      </c>
      <c r="C1134" s="3495" t="s">
        <v>4974</v>
      </c>
      <c r="D1134" s="3495" t="s">
        <v>4706</v>
      </c>
      <c r="E1134" s="3495">
        <v>13.32</v>
      </c>
      <c r="F1134" s="3495">
        <v>4.34</v>
      </c>
    </row>
    <row r="1135" spans="2:6" ht="18.75" thickBot="1">
      <c r="B1135" s="3494">
        <v>1131</v>
      </c>
      <c r="C1135" s="3495" t="s">
        <v>4974</v>
      </c>
      <c r="D1135" s="3495" t="s">
        <v>4707</v>
      </c>
      <c r="E1135" s="3495">
        <v>51.4</v>
      </c>
      <c r="F1135" s="3495">
        <v>16.739999999999998</v>
      </c>
    </row>
    <row r="1136" spans="2:6" ht="18.75" thickBot="1">
      <c r="B1136" s="3494">
        <v>1132</v>
      </c>
      <c r="C1136" s="3495" t="s">
        <v>4974</v>
      </c>
      <c r="D1136" s="3495" t="s">
        <v>4708</v>
      </c>
      <c r="E1136" s="3495">
        <v>51.4</v>
      </c>
      <c r="F1136" s="3495">
        <v>16.739999999999998</v>
      </c>
    </row>
    <row r="1137" spans="2:6" ht="18.75" thickBot="1">
      <c r="B1137" s="3494">
        <v>1133</v>
      </c>
      <c r="C1137" s="3495" t="s">
        <v>4974</v>
      </c>
      <c r="D1137" s="3495" t="s">
        <v>4709</v>
      </c>
      <c r="E1137" s="3495">
        <v>106.78</v>
      </c>
      <c r="F1137" s="3495">
        <v>34.78</v>
      </c>
    </row>
    <row r="1138" spans="2:6" ht="18.75" thickBot="1">
      <c r="B1138" s="3494">
        <v>1134</v>
      </c>
      <c r="C1138" s="3495" t="s">
        <v>4974</v>
      </c>
      <c r="D1138" s="3495" t="s">
        <v>4710</v>
      </c>
      <c r="E1138" s="3495">
        <v>88.27</v>
      </c>
      <c r="F1138" s="3495">
        <v>28.75</v>
      </c>
    </row>
    <row r="1139" spans="2:6" ht="18.75" thickBot="1">
      <c r="B1139" s="3494">
        <v>1135</v>
      </c>
      <c r="C1139" s="3495" t="s">
        <v>4974</v>
      </c>
      <c r="D1139" s="3495" t="s">
        <v>4711</v>
      </c>
      <c r="E1139" s="3495">
        <v>88.27</v>
      </c>
      <c r="F1139" s="3495">
        <v>28.75</v>
      </c>
    </row>
    <row r="1140" spans="2:6" ht="18.75" thickBot="1">
      <c r="B1140" s="3494">
        <v>1136</v>
      </c>
      <c r="C1140" s="3495" t="s">
        <v>4974</v>
      </c>
      <c r="D1140" s="3495" t="s">
        <v>4712</v>
      </c>
      <c r="E1140" s="3495">
        <v>80.39</v>
      </c>
      <c r="F1140" s="3495">
        <v>26.18</v>
      </c>
    </row>
    <row r="1141" spans="2:6" ht="18.75" thickBot="1">
      <c r="B1141" s="3494">
        <v>1137</v>
      </c>
      <c r="C1141" s="3495" t="s">
        <v>4974</v>
      </c>
      <c r="D1141" s="3495" t="s">
        <v>4713</v>
      </c>
      <c r="E1141" s="3495">
        <v>80.39</v>
      </c>
      <c r="F1141" s="3495">
        <v>26.18</v>
      </c>
    </row>
    <row r="1142" spans="2:6" ht="18.75" thickBot="1">
      <c r="B1142" s="3494">
        <v>1138</v>
      </c>
      <c r="C1142" s="3495" t="s">
        <v>4974</v>
      </c>
      <c r="D1142" s="3495" t="s">
        <v>4714</v>
      </c>
      <c r="E1142" s="3495">
        <v>131.44999999999999</v>
      </c>
      <c r="F1142" s="3495">
        <v>42.81</v>
      </c>
    </row>
    <row r="1143" spans="2:6" ht="18.75" thickBot="1">
      <c r="B1143" s="3494">
        <v>1139</v>
      </c>
      <c r="C1143" s="3495" t="s">
        <v>4974</v>
      </c>
      <c r="D1143" s="3495" t="s">
        <v>4715</v>
      </c>
      <c r="E1143" s="3495">
        <v>13.22</v>
      </c>
      <c r="F1143" s="3495">
        <v>4.3099999999999996</v>
      </c>
    </row>
    <row r="1144" spans="2:6" ht="18.75" thickBot="1">
      <c r="B1144" s="3494">
        <v>1140</v>
      </c>
      <c r="C1144" s="3495" t="s">
        <v>4974</v>
      </c>
      <c r="D1144" s="3495" t="s">
        <v>4716</v>
      </c>
      <c r="E1144" s="3495">
        <v>19.73</v>
      </c>
      <c r="F1144" s="3495">
        <v>6.43</v>
      </c>
    </row>
    <row r="1145" spans="2:6" ht="18.75" thickBot="1">
      <c r="B1145" s="3494">
        <v>1141</v>
      </c>
      <c r="C1145" s="3495" t="s">
        <v>4974</v>
      </c>
      <c r="D1145" s="3495" t="s">
        <v>4717</v>
      </c>
      <c r="E1145" s="3495">
        <v>19.73</v>
      </c>
      <c r="F1145" s="3495">
        <v>6.43</v>
      </c>
    </row>
    <row r="1146" spans="2:6" ht="18.75" thickBot="1">
      <c r="B1146" s="3494">
        <v>1142</v>
      </c>
      <c r="C1146" s="3495" t="s">
        <v>4974</v>
      </c>
      <c r="D1146" s="3495" t="s">
        <v>4718</v>
      </c>
      <c r="E1146" s="3495">
        <v>13.32</v>
      </c>
      <c r="F1146" s="3495">
        <v>4.34</v>
      </c>
    </row>
    <row r="1147" spans="2:6" ht="18.75" thickBot="1">
      <c r="B1147" s="3494">
        <v>1143</v>
      </c>
      <c r="C1147" s="3495" t="s">
        <v>4974</v>
      </c>
      <c r="D1147" s="3495" t="s">
        <v>4719</v>
      </c>
      <c r="E1147" s="3495">
        <v>13.32</v>
      </c>
      <c r="F1147" s="3495">
        <v>4.34</v>
      </c>
    </row>
    <row r="1148" spans="2:6" ht="18.75" thickBot="1">
      <c r="B1148" s="3494">
        <v>1144</v>
      </c>
      <c r="C1148" s="3495" t="s">
        <v>4974</v>
      </c>
      <c r="D1148" s="3495" t="s">
        <v>4720</v>
      </c>
      <c r="E1148" s="3495">
        <v>9.7899999999999991</v>
      </c>
      <c r="F1148" s="3495">
        <v>3.19</v>
      </c>
    </row>
    <row r="1149" spans="2:6" ht="18.75" thickBot="1">
      <c r="B1149" s="3494">
        <v>1145</v>
      </c>
      <c r="C1149" s="3495" t="s">
        <v>4974</v>
      </c>
      <c r="D1149" s="3495" t="s">
        <v>4721</v>
      </c>
      <c r="E1149" s="3495">
        <v>35.06</v>
      </c>
      <c r="F1149" s="3495">
        <v>11.42</v>
      </c>
    </row>
    <row r="1150" spans="2:6" ht="18.75" thickBot="1">
      <c r="B1150" s="3494">
        <v>1146</v>
      </c>
      <c r="C1150" s="3495" t="s">
        <v>4974</v>
      </c>
      <c r="D1150" s="3495" t="s">
        <v>4722</v>
      </c>
      <c r="E1150" s="3495">
        <v>16.579999999999998</v>
      </c>
      <c r="F1150" s="3495">
        <v>5.4</v>
      </c>
    </row>
    <row r="1151" spans="2:6" ht="18.75" thickBot="1">
      <c r="B1151" s="3494">
        <v>1147</v>
      </c>
      <c r="C1151" s="3495" t="s">
        <v>4974</v>
      </c>
      <c r="D1151" s="3495" t="s">
        <v>4723</v>
      </c>
      <c r="E1151" s="3495">
        <v>10.18</v>
      </c>
      <c r="F1151" s="3495">
        <v>3.32</v>
      </c>
    </row>
    <row r="1152" spans="2:6" ht="18.75" thickBot="1">
      <c r="B1152" s="3494">
        <v>1148</v>
      </c>
      <c r="C1152" s="3495" t="s">
        <v>4974</v>
      </c>
      <c r="D1152" s="3495" t="s">
        <v>4724</v>
      </c>
      <c r="E1152" s="3495">
        <v>16.579999999999998</v>
      </c>
      <c r="F1152" s="3495">
        <v>5.4</v>
      </c>
    </row>
    <row r="1153" spans="2:6" ht="18.75" thickBot="1">
      <c r="B1153" s="3494">
        <v>1149</v>
      </c>
      <c r="C1153" s="3495" t="s">
        <v>4974</v>
      </c>
      <c r="D1153" s="3495" t="s">
        <v>4725</v>
      </c>
      <c r="E1153" s="3495">
        <v>35.06</v>
      </c>
      <c r="F1153" s="3495">
        <v>11.42</v>
      </c>
    </row>
    <row r="1154" spans="2:6" ht="18.75" thickBot="1">
      <c r="B1154" s="3494">
        <v>1150</v>
      </c>
      <c r="C1154" s="3495" t="s">
        <v>4974</v>
      </c>
      <c r="D1154" s="3495" t="s">
        <v>4726</v>
      </c>
      <c r="E1154" s="3495">
        <v>11.6</v>
      </c>
      <c r="F1154" s="3495">
        <v>3.78</v>
      </c>
    </row>
    <row r="1155" spans="2:6" ht="18.75" thickBot="1">
      <c r="B1155" s="3494">
        <v>1151</v>
      </c>
      <c r="C1155" s="3495" t="s">
        <v>4974</v>
      </c>
      <c r="D1155" s="3495" t="s">
        <v>4727</v>
      </c>
      <c r="E1155" s="3495">
        <v>11.6</v>
      </c>
      <c r="F1155" s="3495">
        <v>3.78</v>
      </c>
    </row>
    <row r="1156" spans="2:6" ht="18.75" thickBot="1">
      <c r="B1156" s="3494">
        <v>1152</v>
      </c>
      <c r="C1156" s="3495" t="s">
        <v>4974</v>
      </c>
      <c r="D1156" s="3495" t="s">
        <v>4728</v>
      </c>
      <c r="E1156" s="3495">
        <v>44.75</v>
      </c>
      <c r="F1156" s="3495">
        <v>14.57</v>
      </c>
    </row>
    <row r="1157" spans="2:6" ht="18.75" thickBot="1">
      <c r="B1157" s="3494">
        <v>1153</v>
      </c>
      <c r="C1157" s="3495" t="s">
        <v>4974</v>
      </c>
      <c r="D1157" s="3495" t="s">
        <v>4729</v>
      </c>
      <c r="E1157" s="3495">
        <v>44.75</v>
      </c>
      <c r="F1157" s="3495">
        <v>14.57</v>
      </c>
    </row>
    <row r="1158" spans="2:6" ht="18.75" thickBot="1">
      <c r="B1158" s="3494">
        <v>1154</v>
      </c>
      <c r="C1158" s="3495" t="s">
        <v>4974</v>
      </c>
      <c r="D1158" s="3495" t="s">
        <v>4730</v>
      </c>
      <c r="E1158" s="3495">
        <v>93.36</v>
      </c>
      <c r="F1158" s="3495">
        <v>30.41</v>
      </c>
    </row>
    <row r="1159" spans="2:6" ht="18.75" thickBot="1">
      <c r="B1159" s="3494">
        <v>1155</v>
      </c>
      <c r="C1159" s="3495" t="s">
        <v>4974</v>
      </c>
      <c r="D1159" s="3495" t="s">
        <v>4731</v>
      </c>
      <c r="E1159" s="3495">
        <v>75.45</v>
      </c>
      <c r="F1159" s="3495">
        <v>24.57</v>
      </c>
    </row>
    <row r="1160" spans="2:6" ht="18.75" thickBot="1">
      <c r="B1160" s="3494">
        <v>1156</v>
      </c>
      <c r="C1160" s="3495" t="s">
        <v>4974</v>
      </c>
      <c r="D1160" s="3495" t="s">
        <v>4732</v>
      </c>
      <c r="E1160" s="3495">
        <v>75.45</v>
      </c>
      <c r="F1160" s="3495">
        <v>24.57</v>
      </c>
    </row>
    <row r="1161" spans="2:6" ht="18.75" thickBot="1">
      <c r="B1161" s="3494">
        <v>1157</v>
      </c>
      <c r="C1161" s="3495" t="s">
        <v>4974</v>
      </c>
      <c r="D1161" s="3495" t="s">
        <v>4733</v>
      </c>
      <c r="E1161" s="3495">
        <v>69.989999999999995</v>
      </c>
      <c r="F1161" s="3495">
        <v>22.79</v>
      </c>
    </row>
    <row r="1162" spans="2:6" ht="18.75" thickBot="1">
      <c r="B1162" s="3494">
        <v>1158</v>
      </c>
      <c r="C1162" s="3495" t="s">
        <v>4974</v>
      </c>
      <c r="D1162" s="3495" t="s">
        <v>4734</v>
      </c>
      <c r="E1162" s="3495">
        <v>69.989999999999995</v>
      </c>
      <c r="F1162" s="3495">
        <v>22.79</v>
      </c>
    </row>
    <row r="1163" spans="2:6" ht="18.75" thickBot="1">
      <c r="B1163" s="3494">
        <v>1159</v>
      </c>
      <c r="C1163" s="3495" t="s">
        <v>4974</v>
      </c>
      <c r="D1163" s="3495" t="s">
        <v>4735</v>
      </c>
      <c r="E1163" s="3495">
        <v>114.44</v>
      </c>
      <c r="F1163" s="3495">
        <v>37.270000000000003</v>
      </c>
    </row>
    <row r="1164" spans="2:6" ht="18.75" thickBot="1">
      <c r="B1164" s="3494">
        <v>1160</v>
      </c>
      <c r="C1164" s="3495" t="s">
        <v>4974</v>
      </c>
      <c r="D1164" s="3495" t="s">
        <v>4736</v>
      </c>
      <c r="E1164" s="3495">
        <v>11.3</v>
      </c>
      <c r="F1164" s="3495">
        <v>3.68</v>
      </c>
    </row>
    <row r="1165" spans="2:6" ht="18.75" thickBot="1">
      <c r="B1165" s="3494">
        <v>1161</v>
      </c>
      <c r="C1165" s="3495" t="s">
        <v>4974</v>
      </c>
      <c r="D1165" s="3495" t="s">
        <v>4737</v>
      </c>
      <c r="E1165" s="3495">
        <v>9.68</v>
      </c>
      <c r="F1165" s="3495">
        <v>3.15</v>
      </c>
    </row>
    <row r="1166" spans="2:6" ht="18.75" thickBot="1">
      <c r="B1166" s="3494">
        <v>1162</v>
      </c>
      <c r="C1166" s="3495" t="s">
        <v>4974</v>
      </c>
      <c r="D1166" s="3495" t="s">
        <v>4738</v>
      </c>
      <c r="E1166" s="3495">
        <v>7.29</v>
      </c>
      <c r="F1166" s="3495">
        <v>2.37</v>
      </c>
    </row>
    <row r="1167" spans="2:6" ht="18.75" thickBot="1">
      <c r="B1167" s="3494">
        <v>1163</v>
      </c>
      <c r="C1167" s="3495" t="s">
        <v>4974</v>
      </c>
      <c r="D1167" s="3495" t="s">
        <v>4739</v>
      </c>
      <c r="E1167" s="3495">
        <v>11.48</v>
      </c>
      <c r="F1167" s="3495">
        <v>3.74</v>
      </c>
    </row>
    <row r="1168" spans="2:6" ht="18.75" thickBot="1">
      <c r="B1168" s="3494">
        <v>1164</v>
      </c>
      <c r="C1168" s="3495" t="s">
        <v>4974</v>
      </c>
      <c r="D1168" s="3495" t="s">
        <v>4740</v>
      </c>
      <c r="E1168" s="3495">
        <v>11.48</v>
      </c>
      <c r="F1168" s="3495">
        <v>3.74</v>
      </c>
    </row>
    <row r="1169" spans="2:6" ht="18.75" thickBot="1">
      <c r="B1169" s="3494">
        <v>1165</v>
      </c>
      <c r="C1169" s="3495" t="s">
        <v>4974</v>
      </c>
      <c r="D1169" s="3495" t="s">
        <v>4741</v>
      </c>
      <c r="E1169" s="3495">
        <v>30.15</v>
      </c>
      <c r="F1169" s="3495">
        <v>9.82</v>
      </c>
    </row>
    <row r="1170" spans="2:6" ht="18.75" thickBot="1">
      <c r="B1170" s="3494">
        <v>1166</v>
      </c>
      <c r="C1170" s="3495" t="s">
        <v>4974</v>
      </c>
      <c r="D1170" s="3495" t="s">
        <v>4742</v>
      </c>
      <c r="E1170" s="3495">
        <v>14.29</v>
      </c>
      <c r="F1170" s="3495">
        <v>4.6500000000000004</v>
      </c>
    </row>
    <row r="1171" spans="2:6" ht="18.75" thickBot="1">
      <c r="B1171" s="3494">
        <v>1167</v>
      </c>
      <c r="C1171" s="3495" t="s">
        <v>4974</v>
      </c>
      <c r="D1171" s="3495" t="s">
        <v>4743</v>
      </c>
      <c r="E1171" s="3495">
        <v>8.76</v>
      </c>
      <c r="F1171" s="3495">
        <v>2.85</v>
      </c>
    </row>
    <row r="1172" spans="2:6" ht="18.75" thickBot="1">
      <c r="B1172" s="3494">
        <v>1168</v>
      </c>
      <c r="C1172" s="3495" t="s">
        <v>4974</v>
      </c>
      <c r="D1172" s="3495" t="s">
        <v>4744</v>
      </c>
      <c r="E1172" s="3495">
        <v>14.29</v>
      </c>
      <c r="F1172" s="3495">
        <v>4.6500000000000004</v>
      </c>
    </row>
    <row r="1173" spans="2:6" ht="18.75" thickBot="1">
      <c r="B1173" s="3494">
        <v>1169</v>
      </c>
      <c r="C1173" s="3495" t="s">
        <v>4974</v>
      </c>
      <c r="D1173" s="3495" t="s">
        <v>4745</v>
      </c>
      <c r="E1173" s="3495">
        <v>30.15</v>
      </c>
      <c r="F1173" s="3495">
        <v>9.82</v>
      </c>
    </row>
    <row r="1174" spans="2:6" ht="18.75" thickBot="1">
      <c r="B1174" s="3494">
        <v>1170</v>
      </c>
      <c r="C1174" s="3495" t="s">
        <v>4974</v>
      </c>
      <c r="D1174" s="3495" t="s">
        <v>4746</v>
      </c>
      <c r="E1174" s="3495">
        <v>25.5</v>
      </c>
      <c r="F1174" s="3495">
        <v>8.3000000000000007</v>
      </c>
    </row>
    <row r="1175" spans="2:6" ht="18.75" thickBot="1">
      <c r="B1175" s="3494">
        <v>1171</v>
      </c>
      <c r="C1175" s="3495" t="s">
        <v>4974</v>
      </c>
      <c r="D1175" s="3495" t="s">
        <v>4747</v>
      </c>
      <c r="E1175" s="3495">
        <v>24.15</v>
      </c>
      <c r="F1175" s="3495">
        <v>7.87</v>
      </c>
    </row>
    <row r="1176" spans="2:6" ht="18.75" thickBot="1">
      <c r="B1176" s="3494">
        <v>1172</v>
      </c>
      <c r="C1176" s="3495" t="s">
        <v>4974</v>
      </c>
      <c r="D1176" s="3495" t="s">
        <v>4748</v>
      </c>
      <c r="E1176" s="3495">
        <v>26.42</v>
      </c>
      <c r="F1176" s="3495">
        <v>8.6</v>
      </c>
    </row>
    <row r="1177" spans="2:6" ht="18.75" thickBot="1">
      <c r="B1177" s="3494">
        <v>1173</v>
      </c>
      <c r="C1177" s="3495" t="s">
        <v>4974</v>
      </c>
      <c r="D1177" s="3495" t="s">
        <v>4749</v>
      </c>
      <c r="E1177" s="3495">
        <v>26.42</v>
      </c>
      <c r="F1177" s="3495">
        <v>8.6</v>
      </c>
    </row>
    <row r="1178" spans="2:6" ht="18.75" thickBot="1">
      <c r="B1178" s="3494">
        <v>1174</v>
      </c>
      <c r="C1178" s="3495" t="s">
        <v>4974</v>
      </c>
      <c r="D1178" s="3495" t="s">
        <v>4750</v>
      </c>
      <c r="E1178" s="3495">
        <v>24.15</v>
      </c>
      <c r="F1178" s="3495">
        <v>7.87</v>
      </c>
    </row>
    <row r="1179" spans="2:6" ht="18.75" thickBot="1">
      <c r="B1179" s="3494">
        <v>1175</v>
      </c>
      <c r="C1179" s="3495" t="s">
        <v>4974</v>
      </c>
      <c r="D1179" s="3495" t="s">
        <v>4751</v>
      </c>
      <c r="E1179" s="3495">
        <v>25.5</v>
      </c>
      <c r="F1179" s="3495">
        <v>8.3000000000000007</v>
      </c>
    </row>
    <row r="1180" spans="2:6" ht="18.75" thickBot="1">
      <c r="B1180" s="3494">
        <v>1176</v>
      </c>
      <c r="C1180" s="3495" t="s">
        <v>4974</v>
      </c>
      <c r="D1180" s="3495" t="s">
        <v>4752</v>
      </c>
      <c r="E1180" s="3495">
        <v>20.97</v>
      </c>
      <c r="F1180" s="3495">
        <v>6.83</v>
      </c>
    </row>
    <row r="1181" spans="2:6" ht="18.75" thickBot="1">
      <c r="B1181" s="3494">
        <v>1177</v>
      </c>
      <c r="C1181" s="3495" t="s">
        <v>4974</v>
      </c>
      <c r="D1181" s="3495" t="s">
        <v>4753</v>
      </c>
      <c r="E1181" s="3495">
        <v>24.15</v>
      </c>
      <c r="F1181" s="3495">
        <v>7.87</v>
      </c>
    </row>
    <row r="1182" spans="2:6" ht="18.75" thickBot="1">
      <c r="B1182" s="3494">
        <v>1178</v>
      </c>
      <c r="C1182" s="3495" t="s">
        <v>4974</v>
      </c>
      <c r="D1182" s="3495" t="s">
        <v>4754</v>
      </c>
      <c r="E1182" s="3495">
        <v>24.15</v>
      </c>
      <c r="F1182" s="3495">
        <v>7.87</v>
      </c>
    </row>
    <row r="1183" spans="2:6" ht="18.75" thickBot="1">
      <c r="B1183" s="3494">
        <v>1179</v>
      </c>
      <c r="C1183" s="3495" t="s">
        <v>4974</v>
      </c>
      <c r="D1183" s="3495" t="s">
        <v>4755</v>
      </c>
      <c r="E1183" s="3495">
        <v>24.15</v>
      </c>
      <c r="F1183" s="3495">
        <v>7.87</v>
      </c>
    </row>
    <row r="1184" spans="2:6" ht="18.75" thickBot="1">
      <c r="B1184" s="3494">
        <v>1180</v>
      </c>
      <c r="C1184" s="3495" t="s">
        <v>4974</v>
      </c>
      <c r="D1184" s="3495" t="s">
        <v>4756</v>
      </c>
      <c r="E1184" s="3495">
        <v>24.15</v>
      </c>
      <c r="F1184" s="3495">
        <v>7.87</v>
      </c>
    </row>
    <row r="1185" spans="2:6" ht="18.75" thickBot="1">
      <c r="B1185" s="3494">
        <v>1181</v>
      </c>
      <c r="C1185" s="3495" t="s">
        <v>4974</v>
      </c>
      <c r="D1185" s="3495" t="s">
        <v>4757</v>
      </c>
      <c r="E1185" s="3495">
        <v>20.97</v>
      </c>
      <c r="F1185" s="3495">
        <v>6.83</v>
      </c>
    </row>
    <row r="1186" spans="2:6" ht="18.75" thickBot="1">
      <c r="B1186" s="3494">
        <v>1182</v>
      </c>
      <c r="C1186" s="3495" t="s">
        <v>4974</v>
      </c>
      <c r="D1186" s="3495" t="s">
        <v>4758</v>
      </c>
      <c r="E1186" s="3495">
        <v>20.97</v>
      </c>
      <c r="F1186" s="3495">
        <v>6.83</v>
      </c>
    </row>
    <row r="1187" spans="2:6" ht="18.75" thickBot="1">
      <c r="B1187" s="3494">
        <v>1183</v>
      </c>
      <c r="C1187" s="3495" t="s">
        <v>4974</v>
      </c>
      <c r="D1187" s="3495" t="s">
        <v>4759</v>
      </c>
      <c r="E1187" s="3495">
        <v>24.15</v>
      </c>
      <c r="F1187" s="3495">
        <v>7.87</v>
      </c>
    </row>
    <row r="1188" spans="2:6" ht="18.75" thickBot="1">
      <c r="B1188" s="3494">
        <v>1184</v>
      </c>
      <c r="C1188" s="3495" t="s">
        <v>4974</v>
      </c>
      <c r="D1188" s="3495" t="s">
        <v>4760</v>
      </c>
      <c r="E1188" s="3495">
        <v>23.78</v>
      </c>
      <c r="F1188" s="3495">
        <v>7.74</v>
      </c>
    </row>
    <row r="1189" spans="2:6" ht="18.75" thickBot="1">
      <c r="B1189" s="3494">
        <v>1185</v>
      </c>
      <c r="C1189" s="3495" t="s">
        <v>4974</v>
      </c>
      <c r="D1189" s="3495" t="s">
        <v>4761</v>
      </c>
      <c r="E1189" s="3495">
        <v>45.13</v>
      </c>
      <c r="F1189" s="3495">
        <v>14.7</v>
      </c>
    </row>
    <row r="1190" spans="2:6" ht="18.75" thickBot="1">
      <c r="B1190" s="3494">
        <v>1186</v>
      </c>
      <c r="C1190" s="3495" t="s">
        <v>4974</v>
      </c>
      <c r="D1190" s="3495" t="s">
        <v>4762</v>
      </c>
      <c r="E1190" s="3495">
        <v>45.13</v>
      </c>
      <c r="F1190" s="3495">
        <v>14.7</v>
      </c>
    </row>
    <row r="1191" spans="2:6" ht="18.75" thickBot="1">
      <c r="B1191" s="3494">
        <v>1187</v>
      </c>
      <c r="C1191" s="3495" t="s">
        <v>4974</v>
      </c>
      <c r="D1191" s="3495" t="s">
        <v>4763</v>
      </c>
      <c r="E1191" s="3495">
        <v>11.7</v>
      </c>
      <c r="F1191" s="3495">
        <v>3.81</v>
      </c>
    </row>
    <row r="1192" spans="2:6" ht="18.75" thickBot="1">
      <c r="B1192" s="3494">
        <v>1188</v>
      </c>
      <c r="C1192" s="3495" t="s">
        <v>4974</v>
      </c>
      <c r="D1192" s="3495" t="s">
        <v>4764</v>
      </c>
      <c r="E1192" s="3495">
        <v>11.7</v>
      </c>
      <c r="F1192" s="3495">
        <v>3.81</v>
      </c>
    </row>
    <row r="1193" spans="2:6" ht="18.75" thickBot="1">
      <c r="B1193" s="3494">
        <v>1189</v>
      </c>
      <c r="C1193" s="3495" t="s">
        <v>4974</v>
      </c>
      <c r="D1193" s="3495" t="s">
        <v>4765</v>
      </c>
      <c r="E1193" s="3495">
        <v>115.29</v>
      </c>
      <c r="F1193" s="3495">
        <v>37.549999999999997</v>
      </c>
    </row>
    <row r="1194" spans="2:6" ht="18.75" thickBot="1">
      <c r="B1194" s="3494">
        <v>1190</v>
      </c>
      <c r="C1194" s="3495" t="s">
        <v>4974</v>
      </c>
      <c r="D1194" s="3495" t="s">
        <v>4766</v>
      </c>
      <c r="E1194" s="3495">
        <v>70.58</v>
      </c>
      <c r="F1194" s="3495">
        <v>22.99</v>
      </c>
    </row>
    <row r="1195" spans="2:6" ht="18.75" thickBot="1">
      <c r="B1195" s="3494">
        <v>1191</v>
      </c>
      <c r="C1195" s="3495" t="s">
        <v>4974</v>
      </c>
      <c r="D1195" s="3495" t="s">
        <v>4767</v>
      </c>
      <c r="E1195" s="3495">
        <v>70.58</v>
      </c>
      <c r="F1195" s="3495">
        <v>22.99</v>
      </c>
    </row>
    <row r="1196" spans="2:6" ht="18.75" thickBot="1">
      <c r="B1196" s="3494">
        <v>1192</v>
      </c>
      <c r="C1196" s="3495" t="s">
        <v>4974</v>
      </c>
      <c r="D1196" s="3495" t="s">
        <v>4768</v>
      </c>
      <c r="E1196" s="3495">
        <v>77.5</v>
      </c>
      <c r="F1196" s="3495">
        <v>25.24</v>
      </c>
    </row>
    <row r="1197" spans="2:6" ht="18.75" thickBot="1">
      <c r="B1197" s="3494">
        <v>1193</v>
      </c>
      <c r="C1197" s="3495" t="s">
        <v>4974</v>
      </c>
      <c r="D1197" s="3495" t="s">
        <v>4769</v>
      </c>
      <c r="E1197" s="3495">
        <v>77.5</v>
      </c>
      <c r="F1197" s="3495">
        <v>25.24</v>
      </c>
    </row>
    <row r="1198" spans="2:6" ht="18.75" thickBot="1">
      <c r="B1198" s="3494">
        <v>1194</v>
      </c>
      <c r="C1198" s="3495" t="s">
        <v>4974</v>
      </c>
      <c r="D1198" s="3495" t="s">
        <v>4770</v>
      </c>
      <c r="E1198" s="3495">
        <v>94.07</v>
      </c>
      <c r="F1198" s="3495">
        <v>30.64</v>
      </c>
    </row>
    <row r="1199" spans="2:6" ht="18.75" thickBot="1">
      <c r="B1199" s="3494">
        <v>1195</v>
      </c>
      <c r="C1199" s="3495" t="s">
        <v>4974</v>
      </c>
      <c r="D1199" s="3495" t="s">
        <v>4771</v>
      </c>
      <c r="E1199" s="3495">
        <v>30.4</v>
      </c>
      <c r="F1199" s="3495">
        <v>9.9</v>
      </c>
    </row>
    <row r="1200" spans="2:6" ht="18.75" thickBot="1">
      <c r="B1200" s="3494">
        <v>1196</v>
      </c>
      <c r="C1200" s="3495" t="s">
        <v>4974</v>
      </c>
      <c r="D1200" s="3495" t="s">
        <v>4772</v>
      </c>
      <c r="E1200" s="3495">
        <v>14.41</v>
      </c>
      <c r="F1200" s="3495">
        <v>4.6900000000000004</v>
      </c>
    </row>
    <row r="1201" spans="2:6" ht="18.75" thickBot="1">
      <c r="B1201" s="3494">
        <v>1197</v>
      </c>
      <c r="C1201" s="3495" t="s">
        <v>4974</v>
      </c>
      <c r="D1201" s="3495" t="s">
        <v>4773</v>
      </c>
      <c r="E1201" s="3495">
        <v>8.83</v>
      </c>
      <c r="F1201" s="3495">
        <v>2.88</v>
      </c>
    </row>
    <row r="1202" spans="2:6" ht="18.75" thickBot="1">
      <c r="B1202" s="3494">
        <v>1198</v>
      </c>
      <c r="C1202" s="3495" t="s">
        <v>4974</v>
      </c>
      <c r="D1202" s="3495" t="s">
        <v>4774</v>
      </c>
      <c r="E1202" s="3495">
        <v>14.41</v>
      </c>
      <c r="F1202" s="3495">
        <v>4.6900000000000004</v>
      </c>
    </row>
    <row r="1203" spans="2:6" ht="18.75" thickBot="1">
      <c r="B1203" s="3494">
        <v>1199</v>
      </c>
      <c r="C1203" s="3495" t="s">
        <v>4974</v>
      </c>
      <c r="D1203" s="3495" t="s">
        <v>4775</v>
      </c>
      <c r="E1203" s="3495">
        <v>30.4</v>
      </c>
      <c r="F1203" s="3495">
        <v>9.9</v>
      </c>
    </row>
    <row r="1204" spans="2:6" ht="18.75" thickBot="1">
      <c r="B1204" s="3494">
        <v>1200</v>
      </c>
      <c r="C1204" s="3495" t="s">
        <v>4974</v>
      </c>
      <c r="D1204" s="3495" t="s">
        <v>4776</v>
      </c>
      <c r="E1204" s="3495">
        <v>11.58</v>
      </c>
      <c r="F1204" s="3495">
        <v>3.77</v>
      </c>
    </row>
    <row r="1205" spans="2:6" ht="18.75" thickBot="1">
      <c r="B1205" s="3494">
        <v>1201</v>
      </c>
      <c r="C1205" s="3495" t="s">
        <v>4974</v>
      </c>
      <c r="D1205" s="3495" t="s">
        <v>4777</v>
      </c>
      <c r="E1205" s="3495">
        <v>42.69</v>
      </c>
      <c r="F1205" s="3495">
        <v>13.9</v>
      </c>
    </row>
    <row r="1206" spans="2:6" ht="18.75" thickBot="1">
      <c r="B1206" s="3494">
        <v>1202</v>
      </c>
      <c r="C1206" s="3495" t="s">
        <v>4974</v>
      </c>
      <c r="D1206" s="3495" t="s">
        <v>4778</v>
      </c>
      <c r="E1206" s="3495">
        <v>24.36</v>
      </c>
      <c r="F1206" s="3495">
        <v>7.93</v>
      </c>
    </row>
    <row r="1207" spans="2:6" ht="18.75" thickBot="1">
      <c r="B1207" s="3494">
        <v>1203</v>
      </c>
      <c r="C1207" s="3495" t="s">
        <v>4974</v>
      </c>
      <c r="D1207" s="3495" t="s">
        <v>4779</v>
      </c>
      <c r="E1207" s="3495">
        <v>20.56</v>
      </c>
      <c r="F1207" s="3495">
        <v>6.7</v>
      </c>
    </row>
    <row r="1208" spans="2:6" ht="18.75" thickBot="1">
      <c r="B1208" s="3494">
        <v>1204</v>
      </c>
      <c r="C1208" s="3495" t="s">
        <v>4974</v>
      </c>
      <c r="D1208" s="3495" t="s">
        <v>4780</v>
      </c>
      <c r="E1208" s="3495">
        <v>24.94</v>
      </c>
      <c r="F1208" s="3495">
        <v>8.1199999999999992</v>
      </c>
    </row>
    <row r="1209" spans="2:6" ht="18.75" thickBot="1">
      <c r="B1209" s="3494">
        <v>1205</v>
      </c>
      <c r="C1209" s="3495" t="s">
        <v>4974</v>
      </c>
      <c r="D1209" s="3496" t="s">
        <v>4781</v>
      </c>
      <c r="E1209" s="3496">
        <v>25.71</v>
      </c>
      <c r="F1209" s="3495">
        <v>8.3699999999999992</v>
      </c>
    </row>
    <row r="1210" spans="2:6" ht="18.75" thickBot="1">
      <c r="B1210" s="3494">
        <v>1206</v>
      </c>
      <c r="C1210" s="3495" t="s">
        <v>4974</v>
      </c>
      <c r="D1210" s="3497" t="s">
        <v>4782</v>
      </c>
      <c r="E1210" s="3497">
        <v>24.36</v>
      </c>
      <c r="F1210" s="3495">
        <v>7.93</v>
      </c>
    </row>
    <row r="1211" spans="2:6" ht="18.75" thickBot="1">
      <c r="B1211" s="3494">
        <v>1207</v>
      </c>
      <c r="C1211" s="3495" t="s">
        <v>4974</v>
      </c>
      <c r="D1211" s="3495" t="s">
        <v>4783</v>
      </c>
      <c r="E1211" s="3495">
        <v>26.65</v>
      </c>
      <c r="F1211" s="3495">
        <v>8.68</v>
      </c>
    </row>
    <row r="1212" spans="2:6" ht="18.75" thickBot="1">
      <c r="B1212" s="3494">
        <v>1208</v>
      </c>
      <c r="C1212" s="3495" t="s">
        <v>4974</v>
      </c>
      <c r="D1212" s="3495" t="s">
        <v>4784</v>
      </c>
      <c r="E1212" s="3495">
        <v>26.65</v>
      </c>
      <c r="F1212" s="3495">
        <v>8.68</v>
      </c>
    </row>
    <row r="1213" spans="2:6" ht="18.75" thickBot="1">
      <c r="B1213" s="3494">
        <v>1209</v>
      </c>
      <c r="C1213" s="3495" t="s">
        <v>4974</v>
      </c>
      <c r="D1213" s="3495" t="s">
        <v>4785</v>
      </c>
      <c r="E1213" s="3495">
        <v>24.36</v>
      </c>
      <c r="F1213" s="3495">
        <v>7.93</v>
      </c>
    </row>
    <row r="1214" spans="2:6" ht="18.75" thickBot="1">
      <c r="B1214" s="3494">
        <v>1210</v>
      </c>
      <c r="C1214" s="3495" t="s">
        <v>4974</v>
      </c>
      <c r="D1214" s="3495" t="s">
        <v>4786</v>
      </c>
      <c r="E1214" s="3495">
        <v>25.71</v>
      </c>
      <c r="F1214" s="3495">
        <v>8.3699999999999992</v>
      </c>
    </row>
    <row r="1215" spans="2:6" ht="18.75" thickBot="1">
      <c r="B1215" s="3494">
        <v>1211</v>
      </c>
      <c r="C1215" s="3495" t="s">
        <v>4974</v>
      </c>
      <c r="D1215" s="3495" t="s">
        <v>4787</v>
      </c>
      <c r="E1215" s="3495">
        <v>16.579999999999998</v>
      </c>
      <c r="F1215" s="3495">
        <v>5.4</v>
      </c>
    </row>
    <row r="1216" spans="2:6" ht="18.75" thickBot="1">
      <c r="B1216" s="3494">
        <v>1212</v>
      </c>
      <c r="C1216" s="3495" t="s">
        <v>4974</v>
      </c>
      <c r="D1216" s="3495" t="s">
        <v>4788</v>
      </c>
      <c r="E1216" s="3495">
        <v>17.510000000000002</v>
      </c>
      <c r="F1216" s="3495">
        <v>5.7</v>
      </c>
    </row>
    <row r="1217" spans="2:6" ht="18.75" thickBot="1">
      <c r="B1217" s="3494">
        <v>1213</v>
      </c>
      <c r="C1217" s="3495" t="s">
        <v>4974</v>
      </c>
      <c r="D1217" s="3495" t="s">
        <v>4789</v>
      </c>
      <c r="E1217" s="3495">
        <v>42.35</v>
      </c>
      <c r="F1217" s="3495">
        <v>13.79</v>
      </c>
    </row>
    <row r="1218" spans="2:6" ht="14.25" thickBot="1">
      <c r="B1218" s="3587" t="s">
        <v>4790</v>
      </c>
      <c r="C1218" s="3588"/>
      <c r="D1218" s="3589"/>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99" t="s">
        <v>1131</v>
      </c>
      <c r="B2" s="3599"/>
      <c r="C2" s="3599"/>
      <c r="D2" s="796" t="s">
        <v>1107</v>
      </c>
      <c r="E2" s="1638" t="s">
        <v>1108</v>
      </c>
      <c r="F2" s="2655"/>
      <c r="G2" s="2646"/>
      <c r="H2" s="2647"/>
      <c r="I2" s="2321" t="s">
        <v>1132</v>
      </c>
      <c r="J2" s="2655"/>
      <c r="K2" s="2655"/>
      <c r="L2" s="2655"/>
      <c r="M2" s="2655"/>
      <c r="N2" s="2657"/>
      <c r="O2" s="2655"/>
      <c r="P2" s="2655"/>
    </row>
    <row r="3" spans="1:16" ht="15.75" thickBot="1">
      <c r="A3" s="3600" t="s">
        <v>1105</v>
      </c>
      <c r="B3" s="3600"/>
      <c r="C3" s="3600"/>
      <c r="D3" s="43">
        <f>'数据-基础表'!AY6</f>
        <v>22768.44</v>
      </c>
      <c r="E3" s="43">
        <f>'数据-基础表'!AZ5</f>
        <v>69908.279999999955</v>
      </c>
      <c r="F3" s="2655"/>
      <c r="G3" s="1145"/>
      <c r="H3" s="1026" t="s">
        <v>1106</v>
      </c>
      <c r="I3" s="855">
        <f>ROUND('数据-基础表'!B3/'数据-基础表'!A3,2)</f>
        <v>3.07</v>
      </c>
      <c r="J3" s="2655"/>
      <c r="K3" s="2655"/>
      <c r="L3" s="2655"/>
      <c r="M3" s="2655"/>
      <c r="N3" s="2657"/>
      <c r="O3" s="2655"/>
      <c r="P3" s="2655"/>
    </row>
    <row r="4" spans="1:16" ht="15">
      <c r="A4" s="3601"/>
      <c r="B4" s="3602"/>
      <c r="C4" s="3603"/>
      <c r="D4" s="1640" t="s">
        <v>1107</v>
      </c>
      <c r="E4" s="1641" t="s">
        <v>1108</v>
      </c>
      <c r="F4" s="2655"/>
      <c r="G4" s="2648" t="s">
        <v>1133</v>
      </c>
      <c r="H4" s="1026" t="s">
        <v>1113</v>
      </c>
      <c r="I4" s="855">
        <f>ROUND(SUMIF('数据-基础表'!I9:AS9,"地上",'数据-基础表'!I5:AS5)/'数据-基础表'!A3,2)</f>
        <v>1.86</v>
      </c>
      <c r="J4" s="2655"/>
      <c r="K4" s="2655"/>
      <c r="L4" s="2655"/>
      <c r="M4" s="2655"/>
      <c r="N4" s="2657"/>
      <c r="O4" s="2655"/>
      <c r="P4" s="2655"/>
    </row>
    <row r="5" spans="1:16">
      <c r="A5" s="44" t="s">
        <v>1109</v>
      </c>
      <c r="B5" s="3604" t="s">
        <v>1110</v>
      </c>
      <c r="C5" s="3604"/>
      <c r="D5" s="45">
        <f>ROUND($D$3*E5/$E$3,2)</f>
        <v>13780.24</v>
      </c>
      <c r="E5" s="46">
        <f>SUMIF('数据-基础表'!$11:$11,"住宅",'数据-基础表'!$5:$5)</f>
        <v>42310.899999999994</v>
      </c>
      <c r="F5" s="2655"/>
      <c r="G5" s="1145"/>
      <c r="H5" s="1026" t="s">
        <v>1106</v>
      </c>
      <c r="I5" s="855">
        <f>ROUND(E31/D31,2)</f>
        <v>3.07</v>
      </c>
      <c r="J5" s="2655"/>
      <c r="K5" s="2655"/>
      <c r="L5" s="2655"/>
      <c r="M5" s="2655"/>
      <c r="N5" s="2655"/>
      <c r="O5" s="2655"/>
      <c r="P5" s="2655"/>
    </row>
    <row r="6" spans="1:16" ht="15" thickBot="1">
      <c r="A6" s="1643"/>
      <c r="B6" s="3604" t="s">
        <v>1111</v>
      </c>
      <c r="C6" s="3604"/>
      <c r="D6" s="45">
        <f>ROUND($D$3*E6/$E$3,2)</f>
        <v>8988.2000000000007</v>
      </c>
      <c r="E6" s="46">
        <f>E3-E5</f>
        <v>27597.379999999961</v>
      </c>
      <c r="F6" s="2655"/>
      <c r="G6" s="2649" t="s">
        <v>1112</v>
      </c>
      <c r="H6" s="1146" t="s">
        <v>1113</v>
      </c>
      <c r="I6" s="2650">
        <f>ROUND(F31/D31,2)</f>
        <v>1.86</v>
      </c>
      <c r="J6" s="2655"/>
      <c r="K6" s="2655"/>
      <c r="L6" s="2655"/>
      <c r="M6" s="2655"/>
      <c r="N6" s="2655"/>
      <c r="O6" s="2655"/>
      <c r="P6" s="2655"/>
    </row>
    <row r="7" spans="1:16" ht="15.75" thickBot="1">
      <c r="A7" s="3596"/>
      <c r="B7" s="3597"/>
      <c r="C7" s="3598"/>
      <c r="D7" s="1640" t="s">
        <v>1107</v>
      </c>
      <c r="E7" s="1644"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13780.24</v>
      </c>
      <c r="E8" s="48">
        <f>SUMIF('数据-基础表'!BB10:BK10,"地上",'数据-基础表'!BB5:BK5)</f>
        <v>42310.899999999994</v>
      </c>
      <c r="F8" s="2655"/>
      <c r="G8" s="2656"/>
      <c r="H8" s="2656"/>
      <c r="I8" s="2655"/>
      <c r="J8" s="2655"/>
      <c r="K8" s="2655"/>
      <c r="L8" s="2655"/>
      <c r="M8" s="2655"/>
      <c r="N8" s="2655"/>
      <c r="O8" s="2655"/>
      <c r="P8" s="2655"/>
    </row>
    <row r="9" spans="1:16">
      <c r="A9" s="1645"/>
      <c r="B9" s="1646"/>
      <c r="C9" s="45" t="s">
        <v>1119</v>
      </c>
      <c r="D9" s="45">
        <f t="shared" si="0"/>
        <v>0</v>
      </c>
      <c r="E9" s="49">
        <v>0</v>
      </c>
      <c r="F9" s="2655"/>
      <c r="G9" s="2656"/>
      <c r="H9" s="2656"/>
      <c r="I9" s="2655"/>
      <c r="J9" s="2655"/>
      <c r="K9" s="2655"/>
      <c r="L9" s="2655"/>
      <c r="M9" s="2655"/>
      <c r="N9" s="2655"/>
      <c r="O9" s="2655"/>
      <c r="P9" s="2655"/>
    </row>
    <row r="10" spans="1:16">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1121</v>
      </c>
      <c r="D12" s="45">
        <f t="shared" si="0"/>
        <v>1999.28</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c r="A13" s="1645"/>
      <c r="B13" s="1646"/>
      <c r="C13" s="45" t="s">
        <v>1122</v>
      </c>
      <c r="D13" s="45">
        <f t="shared" si="0"/>
        <v>6988.91</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1123</v>
      </c>
      <c r="D16" s="47">
        <f>SUM(D8:D15)</f>
        <v>22768.43</v>
      </c>
      <c r="E16" s="50">
        <f>SUM(E8:E15)</f>
        <v>69908.279999999955</v>
      </c>
      <c r="F16" s="2655"/>
      <c r="G16" s="2656"/>
      <c r="H16" s="1647" t="s">
        <v>1135</v>
      </c>
      <c r="I16" s="1648"/>
      <c r="J16" s="1139"/>
      <c r="K16" s="3593" t="s">
        <v>1135</v>
      </c>
      <c r="L16" s="3594"/>
      <c r="M16" s="3594"/>
      <c r="N16" s="3594"/>
      <c r="O16" s="3594"/>
      <c r="P16" s="3595"/>
    </row>
    <row r="17" spans="1:19" ht="15">
      <c r="A17" s="1649" t="s">
        <v>1136</v>
      </c>
      <c r="B17" s="1650" t="s">
        <v>1137</v>
      </c>
      <c r="C17" s="1651" t="s">
        <v>1138</v>
      </c>
      <c r="D17" s="1652" t="s">
        <v>1126</v>
      </c>
      <c r="E17" s="1653" t="s">
        <v>1127</v>
      </c>
      <c r="F17" s="1654"/>
      <c r="G17" s="1655"/>
      <c r="H17" s="1656" t="s">
        <v>1139</v>
      </c>
      <c r="I17" s="1657" t="s">
        <v>1124</v>
      </c>
      <c r="J17" s="1139"/>
      <c r="K17" s="3590" t="s">
        <v>1140</v>
      </c>
      <c r="L17" s="3591"/>
      <c r="M17" s="3592"/>
      <c r="N17" s="3590" t="s">
        <v>1141</v>
      </c>
      <c r="O17" s="3591"/>
      <c r="P17" s="359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3" t="s">
        <v>3530</v>
      </c>
      <c r="D19" s="45">
        <f>ROUND($D$3*E19/$E$3,2)</f>
        <v>13780.24</v>
      </c>
      <c r="E19" s="53">
        <f t="shared" ref="E19:E26" si="1">SUM(F19:G19)</f>
        <v>42310.899999999994</v>
      </c>
      <c r="F19" s="2791">
        <f>'数据-基础表'!I13</f>
        <v>42310.899999999994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13780.24</v>
      </c>
      <c r="S19" s="1027">
        <f t="shared" si="5"/>
        <v>42310.899999999994</v>
      </c>
    </row>
    <row r="20" spans="1:19">
      <c r="A20" s="1669"/>
      <c r="B20" s="47" t="s">
        <v>1153</v>
      </c>
      <c r="C20" s="3413" t="s">
        <v>3531</v>
      </c>
      <c r="D20" s="45">
        <f t="shared" ref="D20:D26" si="6">ROUND($D$3*E20/$E$3,2)</f>
        <v>6988.91</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6988.91</v>
      </c>
      <c r="S20" s="1027">
        <f t="shared" si="5"/>
        <v>21458.77999999997</v>
      </c>
    </row>
    <row r="21" spans="1:19">
      <c r="A21" s="1669"/>
      <c r="B21" s="47" t="s">
        <v>1153</v>
      </c>
      <c r="C21" s="3413" t="s">
        <v>3532</v>
      </c>
      <c r="D21" s="45">
        <f t="shared" si="6"/>
        <v>1999.28</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1999.28</v>
      </c>
      <c r="S21" s="1027">
        <f t="shared" si="5"/>
        <v>6138.5999999999922</v>
      </c>
    </row>
    <row r="22" spans="1:19">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9.25" thickBot="1">
      <c r="A27" s="1669"/>
      <c r="B27" s="45"/>
      <c r="C27" s="1672" t="s">
        <v>1154</v>
      </c>
      <c r="D27" s="1140">
        <f>SUM(D19:D26)</f>
        <v>22768.43</v>
      </c>
      <c r="E27" s="1141">
        <f>IF(SUM(E19:E26)='数据-基础表'!BA5,SUM(E19:E26),IF(F27="地上面积有误","面积有误","地下面积有误"))</f>
        <v>69908.279999999955</v>
      </c>
      <c r="F27" s="1140">
        <f>IF(SUM(F19:F26)=E8,SUM(F19:F26),"地上面积有误")</f>
        <v>42310.899999999994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t="str">
        <f>IF(SUM(R19:R26)=$D$3,SUM(R19:R26),SUM(R19:R26)&amp;"误差"&amp;ROUND(SUM(R19:R26)-$D$3,2))</f>
        <v>22768.43误差-0.01</v>
      </c>
      <c r="S27" s="1026">
        <f>IF(SUM(S19:S26)=$E$3,SUM(S19:S26),SUM(S19:S26)&amp;"误差"&amp;ROUND(SUM(S19:S26)-E3,2))</f>
        <v>69908.279999999955</v>
      </c>
    </row>
    <row r="28" spans="1:19">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5"/>
      <c r="B31" s="1676"/>
      <c r="C31" s="835" t="s">
        <v>1158</v>
      </c>
      <c r="D31" s="676">
        <f>D27+D30</f>
        <v>22768.43</v>
      </c>
      <c r="E31" s="676">
        <f>E27+E30</f>
        <v>69908.279999999955</v>
      </c>
      <c r="F31" s="677">
        <f>F27+F30</f>
        <v>42310.899999999994</v>
      </c>
      <c r="G31" s="678">
        <f>G27+G30</f>
        <v>27597.379999999961</v>
      </c>
      <c r="H31" s="2655"/>
      <c r="I31" s="2655"/>
      <c r="J31" s="2655"/>
      <c r="K31" s="2655"/>
      <c r="L31" s="2655"/>
      <c r="M31" s="2655"/>
      <c r="N31" s="2655"/>
      <c r="O31" s="2655"/>
      <c r="P31" s="2655"/>
    </row>
    <row r="32" spans="1:19">
      <c r="A32" s="1642"/>
      <c r="B32" s="1642" t="s">
        <v>1159</v>
      </c>
      <c r="C32" s="1642"/>
      <c r="D32" s="1642"/>
      <c r="E32" s="1053">
        <f>SUMIF(C19:C26,"*住宅*",E19:E26)</f>
        <v>42310.899999999994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1161</v>
      </c>
      <c r="B2" s="1045">
        <f>项目基本情况!D3</f>
        <v>45103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68.7</v>
      </c>
      <c r="G6" s="65">
        <f>IF(ISERROR(ROUND(POWER(1+H6,D6-F6)*(POWER(1+H6,F6)-1)/(POWER(1+H6,D6)-1),3)),0,ROUND(POWER(1+H6,D6-F6)*(POWER(1+H6,F6)-1)/(POWER(1+H6,D6)-1),3))</f>
        <v>0.998</v>
      </c>
      <c r="H6" s="732">
        <v>0.05</v>
      </c>
      <c r="I6" s="732">
        <v>5.5E-2</v>
      </c>
      <c r="J6" s="66">
        <v>7.0000000000000007E-2</v>
      </c>
      <c r="K6" s="1030">
        <f>SUMIF('数据-汇总表'!C$19:C$33,A6,'数据-汇总表'!E$19:E$33)</f>
        <v>42310.899999999994</v>
      </c>
      <c r="L6" s="3506">
        <v>5500</v>
      </c>
      <c r="M6" s="67">
        <f t="shared" ref="M6:M14" si="0">ROUND(K6*L6/10000,0)</f>
        <v>23271</v>
      </c>
      <c r="N6" s="731">
        <v>0.38</v>
      </c>
      <c r="O6" s="67">
        <f>IF($N$5="成新度","——",ROUND(M6*N6,0))</f>
        <v>8843</v>
      </c>
      <c r="P6" s="68">
        <f>IF($N$5="成新度","——",M6-O6)</f>
        <v>14428</v>
      </c>
      <c r="Q6" s="734">
        <v>0.15</v>
      </c>
      <c r="R6" s="69">
        <f ca="1">SUMIF('数据-汇总表'!C$19:C$33,A6,'数据-汇总表'!R$19:R$27)</f>
        <v>13780.24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232709949.99999997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48.68</v>
      </c>
      <c r="G7" s="65">
        <f t="shared" ref="G7:G11" si="2">IF(ISERROR(ROUND(POWER(1+H7,D7-F7)*(POWER(1+H7,F7)-1)/(POWER(1+H7,D7)-1),3)),0,ROUND(POWER(1+H7,D7-F7)*(POWER(1+H7,F7)-1)/(POWER(1+H7,D7)-1),3))</f>
        <v>0.99399999999999999</v>
      </c>
      <c r="H7" s="3504">
        <v>0.05</v>
      </c>
      <c r="I7" s="3504">
        <v>5.5E-2</v>
      </c>
      <c r="J7" s="3505">
        <v>7.0000000000000007E-2</v>
      </c>
      <c r="K7" s="1030">
        <f>SUMIF('数据-汇总表'!C$19:C$33,A7,'数据-汇总表'!E$19:E$33)</f>
        <v>21458.77999999997</v>
      </c>
      <c r="L7" s="3506">
        <v>4500</v>
      </c>
      <c r="M7" s="67">
        <f t="shared" si="0"/>
        <v>9656</v>
      </c>
      <c r="N7" s="731">
        <v>0.5</v>
      </c>
      <c r="O7" s="67">
        <f t="shared" ref="O7:O14" si="3">IF($N$5="成新度","——",ROUND(M7*N7,0))</f>
        <v>4828</v>
      </c>
      <c r="P7" s="68">
        <f t="shared" ref="P7:P14" si="4">IF($N$5="成新度","——",M7-O7)</f>
        <v>4828</v>
      </c>
      <c r="Q7" s="734">
        <v>0.05</v>
      </c>
      <c r="R7" s="69">
        <f ca="1">SUMIF('数据-汇总表'!C$19:C$33,A7,'数据-汇总表'!R$19:R$27)</f>
        <v>6988.91</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48.68</v>
      </c>
      <c r="G8" s="65">
        <f t="shared" si="2"/>
        <v>0.99399999999999999</v>
      </c>
      <c r="H8" s="3504">
        <v>0.05</v>
      </c>
      <c r="I8" s="3504">
        <v>5.5E-2</v>
      </c>
      <c r="J8" s="3505">
        <v>7.0000000000000007E-2</v>
      </c>
      <c r="K8" s="1030">
        <f>SUMIF('数据-汇总表'!C$19:C$33,A8,'数据-汇总表'!E$19:E$33)</f>
        <v>6138.5999999999922</v>
      </c>
      <c r="L8" s="3506">
        <f>L7</f>
        <v>4500</v>
      </c>
      <c r="M8" s="67">
        <f>ROUND(K8*L8/10000,0)</f>
        <v>2762</v>
      </c>
      <c r="N8" s="731">
        <f>N7</f>
        <v>0.5</v>
      </c>
      <c r="O8" s="67">
        <f t="shared" si="3"/>
        <v>1381</v>
      </c>
      <c r="P8" s="68">
        <f t="shared" si="4"/>
        <v>1381</v>
      </c>
      <c r="Q8" s="734">
        <v>0.08</v>
      </c>
      <c r="R8" s="69">
        <f ca="1">SUMIF('数据-汇总表'!C$19:C$33,A8,'数据-汇总表'!R$19:R$27)</f>
        <v>1999.28</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69908.279999999955</v>
      </c>
      <c r="L16" s="93">
        <f>ROUND(M16*10000/SUM(K6:K14),0)</f>
        <v>5105</v>
      </c>
      <c r="M16" s="93">
        <f>SUM(M6:M14)</f>
        <v>35689</v>
      </c>
      <c r="N16" s="94">
        <f>ROUND(SUMPRODUCT(M6:M14,N6:N14)/M16,3)</f>
        <v>0.42199999999999999</v>
      </c>
      <c r="O16" s="93">
        <f>SUM(O6:O14)</f>
        <v>15052</v>
      </c>
      <c r="P16" s="93">
        <f>SUM(P6:P14)</f>
        <v>20637</v>
      </c>
      <c r="Q16" s="95">
        <f>ROUND(SUMPRODUCT(Q6:Q13,K6:K13)/SUMPRODUCT((Q6:Q13&gt;0)*(K6:K13)),2)</f>
        <v>0.11</v>
      </c>
      <c r="R16" s="1034">
        <f ca="1">SUM(R6:R13)</f>
        <v>22768.43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1212</v>
      </c>
      <c r="B20" s="104">
        <v>2</v>
      </c>
      <c r="C20" s="2796" t="s">
        <v>2303</v>
      </c>
      <c r="D20" s="2672"/>
      <c r="E20" s="2669"/>
      <c r="F20" s="2669"/>
      <c r="G20" s="2669"/>
      <c r="H20" s="2669"/>
      <c r="I20" s="2669"/>
      <c r="J20" s="2669"/>
      <c r="K20" s="2668"/>
      <c r="L20" s="2668"/>
      <c r="M20" s="3508" t="s">
        <v>5030</v>
      </c>
      <c r="N20" s="3508" t="s">
        <v>5029</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1213</v>
      </c>
      <c r="B21" s="104">
        <f>ROUND(B20*N16,2)</f>
        <v>0.84</v>
      </c>
      <c r="C21" s="2669"/>
      <c r="D21" s="2672"/>
      <c r="E21" s="2669"/>
      <c r="F21" s="2669"/>
      <c r="G21" s="2669"/>
      <c r="H21" s="2669"/>
      <c r="I21" s="2669"/>
      <c r="J21" s="2669"/>
      <c r="K21" s="2668"/>
      <c r="L21" s="2668" t="s">
        <v>5045</v>
      </c>
      <c r="M21" s="2667">
        <f>8/11</f>
        <v>0.72727272727272729</v>
      </c>
      <c r="N21" s="2667">
        <f>面积清单!E4</f>
        <v>5031.1000000000004</v>
      </c>
      <c r="O21" s="2667">
        <f>M21*N21</f>
        <v>3658.9818181818187</v>
      </c>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1214</v>
      </c>
      <c r="B22" s="105">
        <f>B19+B20</f>
        <v>2</v>
      </c>
      <c r="C22" s="2669"/>
      <c r="D22" s="2672"/>
      <c r="E22" s="2669"/>
      <c r="F22" s="2669"/>
      <c r="G22" s="2669"/>
      <c r="H22" s="2669"/>
      <c r="I22" s="2669"/>
      <c r="J22" s="2669"/>
      <c r="K22" s="2668"/>
      <c r="L22" s="2668" t="s">
        <v>5046</v>
      </c>
      <c r="M22" s="2667">
        <f>9/9</f>
        <v>1</v>
      </c>
      <c r="N22" s="2667">
        <f>面积清单!E5</f>
        <v>5492.21</v>
      </c>
      <c r="O22" s="2667">
        <f t="shared" ref="O22:O34" si="12">M22*N22</f>
        <v>5492.21</v>
      </c>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1215</v>
      </c>
      <c r="B23" s="105">
        <f>B19+B21</f>
        <v>0.84</v>
      </c>
      <c r="C23" s="2669"/>
      <c r="D23" s="2672"/>
      <c r="E23" s="2669"/>
      <c r="F23" s="2669"/>
      <c r="G23" s="2669"/>
      <c r="H23" s="2669"/>
      <c r="I23" s="2669"/>
      <c r="J23" s="2669"/>
      <c r="K23" s="2668"/>
      <c r="L23" s="2668" t="s">
        <v>5047</v>
      </c>
      <c r="M23" s="2667">
        <f>9/9</f>
        <v>1</v>
      </c>
      <c r="N23" s="2667">
        <f>面积清单!E6</f>
        <v>5492.21</v>
      </c>
      <c r="O23" s="2667">
        <f t="shared" si="12"/>
        <v>5492.21</v>
      </c>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1.1600000000000001</v>
      </c>
      <c r="C24" s="2669"/>
      <c r="D24" s="2672"/>
      <c r="E24" s="2669"/>
      <c r="F24" s="2669"/>
      <c r="G24" s="2669"/>
      <c r="H24" s="2669"/>
      <c r="I24" s="2669"/>
      <c r="J24" s="2669"/>
      <c r="K24" s="2668"/>
      <c r="L24" s="2668" t="s">
        <v>5048</v>
      </c>
      <c r="M24" s="2667">
        <f>7/11</f>
        <v>0.63636363636363635</v>
      </c>
      <c r="N24" s="2667">
        <f>面积清单!E7</f>
        <v>4883.87</v>
      </c>
      <c r="O24" s="2667">
        <f t="shared" si="12"/>
        <v>3107.9172727272726</v>
      </c>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t="s">
        <v>5049</v>
      </c>
      <c r="M25" s="2667">
        <f>5/9</f>
        <v>0.55555555555555558</v>
      </c>
      <c r="N25" s="2667">
        <f>面积清单!E8</f>
        <v>5532.28</v>
      </c>
      <c r="O25" s="2667">
        <f t="shared" si="12"/>
        <v>3073.4888888888891</v>
      </c>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t="s">
        <v>5050</v>
      </c>
      <c r="M26" s="2667">
        <f>5/9</f>
        <v>0.55555555555555558</v>
      </c>
      <c r="N26" s="2667">
        <f>面积清单!E9</f>
        <v>5532.28</v>
      </c>
      <c r="O26" s="2667">
        <f t="shared" si="12"/>
        <v>3073.4888888888891</v>
      </c>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1220</v>
      </c>
      <c r="B27" s="107">
        <v>0</v>
      </c>
      <c r="C27" s="2797" t="s">
        <v>2307</v>
      </c>
      <c r="D27" s="2675"/>
      <c r="E27" s="2657"/>
      <c r="F27" s="2657"/>
      <c r="G27" s="2669"/>
      <c r="H27" s="2669"/>
      <c r="I27" s="2669"/>
      <c r="J27" s="2669"/>
      <c r="K27" s="2668"/>
      <c r="L27" s="2668" t="s">
        <v>5051</v>
      </c>
      <c r="M27" s="2667">
        <f>11/11</f>
        <v>1</v>
      </c>
      <c r="N27" s="2667">
        <f>面积清单!E10</f>
        <v>3548.44</v>
      </c>
      <c r="O27" s="2667">
        <f t="shared" si="12"/>
        <v>3548.44</v>
      </c>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6"/>
      <c r="D28" s="2675"/>
      <c r="E28" s="2657"/>
      <c r="F28" s="2657"/>
      <c r="G28" s="2669"/>
      <c r="H28" s="2669"/>
      <c r="I28" s="2669"/>
      <c r="J28" s="2669"/>
      <c r="K28" s="2668"/>
      <c r="L28" s="2668" t="s">
        <v>5052</v>
      </c>
      <c r="M28" s="2667">
        <f>3/9</f>
        <v>0.33333333333333331</v>
      </c>
      <c r="N28" s="2667">
        <f>面积清单!E11</f>
        <v>5532.28</v>
      </c>
      <c r="O28" s="2667">
        <f t="shared" si="12"/>
        <v>1844.0933333333332</v>
      </c>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v>0</v>
      </c>
      <c r="C29" s="2798" t="s">
        <v>2294</v>
      </c>
      <c r="D29" s="2675"/>
      <c r="E29" s="2657"/>
      <c r="F29" s="2657"/>
      <c r="G29" s="2669"/>
      <c r="H29" s="2669"/>
      <c r="I29" s="2669"/>
      <c r="J29" s="2669"/>
      <c r="K29" s="2668"/>
      <c r="L29" s="2668" t="s">
        <v>5053</v>
      </c>
      <c r="M29" s="2667">
        <f>5/9</f>
        <v>0.55555555555555558</v>
      </c>
      <c r="N29" s="2667">
        <f>面积清单!E12</f>
        <v>5532.28</v>
      </c>
      <c r="O29" s="2667">
        <f t="shared" si="12"/>
        <v>3073.4888888888891</v>
      </c>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6"/>
      <c r="D30" s="2675"/>
      <c r="E30" s="2657"/>
      <c r="F30" s="2657"/>
      <c r="G30" s="2669"/>
      <c r="H30" s="2669"/>
      <c r="I30" s="2669"/>
      <c r="J30" s="2669"/>
      <c r="K30" s="2668"/>
      <c r="L30" s="2668" t="s">
        <v>5054</v>
      </c>
      <c r="M30" s="2667">
        <f>7/11</f>
        <v>0.63636363636363635</v>
      </c>
      <c r="N30" s="2667">
        <f>面积清单!E13</f>
        <v>3548.33</v>
      </c>
      <c r="O30" s="2667">
        <f t="shared" si="12"/>
        <v>2258.0281818181816</v>
      </c>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100</v>
      </c>
      <c r="C31" s="2674"/>
      <c r="D31" s="2675"/>
      <c r="E31" s="2657"/>
      <c r="F31" s="2657"/>
      <c r="G31" s="2669"/>
      <c r="H31" s="2669"/>
      <c r="I31" s="2669"/>
      <c r="J31" s="2669"/>
      <c r="K31" s="2668"/>
      <c r="L31" s="2668" t="s">
        <v>5055</v>
      </c>
      <c r="M31" s="2667">
        <f>8/11</f>
        <v>0.72727272727272729</v>
      </c>
      <c r="N31" s="2667">
        <f>面积清单!E14</f>
        <v>3548.44</v>
      </c>
      <c r="O31" s="2667">
        <f t="shared" si="12"/>
        <v>2580.6836363636367</v>
      </c>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100</v>
      </c>
      <c r="C32" s="2676"/>
      <c r="D32" s="2672"/>
      <c r="E32" s="2669"/>
      <c r="F32" s="2669"/>
      <c r="G32" s="2669"/>
      <c r="H32" s="2669"/>
      <c r="I32" s="2669"/>
      <c r="J32" s="2669"/>
      <c r="K32" s="2668"/>
      <c r="L32" s="2668" t="s">
        <v>5028</v>
      </c>
      <c r="M32" s="2667">
        <f>11/11</f>
        <v>1</v>
      </c>
      <c r="N32" s="2667">
        <f>面积清单!E15</f>
        <v>6660.72</v>
      </c>
      <c r="O32" s="2667">
        <f t="shared" si="12"/>
        <v>6660.72</v>
      </c>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9" t="s">
        <v>2295</v>
      </c>
      <c r="D33" s="2672"/>
      <c r="E33" s="2669"/>
      <c r="F33" s="2669"/>
      <c r="G33" s="2669"/>
      <c r="H33" s="2669"/>
      <c r="I33" s="2669"/>
      <c r="J33" s="2669"/>
      <c r="K33" s="2668"/>
      <c r="L33" s="2668" t="s">
        <v>5056</v>
      </c>
      <c r="M33" s="2667">
        <f>11/11</f>
        <v>1</v>
      </c>
      <c r="N33" s="2667">
        <f>面积清单!E16</f>
        <v>6660.72</v>
      </c>
      <c r="O33" s="2667">
        <f t="shared" si="12"/>
        <v>6660.72</v>
      </c>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9" t="s">
        <v>2296</v>
      </c>
      <c r="D34" s="2680" t="s">
        <v>2304</v>
      </c>
      <c r="E34" s="2678"/>
      <c r="F34" s="2669"/>
      <c r="G34" s="2669"/>
      <c r="H34" s="2669"/>
      <c r="I34" s="2669"/>
      <c r="J34" s="2669"/>
      <c r="K34" s="2668"/>
      <c r="L34" s="2668" t="s">
        <v>5057</v>
      </c>
      <c r="M34" s="2667">
        <f>8/11</f>
        <v>0.72727272727272729</v>
      </c>
      <c r="N34" s="2667">
        <f>面积清单!E17</f>
        <v>3550.25</v>
      </c>
      <c r="O34" s="2667">
        <f t="shared" si="12"/>
        <v>2582</v>
      </c>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799" t="s">
        <v>2297</v>
      </c>
      <c r="D35" s="2675"/>
      <c r="E35" s="2657"/>
      <c r="F35" s="2657"/>
      <c r="G35" s="2669"/>
      <c r="H35" s="2669"/>
      <c r="I35" s="2669"/>
      <c r="J35" s="2669"/>
      <c r="K35" s="2668"/>
      <c r="L35" s="3509" t="s">
        <v>5031</v>
      </c>
      <c r="M35" s="2667">
        <f>O35/N35</f>
        <v>0.75279838772063146</v>
      </c>
      <c r="N35" s="2667">
        <f>SUM(N21:N34)</f>
        <v>70545.41</v>
      </c>
      <c r="O35" s="2667">
        <f>SUM(O21:O34)</f>
        <v>53106.470909090916</v>
      </c>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3509" t="s">
        <v>5032</v>
      </c>
      <c r="M36" s="2667">
        <v>1</v>
      </c>
      <c r="N36" s="2671">
        <f>K7</f>
        <v>21458.77999999997</v>
      </c>
      <c r="O36" s="2671">
        <f>N36</f>
        <v>21458.77999999997</v>
      </c>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1230</v>
      </c>
      <c r="B37" s="115">
        <v>0.02</v>
      </c>
      <c r="C37" s="2799" t="s">
        <v>2299</v>
      </c>
      <c r="D37" s="2672"/>
      <c r="E37" s="2669"/>
      <c r="F37" s="2669"/>
      <c r="G37" s="2669"/>
      <c r="H37" s="2669"/>
      <c r="I37" s="2669"/>
      <c r="J37" s="2669"/>
      <c r="K37" s="2668"/>
      <c r="L37" s="3509" t="s">
        <v>5033</v>
      </c>
      <c r="M37" s="2667">
        <v>1</v>
      </c>
      <c r="N37" s="2671">
        <f>K8</f>
        <v>6138.5999999999922</v>
      </c>
      <c r="O37" s="2671">
        <f>N37</f>
        <v>6138.5999999999922</v>
      </c>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f>M35*0.5</f>
        <v>0.37639919386031573</v>
      </c>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5"/>
  </cols>
  <sheetData>
    <row r="1" spans="1:29" s="2453" customFormat="1" ht="18.75" thickBot="1">
      <c r="A1" s="3605" t="s">
        <v>2286</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36.75">
      <c r="A5" s="2438"/>
      <c r="B5" s="323" t="s">
        <v>2258</v>
      </c>
      <c r="C5" s="2464" t="s">
        <v>2259</v>
      </c>
      <c r="D5" s="2461"/>
      <c r="E5" s="2465"/>
      <c r="F5" s="323" t="s">
        <v>2260</v>
      </c>
      <c r="G5" s="2466" t="s">
        <v>2261</v>
      </c>
      <c r="H5" s="799"/>
      <c r="I5" s="799"/>
      <c r="J5" s="799"/>
      <c r="K5" s="799"/>
      <c r="L5" s="799"/>
      <c r="M5" s="799"/>
      <c r="N5" s="799"/>
      <c r="O5" s="799"/>
      <c r="P5" s="799"/>
      <c r="Q5" s="799"/>
      <c r="R5" s="799"/>
    </row>
    <row r="6" spans="1:29" ht="36">
      <c r="A6" s="2438"/>
      <c r="B6" s="323" t="s">
        <v>2262</v>
      </c>
      <c r="C6" s="2466" t="s">
        <v>2257</v>
      </c>
      <c r="D6" s="2461"/>
      <c r="E6" s="2465"/>
      <c r="F6" s="323" t="s">
        <v>2263</v>
      </c>
      <c r="G6" s="2466" t="s">
        <v>2264</v>
      </c>
      <c r="H6" s="799"/>
      <c r="I6" s="799"/>
      <c r="J6" s="799"/>
      <c r="K6" s="799"/>
      <c r="L6" s="799"/>
      <c r="M6" s="799"/>
      <c r="N6" s="799"/>
      <c r="O6" s="799"/>
      <c r="P6" s="799"/>
      <c r="Q6" s="799"/>
      <c r="R6" s="799"/>
    </row>
    <row r="7" spans="1:29" ht="24.75"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5"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2287</v>
      </c>
      <c r="B13" s="2480"/>
      <c r="C13" s="2480"/>
      <c r="D13" s="2478"/>
      <c r="E13" s="2480"/>
      <c r="F13" s="2480"/>
      <c r="G13" s="2480"/>
    </row>
    <row r="14" spans="1:29" ht="15" thickBot="1">
      <c r="A14" s="2490"/>
      <c r="B14" s="2490"/>
      <c r="C14" s="2491" t="s">
        <v>2270</v>
      </c>
      <c r="D14" s="2461"/>
      <c r="E14" s="2492"/>
      <c r="F14" s="2492"/>
      <c r="G14" s="2456" t="s">
        <v>2271</v>
      </c>
    </row>
    <row r="15" spans="1:29" ht="51">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8.25">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8.25">
      <c r="A17" s="2442"/>
      <c r="B17" s="2496" t="s">
        <v>2258</v>
      </c>
      <c r="C17" s="2497" t="str">
        <f>C5</f>
        <v>估价对象位于XX商圈，周边办公楼项目较多，入驻率高，办公集聚程度较好</v>
      </c>
      <c r="D17" s="2467"/>
      <c r="E17" s="2443"/>
      <c r="F17" s="2498" t="s">
        <v>2275</v>
      </c>
      <c r="G17" s="2500"/>
    </row>
    <row r="18" spans="1:18" ht="38.25">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5.5">
      <c r="A19" s="2442"/>
      <c r="B19" s="2498" t="s">
        <v>2276</v>
      </c>
      <c r="C19" s="2500"/>
      <c r="D19" s="2461"/>
      <c r="E19" s="2443"/>
      <c r="F19" s="323" t="s">
        <v>2260</v>
      </c>
      <c r="G19" s="2499" t="str">
        <f>G5</f>
        <v>估价对象所在区域公共配套设施齐备情况</v>
      </c>
    </row>
    <row r="20" spans="1:18" ht="25.5">
      <c r="A20" s="2442"/>
      <c r="B20" s="2498" t="s">
        <v>2277</v>
      </c>
      <c r="C20" s="2497" t="str">
        <f>C9</f>
        <v>区域自然环境：；人文环境；综合评价环境状况一般</v>
      </c>
      <c r="D20" s="2467"/>
      <c r="E20" s="2443"/>
      <c r="F20" s="323" t="s">
        <v>2263</v>
      </c>
      <c r="G20" s="2499" t="str">
        <f>G6</f>
        <v>估价对象所在区域基础设施水平</v>
      </c>
    </row>
    <row r="21" spans="1:18" ht="25.5">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5"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5"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3" sqref="I33"/>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69908.279999999955</v>
      </c>
      <c r="C1" s="2682"/>
      <c r="D1" s="2682"/>
      <c r="E1" s="2682"/>
      <c r="F1" s="2682"/>
      <c r="G1" s="2683"/>
      <c r="H1" s="2684"/>
      <c r="I1" s="2684"/>
      <c r="J1" s="2684"/>
      <c r="K1" s="2684"/>
    </row>
    <row r="2" spans="1:11" ht="16.5">
      <c r="A2" s="2508" t="s">
        <v>653</v>
      </c>
      <c r="B2" s="2508">
        <f>SUM(C14:C23)</f>
        <v>22768.44</v>
      </c>
      <c r="C2" s="2682"/>
      <c r="D2" s="2682"/>
      <c r="E2" s="2682"/>
      <c r="F2" s="2682"/>
      <c r="G2" s="2683"/>
      <c r="H2" s="2684"/>
      <c r="I2" s="2684"/>
      <c r="J2" s="2684"/>
      <c r="K2" s="2684"/>
    </row>
    <row r="3" spans="1:11" ht="16.5">
      <c r="A3" s="2508" t="s">
        <v>662</v>
      </c>
      <c r="B3" s="2510">
        <f>项目基本情况!D3</f>
        <v>45103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121726</v>
      </c>
      <c r="C5" s="2508">
        <f ca="1">IF(B5=D14,结果表!H102,ROUND(B5*10000/$B$1,0))</f>
        <v>17412</v>
      </c>
      <c r="D5" s="2508">
        <f ca="1">ROUND(B5*10000/$B$2,0)</f>
        <v>53463</v>
      </c>
      <c r="E5" s="2682"/>
      <c r="F5" s="2683"/>
      <c r="G5" s="2683"/>
      <c r="H5" s="2684"/>
      <c r="I5" s="2684"/>
      <c r="J5" s="2684"/>
      <c r="K5" s="2684"/>
    </row>
    <row r="6" spans="1:11" ht="16.5">
      <c r="A6" s="2508" t="s">
        <v>656</v>
      </c>
      <c r="B6" s="2508">
        <f ca="1">SUM(G14:G23)</f>
        <v>121726</v>
      </c>
      <c r="C6" s="2508">
        <f ca="1">IF(B6=G14,结果表!H108,ROUND(B6*10000/$B$1,0))</f>
        <v>17412</v>
      </c>
      <c r="D6" s="2508">
        <f ca="1">ROUND(B6*10000/$B$2,0)</f>
        <v>53463</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 ca="1">SUM(I14:I23)</f>
        <v>115289</v>
      </c>
      <c r="C8" s="2508">
        <f ca="1">IF(B8=I14,结果表!H112,ROUND(B8*10000/$B$1,0))</f>
        <v>16491</v>
      </c>
      <c r="D8" s="2508">
        <f ca="1">ROUND(B8*10000/$B$2,0)</f>
        <v>50635</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3360</v>
      </c>
      <c r="D10" s="2508" t="s">
        <v>3361</v>
      </c>
      <c r="E10" s="3437"/>
      <c r="F10" s="3441" t="s">
        <v>3362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69908.279999999955</v>
      </c>
      <c r="C14" s="2514">
        <f>结果表!C118</f>
        <v>22768.44</v>
      </c>
      <c r="D14" s="2514">
        <f ca="1">结果表!H101</f>
        <v>121726</v>
      </c>
      <c r="E14" s="2514">
        <f ca="1">ROUND(D14*10000/B14,0)</f>
        <v>17412</v>
      </c>
      <c r="F14" s="2514">
        <f ca="1">ROUND(D14*10000/C14,0)</f>
        <v>53463</v>
      </c>
      <c r="G14" s="2514">
        <f ca="1">结果表!H107</f>
        <v>121726</v>
      </c>
      <c r="H14" s="2514"/>
      <c r="I14" s="2514">
        <f ca="1">结果表!H111</f>
        <v>115289</v>
      </c>
      <c r="J14" s="2683">
        <f ca="1">ROUND(I14/B14*10000,0)</f>
        <v>16491</v>
      </c>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7" sqref="F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4" t="str">
        <f>项目基本情况!S2</f>
        <v>北京市房地产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3" t="s">
        <v>1265</v>
      </c>
      <c r="B4" s="1754" t="s">
        <v>1266</v>
      </c>
      <c r="C4" s="1755" t="s">
        <v>5001</v>
      </c>
      <c r="D4" s="1755" t="s">
        <v>5002</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22" t="s">
        <v>1268</v>
      </c>
      <c r="B5" s="3677">
        <v>25</v>
      </c>
      <c r="C5" s="3680"/>
      <c r="D5" s="3668"/>
      <c r="E5" s="131" t="s">
        <v>1269</v>
      </c>
      <c r="F5" s="1756"/>
      <c r="G5" s="1756"/>
      <c r="H5" s="1756"/>
      <c r="I5" s="1372"/>
    </row>
    <row r="6" spans="1:12" ht="12.75">
      <c r="A6" s="3622"/>
      <c r="B6" s="3677"/>
      <c r="C6" s="3682"/>
      <c r="D6" s="3668"/>
      <c r="E6" s="131" t="s">
        <v>1270</v>
      </c>
      <c r="F6" s="1756"/>
      <c r="G6" s="1756"/>
      <c r="H6" s="1756"/>
      <c r="I6" s="1372"/>
    </row>
    <row r="7" spans="1:12" ht="12.75">
      <c r="A7" s="3622"/>
      <c r="B7" s="3677"/>
      <c r="C7" s="3681"/>
      <c r="D7" s="3668"/>
      <c r="E7" s="131" t="s">
        <v>1271</v>
      </c>
      <c r="F7" s="1756"/>
      <c r="G7" s="1756"/>
      <c r="H7" s="1756"/>
      <c r="I7" s="1372"/>
    </row>
    <row r="8" spans="1:12" ht="12.75">
      <c r="A8" s="3622" t="s">
        <v>1272</v>
      </c>
      <c r="B8" s="3677">
        <v>15</v>
      </c>
      <c r="C8" s="3680"/>
      <c r="D8" s="3668"/>
      <c r="E8" s="131" t="s">
        <v>1273</v>
      </c>
      <c r="F8" s="1756"/>
      <c r="G8" s="1756"/>
      <c r="H8" s="1756"/>
      <c r="I8" s="1372"/>
    </row>
    <row r="9" spans="1:12" ht="12.75">
      <c r="A9" s="3622"/>
      <c r="B9" s="3677"/>
      <c r="C9" s="3681"/>
      <c r="D9" s="3668"/>
      <c r="E9" s="131" t="s">
        <v>1274</v>
      </c>
      <c r="F9" s="1756"/>
      <c r="G9" s="1756"/>
      <c r="H9" s="1756"/>
      <c r="I9" s="1372"/>
    </row>
    <row r="10" spans="1:12" ht="12.75">
      <c r="A10" s="3622" t="s">
        <v>1275</v>
      </c>
      <c r="B10" s="3677">
        <v>15</v>
      </c>
      <c r="C10" s="3680"/>
      <c r="D10" s="3668"/>
      <c r="E10" s="131" t="s">
        <v>1276</v>
      </c>
      <c r="F10" s="1756"/>
      <c r="G10" s="1756"/>
      <c r="H10" s="1756"/>
      <c r="I10" s="1372"/>
    </row>
    <row r="11" spans="1:12" ht="12.75">
      <c r="A11" s="3622"/>
      <c r="B11" s="3677"/>
      <c r="C11" s="3681"/>
      <c r="D11" s="3668"/>
      <c r="E11" s="131" t="s">
        <v>1277</v>
      </c>
      <c r="F11" s="1756"/>
      <c r="G11" s="1756"/>
      <c r="H11" s="1756"/>
      <c r="I11" s="1372"/>
    </row>
    <row r="12" spans="1:12" ht="12.75">
      <c r="A12" s="3622" t="s">
        <v>1278</v>
      </c>
      <c r="B12" s="3677">
        <v>15</v>
      </c>
      <c r="C12" s="3680"/>
      <c r="D12" s="3668"/>
      <c r="E12" s="131" t="s">
        <v>1279</v>
      </c>
      <c r="F12" s="1756"/>
      <c r="G12" s="1756"/>
      <c r="H12" s="1756"/>
      <c r="I12" s="1372"/>
    </row>
    <row r="13" spans="1:12" ht="12.75">
      <c r="A13" s="3622"/>
      <c r="B13" s="3677"/>
      <c r="C13" s="3681"/>
      <c r="D13" s="3668"/>
      <c r="E13" s="131" t="s">
        <v>1280</v>
      </c>
      <c r="F13" s="1756"/>
      <c r="G13" s="1756"/>
      <c r="H13" s="1756"/>
      <c r="I13" s="1372"/>
    </row>
    <row r="14" spans="1:12" ht="12.75">
      <c r="A14" s="3622" t="s">
        <v>1281</v>
      </c>
      <c r="B14" s="3677">
        <v>30</v>
      </c>
      <c r="C14" s="3680">
        <v>5</v>
      </c>
      <c r="D14" s="3668">
        <v>5</v>
      </c>
      <c r="E14" s="131" t="s">
        <v>1282</v>
      </c>
      <c r="F14" s="1756"/>
      <c r="G14" s="1756"/>
      <c r="H14" s="1756"/>
      <c r="I14" s="1372"/>
    </row>
    <row r="15" spans="1:12" ht="12.75">
      <c r="A15" s="3622"/>
      <c r="B15" s="3677"/>
      <c r="C15" s="3682"/>
      <c r="D15" s="3668"/>
      <c r="E15" s="131" t="s">
        <v>1283</v>
      </c>
      <c r="F15" s="1756"/>
      <c r="G15" s="1756"/>
      <c r="H15" s="1756"/>
      <c r="I15" s="1372"/>
    </row>
    <row r="16" spans="1:12" ht="12.75">
      <c r="A16" s="3622"/>
      <c r="B16" s="3677"/>
      <c r="C16" s="3681"/>
      <c r="D16" s="366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99" t="s">
        <v>2131</v>
      </c>
      <c r="F18" s="3700"/>
      <c r="G18" s="3700"/>
      <c r="H18" s="3700"/>
      <c r="I18" s="3700"/>
      <c r="K18" s="302" t="s">
        <v>1289</v>
      </c>
      <c r="L18" s="302">
        <f>IF(C1="",'数据-汇总表'!E3,SUMIF(项目类型,C1,'数据-汇总表'!E17:E26)+SUMIF(项目类型,C1,'数据-汇总表'!I17:I26))</f>
        <v>69908.279999999955</v>
      </c>
      <c r="M18" s="302">
        <f>IF(C1="",'数据-汇总表'!E3,SUMIF(项目类型,C1,'数据-汇总表'!E17:E26))</f>
        <v>69908.279999999955</v>
      </c>
    </row>
    <row r="19" spans="1:36" ht="15">
      <c r="A19" s="1760" t="s">
        <v>1290</v>
      </c>
      <c r="B19" s="1761" t="s">
        <v>1291</v>
      </c>
      <c r="C19" s="134">
        <f ca="1">SUMIF(INDIRECT("'"&amp;C4&amp;"'"&amp;"!A:A"),结果表!B19,INDIRECT("'"&amp;C4&amp;"'"&amp;"!B:B"))</f>
        <v>122501</v>
      </c>
      <c r="D19" s="135">
        <f ca="1">SUMIF(INDIRECT("'"&amp;D4&amp;"'"&amp;"!A:A"),结果表!B19,INDIRECT("'"&amp;D4&amp;"'"&amp;"!B:B"))</f>
        <v>120951</v>
      </c>
      <c r="E19" s="1760" t="s">
        <v>1292</v>
      </c>
      <c r="F19" s="1761" t="s">
        <v>1291</v>
      </c>
      <c r="G19" s="136">
        <f ca="1">ROUND(C19*$C$18+D19*$D$18,0)</f>
        <v>121726</v>
      </c>
      <c r="H19" s="1762" t="s">
        <v>1293</v>
      </c>
      <c r="I19" s="129"/>
      <c r="K19" s="302" t="s">
        <v>1294</v>
      </c>
      <c r="L19" s="302">
        <f>IF(C1="",'数据-汇总表'!D3,SUMIF(项目类型,C1,'数据-汇总表'!D17:D26)+SUMIF(项目类型,C1,'数据-汇总表'!H17:H27))</f>
        <v>22768.44</v>
      </c>
      <c r="M19" s="302">
        <f>IF(C1="",'数据-汇总表'!D3,SUMIF(项目类型,C1,'数据-汇总表'!D17:D26))</f>
        <v>22768.44</v>
      </c>
    </row>
    <row r="20" spans="1:36" ht="15">
      <c r="A20" s="1763"/>
      <c r="B20" s="1026" t="s">
        <v>1295</v>
      </c>
      <c r="C20" s="137">
        <f ca="1">SUMIF(INDIRECT("'"&amp;C4&amp;"'"&amp;"!A:A"),结果表!B20,INDIRECT("'"&amp;C4&amp;"'"&amp;"!B:B"))</f>
        <v>17523</v>
      </c>
      <c r="D20" s="138">
        <f ca="1">SUMIF(INDIRECT("'"&amp;D4&amp;"'"&amp;"!A:A"),结果表!B20,INDIRECT("'"&amp;D4&amp;"'"&amp;"!B:B"))</f>
        <v>17301</v>
      </c>
      <c r="E20" s="1763"/>
      <c r="F20" s="1026" t="s">
        <v>1295</v>
      </c>
      <c r="G20" s="139">
        <f ca="1">ROUND(C20*$C$18+D20*$D$18,0)</f>
        <v>17412</v>
      </c>
      <c r="H20" s="808" t="s">
        <v>1296</v>
      </c>
      <c r="I20" s="129"/>
    </row>
    <row r="21" spans="1:36" ht="15" customHeight="1" thickBot="1">
      <c r="A21" s="828"/>
      <c r="B21" s="1764" t="s">
        <v>1297</v>
      </c>
      <c r="C21" s="719">
        <f ca="1">ROUND(C19*10000/L19,0)</f>
        <v>53803</v>
      </c>
      <c r="D21" s="720">
        <f ca="1">ROUND(D19*10000/L19,0)</f>
        <v>53122</v>
      </c>
      <c r="E21" s="828"/>
      <c r="F21" s="1764" t="s">
        <v>1297</v>
      </c>
      <c r="G21" s="140">
        <f ca="1">ROUND(G19*10000/L19,0)</f>
        <v>53463</v>
      </c>
      <c r="H21" s="1765" t="s">
        <v>1296</v>
      </c>
      <c r="I21" s="129"/>
    </row>
    <row r="22" spans="1:36" ht="15" thickBot="1">
      <c r="A22" s="1687" t="s">
        <v>1298</v>
      </c>
      <c r="B22" s="1766"/>
      <c r="C22" s="1767"/>
      <c r="D22" s="721">
        <f ca="1">IF(C19&lt;D19,D19/C19-1,C19/D19-1)</f>
        <v>1.2815106944134458E-2</v>
      </c>
      <c r="E22" s="129"/>
      <c r="F22" s="129"/>
      <c r="G22" s="129"/>
      <c r="H22" s="129"/>
      <c r="I22" s="129"/>
    </row>
    <row r="23" spans="1:36" ht="13.5" thickBot="1">
      <c r="A23" s="1746"/>
      <c r="B23" s="1746"/>
      <c r="C23" s="1746"/>
      <c r="D23" s="1746"/>
      <c r="E23" s="129"/>
      <c r="F23" s="129"/>
      <c r="G23" s="129"/>
      <c r="H23" s="129"/>
      <c r="I23" s="129"/>
    </row>
    <row r="24" spans="1:36" ht="14.25">
      <c r="A24" s="3692" t="s">
        <v>1299</v>
      </c>
      <c r="B24" s="1761" t="s">
        <v>1291</v>
      </c>
      <c r="C24" s="136">
        <f>IF(B30=0,0,D30)</f>
        <v>0</v>
      </c>
      <c r="D24" s="1768"/>
      <c r="E24" s="129"/>
      <c r="F24" s="129"/>
      <c r="G24" s="129"/>
      <c r="H24" s="129"/>
      <c r="I24" s="129"/>
    </row>
    <row r="25" spans="1:36" ht="14.25">
      <c r="A25" s="369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121726</v>
      </c>
      <c r="D32" s="1774" t="s">
        <v>5003</v>
      </c>
      <c r="E32" s="129"/>
      <c r="F32" s="129"/>
      <c r="G32" s="129"/>
      <c r="H32" s="129"/>
      <c r="I32" s="129"/>
    </row>
    <row r="33" spans="1:15" ht="15">
      <c r="A33" s="786" t="s">
        <v>1306</v>
      </c>
      <c r="B33" s="1775"/>
      <c r="C33" s="1776" t="s">
        <v>5004</v>
      </c>
      <c r="D33" s="1777" t="s">
        <v>5001</v>
      </c>
      <c r="E33" s="1778" t="s">
        <v>1307</v>
      </c>
      <c r="F33" s="1779" t="str">
        <f>IF(D32="楼面单价","取值（单价）","取值（总价）")</f>
        <v>取值（总价）</v>
      </c>
      <c r="G33" s="129"/>
      <c r="H33" s="129"/>
      <c r="I33" s="129"/>
    </row>
    <row r="34" spans="1:15" ht="15">
      <c r="A34" s="1780"/>
      <c r="B34" s="1781" t="s">
        <v>1308</v>
      </c>
      <c r="C34" s="148">
        <f ca="1">IF(C33="自定义",F34,C32-C35)</f>
        <v>101033</v>
      </c>
      <c r="D34" s="861">
        <f ca="1">IF(C33="自定义",ROUND(C34/C32,3),IF(C33="收益比率",SUMIF(INDIRECT("'"&amp;D33&amp;"'"&amp;"!b:b"),"土地收益比率",INDIRECT("'"&amp;D33&amp;"'"&amp;"!c:c")),SUMIF(INDIRECT("'"&amp;D33&amp;"'"&amp;"!b:b"),"土地成本比率",INDIRECT("'"&amp;D33&amp;"'"&amp;"!c:c"))))</f>
        <v>0.83</v>
      </c>
      <c r="E34" s="1782" t="s">
        <v>1309</v>
      </c>
      <c r="F34" s="1329"/>
      <c r="G34" s="129"/>
      <c r="H34" s="129"/>
      <c r="I34" s="129"/>
    </row>
    <row r="35" spans="1:15" ht="15.75" thickBot="1">
      <c r="A35" s="1783"/>
      <c r="B35" s="1784" t="s">
        <v>1310</v>
      </c>
      <c r="C35" s="1170">
        <f ca="1">IF(C33="自定义",F35,ROUND(C32*D35,0))</f>
        <v>20693</v>
      </c>
      <c r="D35" s="1171">
        <f ca="1">IF(C33="自定义",ROUND(C35/C32,3),IF(C33="收益比率",SUMIF(INDIRECT("'"&amp;D33&amp;"'"&amp;"!b:b"),"建筑物收益比率",INDIRECT("'"&amp;D33&amp;"'"&amp;"!c:c")),SUMIF(INDIRECT("'"&amp;D33&amp;"'"&amp;"!b:b"),"建筑物成本比率",INDIRECT("'"&amp;D33&amp;"'"&amp;"!c:c"))))</f>
        <v>0.17</v>
      </c>
      <c r="E35" s="1785" t="s">
        <v>1311</v>
      </c>
      <c r="F35" s="154"/>
      <c r="G35" s="129"/>
      <c r="H35" s="129"/>
      <c r="I35" s="129"/>
    </row>
    <row r="36" spans="1:15" ht="15.75" thickBot="1">
      <c r="A36" s="3669" t="s">
        <v>1312</v>
      </c>
      <c r="B36" s="1786" t="s">
        <v>1313</v>
      </c>
      <c r="C36" s="145"/>
      <c r="D36" s="1787"/>
      <c r="E36" s="1788"/>
      <c r="F36" s="1789"/>
      <c r="G36" s="129"/>
      <c r="H36" s="129"/>
      <c r="I36" s="129"/>
    </row>
    <row r="37" spans="1:15" ht="15.75" thickBot="1">
      <c r="A37" s="3670"/>
      <c r="B37" s="1673" t="s">
        <v>1314</v>
      </c>
      <c r="C37" s="147"/>
      <c r="D37" s="1139"/>
      <c r="E37" s="1139"/>
      <c r="F37" s="1789"/>
      <c r="G37" s="129"/>
      <c r="H37" s="129"/>
      <c r="I37" s="129"/>
    </row>
    <row r="38" spans="1:15" ht="15.75" thickBot="1">
      <c r="A38" s="3671"/>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9" t="s">
        <v>1326</v>
      </c>
      <c r="B45" s="3690"/>
      <c r="C45" s="3691"/>
      <c r="D45" s="155">
        <f ca="1">ROUND(H101*F45,0)</f>
        <v>121726</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5"/>
      <c r="I46" s="159"/>
      <c r="J46" s="2519">
        <v>1</v>
      </c>
      <c r="K46" s="3610" t="s">
        <v>1331</v>
      </c>
      <c r="L46" s="3610"/>
      <c r="M46" s="3611"/>
      <c r="N46" s="3611"/>
      <c r="O46" s="3611"/>
    </row>
    <row r="47" spans="1:15" ht="12" customHeight="1">
      <c r="A47" s="160" t="s">
        <v>1332</v>
      </c>
      <c r="B47" s="161"/>
      <c r="C47" s="162"/>
      <c r="D47" s="1087" t="s">
        <v>1333</v>
      </c>
      <c r="E47" s="302" t="s">
        <v>1334</v>
      </c>
      <c r="F47" s="163" t="s">
        <v>1335</v>
      </c>
      <c r="G47" s="2542" t="s">
        <v>1336</v>
      </c>
      <c r="H47" s="2543"/>
      <c r="I47" s="159"/>
      <c r="J47" s="2519">
        <v>2</v>
      </c>
      <c r="K47" s="3610" t="s">
        <v>1337</v>
      </c>
      <c r="L47" s="3610"/>
      <c r="M47" s="3612">
        <f>'数据-取费表'!B2</f>
        <v>45103</v>
      </c>
      <c r="N47" s="3612"/>
      <c r="O47" s="3612"/>
    </row>
    <row r="48" spans="1:15" ht="25.5">
      <c r="A48" s="3672" t="s">
        <v>1338</v>
      </c>
      <c r="B48" s="3673"/>
      <c r="C48" s="3673"/>
      <c r="D48" s="2320">
        <f ca="1">IF(H48="情况1",0,IF(H48="情况2",D52,IF(H48="情况3",D53,IF(H48="情况4",D54))))</f>
        <v>6376</v>
      </c>
      <c r="E48" s="2330" t="str">
        <f>IF(H48="情况4","(销售额-原购置价)×税（费）率","销售额×税（费）率")</f>
        <v>销售额×税（费）率</v>
      </c>
      <c r="F48" s="2544">
        <f>IF(H48="情况1","免征",'数据-取费表'!B41)</f>
        <v>5.5000000000000007E-2</v>
      </c>
      <c r="G48" s="2545" t="s">
        <v>1339</v>
      </c>
      <c r="H48" s="2546" t="s">
        <v>5011</v>
      </c>
      <c r="I48" s="1805"/>
      <c r="J48" s="2519">
        <v>3</v>
      </c>
      <c r="K48" s="3610" t="s">
        <v>1340</v>
      </c>
      <c r="L48" s="3610"/>
      <c r="M48" s="3613">
        <f ca="1">H101</f>
        <v>121726</v>
      </c>
      <c r="N48" s="3613"/>
      <c r="O48" s="3613"/>
    </row>
    <row r="49" spans="1:35" ht="25.5" customHeight="1">
      <c r="A49" s="2329" t="s">
        <v>1341</v>
      </c>
      <c r="B49" s="3658" t="s">
        <v>1342</v>
      </c>
      <c r="C49" s="3658"/>
      <c r="D49" s="1589">
        <v>0</v>
      </c>
      <c r="E49" s="324" t="s">
        <v>1343</v>
      </c>
      <c r="F49" s="2420" t="s">
        <v>28</v>
      </c>
      <c r="G49" s="3641"/>
      <c r="H49" s="2306" t="s">
        <v>2134</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121726</v>
      </c>
      <c r="N49" s="3613"/>
      <c r="O49" s="3613"/>
    </row>
    <row r="50" spans="1:35" ht="25.5" customHeight="1">
      <c r="A50" s="2547"/>
      <c r="B50" s="3658" t="s">
        <v>1344</v>
      </c>
      <c r="C50" s="3658"/>
      <c r="D50" s="2548"/>
      <c r="E50" s="332"/>
      <c r="F50" s="2420"/>
      <c r="G50" s="3642"/>
      <c r="H50" s="2308" t="s">
        <v>2135</v>
      </c>
      <c r="I50" s="2307"/>
      <c r="J50" s="3609" t="s">
        <v>1345</v>
      </c>
      <c r="K50" s="3609"/>
      <c r="L50" s="3609"/>
      <c r="M50" s="3609"/>
      <c r="N50" s="3609"/>
      <c r="O50" s="3609"/>
    </row>
    <row r="51" spans="1:35" ht="20.45" customHeight="1">
      <c r="A51" s="2549"/>
      <c r="B51" s="3658" t="s">
        <v>1346</v>
      </c>
      <c r="C51" s="3658"/>
      <c r="D51" s="1087"/>
      <c r="E51" s="327"/>
      <c r="F51" s="2420"/>
      <c r="G51" s="3643"/>
      <c r="H51" s="2308" t="s">
        <v>2136</v>
      </c>
      <c r="I51" s="2307"/>
      <c r="J51" s="2520" t="s">
        <v>1347</v>
      </c>
      <c r="K51" s="3610" t="s">
        <v>1348</v>
      </c>
      <c r="L51" s="3610"/>
      <c r="M51" s="2520" t="s">
        <v>1349</v>
      </c>
      <c r="N51" s="2520" t="s">
        <v>1350</v>
      </c>
      <c r="O51" s="2520" t="s">
        <v>1351</v>
      </c>
    </row>
    <row r="52" spans="1:35" ht="24" customHeight="1">
      <c r="A52" s="2331" t="s">
        <v>1352</v>
      </c>
      <c r="B52" s="3658" t="s">
        <v>1353</v>
      </c>
      <c r="C52" s="3658"/>
      <c r="D52" s="1087">
        <f ca="1">ROUND(D45*'数据-取费表'!B41/(1+'数据-取费表'!C42),0)</f>
        <v>6376</v>
      </c>
      <c r="E52" s="2330" t="s">
        <v>1354</v>
      </c>
      <c r="F52" s="2550">
        <f>'数据-取费表'!B41</f>
        <v>5.5000000000000007E-2</v>
      </c>
      <c r="G52" s="2551"/>
      <c r="H52" s="2540"/>
      <c r="I52" s="1806"/>
      <c r="J52" s="2519">
        <v>1</v>
      </c>
      <c r="K52" s="3635" t="s">
        <v>1355</v>
      </c>
      <c r="L52" s="3635"/>
      <c r="M52" s="2521">
        <f ca="1">D48</f>
        <v>6376</v>
      </c>
      <c r="N52" s="2519" t="str">
        <f>E48</f>
        <v>销售额×税（费）率</v>
      </c>
      <c r="O52" s="2522">
        <f>F48</f>
        <v>5.5000000000000007E-2</v>
      </c>
    </row>
    <row r="53" spans="1:35" ht="12" customHeight="1">
      <c r="A53" s="2331" t="s">
        <v>1356</v>
      </c>
      <c r="B53" s="3659" t="s">
        <v>2291</v>
      </c>
      <c r="C53" s="3660"/>
      <c r="D53" s="1087">
        <f ca="1">ROUND(D45*'数据-取费表'!B41/(1+'数据-取费表'!C42),0)</f>
        <v>6376</v>
      </c>
      <c r="E53" s="2330" t="s">
        <v>1354</v>
      </c>
      <c r="F53" s="2550">
        <f>'数据-取费表'!B41</f>
        <v>5.5000000000000007E-2</v>
      </c>
      <c r="G53" s="2551"/>
      <c r="H53" s="2540"/>
      <c r="I53" s="1806"/>
      <c r="J53" s="2519">
        <v>2</v>
      </c>
      <c r="K53" s="3635" t="s">
        <v>1357</v>
      </c>
      <c r="L53" s="3635"/>
      <c r="M53" s="2521">
        <f t="shared" ref="M53:O54" ca="1" si="0">D55</f>
        <v>61</v>
      </c>
      <c r="N53" s="2519" t="str">
        <f t="shared" si="0"/>
        <v>销售额×税（费）率</v>
      </c>
      <c r="O53" s="2522">
        <f t="shared" si="0"/>
        <v>5.0000000000000001E-4</v>
      </c>
    </row>
    <row r="54" spans="1:35" ht="12" customHeight="1">
      <c r="A54" s="2331" t="s">
        <v>1358</v>
      </c>
      <c r="B54" s="3659" t="s">
        <v>2292</v>
      </c>
      <c r="C54" s="3660"/>
      <c r="D54" s="1087">
        <f ca="1">C68</f>
        <v>6376</v>
      </c>
      <c r="E54" s="327" t="s">
        <v>1359</v>
      </c>
      <c r="F54" s="2550">
        <f>'数据-取费表'!B41</f>
        <v>5.5000000000000007E-2</v>
      </c>
      <c r="G54" s="2551"/>
      <c r="H54" s="2552"/>
      <c r="I54" s="1806"/>
      <c r="J54" s="2519">
        <v>3</v>
      </c>
      <c r="K54" s="3635" t="s">
        <v>1360</v>
      </c>
      <c r="L54" s="3635"/>
      <c r="M54" s="2521">
        <f t="shared" ca="1" si="0"/>
        <v>0</v>
      </c>
      <c r="N54" s="2519" t="str">
        <f t="shared" si="0"/>
        <v>增值额×税（费）率</v>
      </c>
      <c r="O54" s="2523" t="str">
        <f t="shared" si="0"/>
        <v>——</v>
      </c>
    </row>
    <row r="55" spans="1:35" ht="24" customHeight="1">
      <c r="A55" s="3695" t="s">
        <v>1361</v>
      </c>
      <c r="B55" s="3673"/>
      <c r="C55" s="3673"/>
      <c r="D55" s="2320">
        <f ca="1">IF(H55="个人住宅",0,ROUND(D45*I55,0))</f>
        <v>61</v>
      </c>
      <c r="E55" s="2330" t="s">
        <v>1362</v>
      </c>
      <c r="F55" s="2550">
        <f>IF(H55="正常",I55,"免征")</f>
        <v>5.0000000000000001E-4</v>
      </c>
      <c r="G55" s="2551"/>
      <c r="H55" s="2546" t="s">
        <v>5012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1363</v>
      </c>
      <c r="B56" s="3673"/>
      <c r="C56" s="3673"/>
      <c r="D56" s="2320">
        <f ca="1">IF(H56="个人住宅",D57,D58)</f>
        <v>0</v>
      </c>
      <c r="E56" s="2330" t="s">
        <v>1364</v>
      </c>
      <c r="F56" s="2550" t="str">
        <f>IF(H56="正常",F58,"免征")</f>
        <v>——</v>
      </c>
      <c r="G56" s="2553" t="s">
        <v>1365</v>
      </c>
      <c r="H56" s="2554" t="s">
        <v>5012</v>
      </c>
      <c r="I56" s="1807"/>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1341</v>
      </c>
      <c r="B57" s="3659" t="s">
        <v>1366</v>
      </c>
      <c r="C57" s="3660"/>
      <c r="D57" s="1589">
        <v>0</v>
      </c>
      <c r="E57" s="324" t="s">
        <v>1343</v>
      </c>
      <c r="F57" s="302"/>
      <c r="G57" s="2551"/>
      <c r="H57" s="2555"/>
      <c r="I57" s="1807"/>
      <c r="J57" s="3635">
        <f>IF(AND(J55="",J56=""),4,IF(项目基本情况!K6="上海银行",结果表!J56+1,结果表!J55+1))</f>
        <v>4</v>
      </c>
      <c r="K57" s="3635" t="s">
        <v>1367</v>
      </c>
      <c r="L57" s="2526" t="s">
        <v>1368</v>
      </c>
      <c r="M57" s="2527"/>
      <c r="N57" s="2528">
        <f ca="1">SUMIF(M52:M56,"&lt;9e307")</f>
        <v>6437</v>
      </c>
      <c r="O57" s="2529"/>
      <c r="P57" s="2686">
        <f ca="1">N57/M49</f>
        <v>5.2881060742980136E-2</v>
      </c>
    </row>
    <row r="58" spans="1:35" ht="24.75">
      <c r="A58" s="2331" t="s">
        <v>1352</v>
      </c>
      <c r="B58" s="3659" t="s">
        <v>1369</v>
      </c>
      <c r="C58" s="3658"/>
      <c r="D58" s="2320">
        <f ca="1">IF(H58="转让取得",C81,C97)</f>
        <v>0</v>
      </c>
      <c r="E58" s="2330" t="s">
        <v>1364</v>
      </c>
      <c r="F58" s="302" t="s">
        <v>28</v>
      </c>
      <c r="G58" s="2551"/>
      <c r="H58" s="2554" t="s">
        <v>5013</v>
      </c>
      <c r="I58" s="1807"/>
      <c r="J58" s="3635"/>
      <c r="K58" s="3635"/>
      <c r="L58" s="2526" t="s">
        <v>1370</v>
      </c>
      <c r="M58" s="2530"/>
      <c r="N58" s="2531" t="str">
        <f ca="1">NUMBERSTRING(INT(N57*10000),2)&amp;"元整"</f>
        <v>陆仟肆佰叁拾柒万元整</v>
      </c>
      <c r="O58" s="2532"/>
    </row>
    <row r="59" spans="1:35" ht="24.75" thickBot="1">
      <c r="A59" s="3639" t="s">
        <v>1371</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37">
        <f>J57+1</f>
        <v>5</v>
      </c>
      <c r="K59" s="3635" t="s">
        <v>1372</v>
      </c>
      <c r="L59" s="2519" t="s">
        <v>1368</v>
      </c>
      <c r="M59" s="2533"/>
      <c r="N59" s="2534">
        <f ca="1">M49-N57</f>
        <v>115289</v>
      </c>
      <c r="O59" s="2535"/>
    </row>
    <row r="60" spans="1:35" ht="12" customHeight="1">
      <c r="A60" s="1808"/>
      <c r="B60" s="1746"/>
      <c r="C60" s="1746"/>
      <c r="D60" s="1746"/>
      <c r="E60" s="1577"/>
      <c r="F60" s="1807"/>
      <c r="G60" s="1807"/>
      <c r="H60" s="1809"/>
      <c r="I60" s="129"/>
      <c r="J60" s="3638"/>
      <c r="K60" s="3635"/>
      <c r="L60" s="2526" t="s">
        <v>1370</v>
      </c>
      <c r="M60" s="2530"/>
      <c r="N60" s="2531" t="str">
        <f ca="1">NUMBERSTRING(INT(N59*10000),2)&amp;"元整"</f>
        <v>壹拾壹亿伍仟贰佰捌拾玖万元整</v>
      </c>
      <c r="O60" s="2532"/>
    </row>
    <row r="61" spans="1:35" ht="13.5" thickBot="1">
      <c r="A61" s="3694" t="s">
        <v>1373</v>
      </c>
      <c r="B61" s="3694"/>
      <c r="C61" s="3694"/>
      <c r="D61" s="3694"/>
      <c r="E61" s="3694"/>
      <c r="F61" s="1807"/>
      <c r="G61" s="1807"/>
      <c r="H61" s="1809"/>
      <c r="I61" s="129"/>
      <c r="J61" s="2519">
        <f>J59+1</f>
        <v>6</v>
      </c>
      <c r="K61" s="3635" t="s">
        <v>1374</v>
      </c>
      <c r="L61" s="3635"/>
      <c r="M61" s="2536"/>
      <c r="N61" s="2537">
        <f ca="1">ROUND(N59*10000/'数据-汇总表'!E3,0)</f>
        <v>16491</v>
      </c>
      <c r="O61" s="2538"/>
    </row>
    <row r="62" spans="1:35" ht="12.75">
      <c r="A62" s="3654" t="s">
        <v>1375</v>
      </c>
      <c r="B62" s="3655"/>
      <c r="C62" s="2017"/>
      <c r="D62" s="2017" t="s">
        <v>1376</v>
      </c>
      <c r="E62" s="166" t="s">
        <v>1377</v>
      </c>
      <c r="F62" s="1807"/>
      <c r="G62" s="1807"/>
      <c r="H62" s="1809"/>
      <c r="I62" s="129"/>
    </row>
    <row r="63" spans="1:35" ht="12.75">
      <c r="A63" s="173" t="s">
        <v>330</v>
      </c>
      <c r="B63" s="167" t="s">
        <v>1378</v>
      </c>
      <c r="C63" s="2560">
        <f ca="1">ROUND((C64+C65)/(1+'数据-取费表'!C42),0)</f>
        <v>115930</v>
      </c>
      <c r="D63" s="167"/>
      <c r="E63" s="168"/>
      <c r="F63" s="1807"/>
      <c r="G63" s="1807"/>
      <c r="H63" s="1809"/>
      <c r="I63" s="129"/>
      <c r="J63" s="3618" t="s">
        <v>1379</v>
      </c>
      <c r="K63" s="1331" t="s">
        <v>1380</v>
      </c>
      <c r="L63" s="1331">
        <f ca="1">IF(M49&gt;10000,M49*0.5%,IF(AND(M49&gt;1000,M49&lt;=10000),M49*1%,IF(AND(M49&gt;100,M49&lt;=1000),M49*3%,IF(AND(M49&gt;10,M49&lt;=100),M49*5%,M49*8%))))</f>
        <v>608.63</v>
      </c>
      <c r="M63" s="302">
        <f ca="1">ROUND(L63,1)</f>
        <v>608.6</v>
      </c>
      <c r="N63" s="2539"/>
      <c r="Z63" s="1751"/>
      <c r="AI63" s="1752"/>
    </row>
    <row r="64" spans="1:35" ht="14.25" customHeight="1">
      <c r="A64" s="169" t="s">
        <v>325</v>
      </c>
      <c r="B64" s="170" t="s">
        <v>1381</v>
      </c>
      <c r="C64" s="2561">
        <f ca="1">D45</f>
        <v>121726</v>
      </c>
      <c r="D64" s="170" t="s">
        <v>26</v>
      </c>
      <c r="E64" s="172"/>
      <c r="F64" s="1807"/>
      <c r="G64" s="1807"/>
      <c r="H64" s="1809"/>
      <c r="I64" s="129"/>
      <c r="J64" s="3618"/>
      <c r="K64" s="1331" t="s">
        <v>1382</v>
      </c>
      <c r="L64" s="1331">
        <f ca="1">IF(M49&gt;2000,M49*0.5%,IF(AND(M49&gt;1000,M49&lt;=2000),M49*0.6%,IF(AND(M49&gt;500,M49&lt;=1000),M49*0.7%,IF(AND(M49&gt;200,M49&lt;=500),M49*0.8%,IF(AND(M49&gt;100,M49&lt;=200),M49*0.9%,IF(AND(M49&gt;50,M49&lt;=100),M49*1%,IF(AND(M49&gt;20,M49&lt;=50),M49*1.5%,IF(AND(M49&gt;10,M49&lt;=20),M49*2%,IF(AND(M49&gt;1,M49&lt;=10),M49*2.5%)))))))))</f>
        <v>608.63</v>
      </c>
      <c r="M64" s="302">
        <f t="shared" ref="M64:M65" ca="1" si="1">ROUND(L64,1)</f>
        <v>608.6</v>
      </c>
      <c r="N64" s="2540" t="s">
        <v>1383</v>
      </c>
      <c r="Z64" s="1751"/>
      <c r="AI64" s="1752"/>
    </row>
    <row r="65" spans="1:35" ht="14.25" customHeight="1">
      <c r="A65" s="169" t="s">
        <v>326</v>
      </c>
      <c r="B65" s="170" t="s">
        <v>1384</v>
      </c>
      <c r="C65" s="2562"/>
      <c r="D65" s="170"/>
      <c r="E65" s="172"/>
      <c r="F65" s="1807"/>
      <c r="G65" s="1807"/>
      <c r="H65" s="1809"/>
      <c r="I65" s="129"/>
      <c r="J65" s="3618"/>
      <c r="K65" s="1331" t="s">
        <v>1385</v>
      </c>
      <c r="L65" s="1331">
        <f ca="1">IF(M49&gt;1000,M49*0.1%,IF(AND(M49&gt;500,M49&lt;=1000),M49*0.5%,IF(AND(M49&gt;50,M49&lt;=500),M49*1%,IF(AND(M49&gt;1,M49&lt;=50),M49*1.5%))))</f>
        <v>121.726</v>
      </c>
      <c r="M65" s="302">
        <f t="shared" ca="1" si="1"/>
        <v>121.7</v>
      </c>
      <c r="N65" s="2540" t="s">
        <v>1383</v>
      </c>
      <c r="Z65" s="1751"/>
      <c r="AI65" s="1752"/>
    </row>
    <row r="66" spans="1:35" ht="14.25" customHeight="1">
      <c r="A66" s="173" t="s">
        <v>327</v>
      </c>
      <c r="B66" s="174" t="s">
        <v>1386</v>
      </c>
      <c r="C66" s="2563"/>
      <c r="D66" s="174" t="s">
        <v>26</v>
      </c>
      <c r="E66" s="1337" t="s">
        <v>671</v>
      </c>
      <c r="F66" s="1807"/>
      <c r="G66" s="1807"/>
      <c r="H66" s="1809"/>
      <c r="I66" s="129"/>
      <c r="J66" s="3618"/>
      <c r="K66" s="1331" t="s">
        <v>1387</v>
      </c>
      <c r="L66" s="1331">
        <f ca="1">M49*0.5%</f>
        <v>608.63</v>
      </c>
      <c r="M66" s="302">
        <f ca="1">IF(L66&gt;0.5,0.5,ROUND(L66,0))</f>
        <v>0.5</v>
      </c>
      <c r="N66" s="2540" t="s">
        <v>1388</v>
      </c>
      <c r="Z66" s="1751"/>
      <c r="AI66" s="1752"/>
    </row>
    <row r="67" spans="1:35" ht="14.25" customHeight="1">
      <c r="A67" s="173" t="s">
        <v>328</v>
      </c>
      <c r="B67" s="174" t="s">
        <v>1389</v>
      </c>
      <c r="C67" s="2564">
        <f ca="1">C63-C66</f>
        <v>115930</v>
      </c>
      <c r="D67" s="170" t="s">
        <v>26</v>
      </c>
      <c r="E67" s="172"/>
      <c r="F67" s="1807"/>
      <c r="G67" s="1807"/>
      <c r="H67" s="1809"/>
      <c r="I67" s="129"/>
      <c r="J67" s="3618"/>
      <c r="K67" s="1331" t="s">
        <v>1390</v>
      </c>
      <c r="L67" s="1331">
        <f ca="1">IF(M49&gt;=10000,(8.25+(M49-10000)*0.01%),IF(AND(M49&gt;=8000,M49&lt;10000),(7.85+(M49-8000)*0.02%),IF(AND(M49&gt;=5000,M49&lt;8000),(6.65+(M49-5000)*0.04%),IF(AND(M49&gt;=2000,M49&lt;5000),(4.25+(PM49-2000)*0.08%),IF(AND(M49&gt;=1000,M49&lt;2000),(2.75+(M49-1000)*0.15%),IF(AND(M49&gt;=100,M49&lt;1000),(0.5+(M49-100)*0.25%),IF(AND(M49&gt;0,M49&lt;100),M49*0.5%)))))))</f>
        <v>19.422600000000003</v>
      </c>
      <c r="M67" s="302">
        <f ca="1">ROUND(L67*0.9,1)</f>
        <v>17.5</v>
      </c>
      <c r="N67" s="2539"/>
      <c r="Z67" s="1751"/>
      <c r="AI67" s="1752"/>
    </row>
    <row r="68" spans="1:35" ht="14.25" customHeight="1" thickBot="1">
      <c r="A68" s="176" t="s">
        <v>329</v>
      </c>
      <c r="B68" s="177" t="s">
        <v>1391</v>
      </c>
      <c r="C68" s="2565">
        <f ca="1">IF(C67&lt;=0,0,ROUND(C67*D68,0))</f>
        <v>6376</v>
      </c>
      <c r="D68" s="2566">
        <f>'数据-取费表'!B41</f>
        <v>5.5000000000000007E-2</v>
      </c>
      <c r="E68" s="178"/>
      <c r="F68" s="1807"/>
      <c r="G68" s="1807"/>
      <c r="H68" s="1809"/>
      <c r="I68" s="129"/>
      <c r="J68" s="3618"/>
      <c r="K68" s="1331" t="s">
        <v>1392</v>
      </c>
      <c r="L68" s="1331">
        <f ca="1">IF(M49&gt;10000,M49*0.5%,IF(AND(M49&gt;5000,M49&lt;=10000),M49*1%,IF(AND(M49&gt;1000,M49&lt;=5000),M49*2%,IF(AND(M49&gt;200,M49&lt;=1000),M49*3%,M49*5%))))</f>
        <v>608.63</v>
      </c>
      <c r="M68" s="302">
        <f ca="1">ROUND(L68,1)</f>
        <v>608.6</v>
      </c>
      <c r="N68" s="2539"/>
      <c r="Z68" s="1751"/>
      <c r="AI68" s="1752"/>
    </row>
    <row r="69" spans="1:35" s="1771" customFormat="1" ht="16.5" customHeight="1">
      <c r="A69" s="1810"/>
      <c r="B69" s="1811"/>
      <c r="C69" s="1812"/>
      <c r="D69" s="1813"/>
      <c r="E69" s="1814"/>
      <c r="F69" s="1577"/>
      <c r="G69" s="1577"/>
      <c r="H69" s="1576"/>
      <c r="I69" s="1746"/>
      <c r="J69" s="3618"/>
      <c r="K69" s="1331" t="s">
        <v>1393</v>
      </c>
      <c r="L69" s="1331"/>
      <c r="M69" s="302">
        <f ca="1">ROUND(SUM(M63:M68),0)</f>
        <v>1966</v>
      </c>
      <c r="N69" s="2541">
        <f ca="1">M69/M49</f>
        <v>1.6151027717989583E-2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62" t="s">
        <v>1394</v>
      </c>
      <c r="B70" s="3663"/>
      <c r="C70" s="3663"/>
      <c r="D70" s="3663"/>
      <c r="E70" s="3663"/>
      <c r="F70" s="3663"/>
      <c r="G70" s="3663"/>
      <c r="H70" s="366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4" t="s">
        <v>1375</v>
      </c>
      <c r="B71" s="3655"/>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4">
        <f ca="1">ROUND(D45/(1+'数据-取费表'!C42),0)</f>
        <v>115930</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4">
        <f ca="1">C74+C78</f>
        <v>580</v>
      </c>
      <c r="D73" s="170" t="s">
        <v>26</v>
      </c>
      <c r="E73" s="2327"/>
      <c r="F73" s="2326"/>
      <c r="G73" s="2326"/>
      <c r="H73" s="182"/>
      <c r="I73" s="1819"/>
      <c r="J73" s="1817"/>
      <c r="K73" s="1817"/>
      <c r="L73" s="3503" t="s">
        <v>5015</v>
      </c>
      <c r="M73" s="3503" t="s">
        <v>5019</v>
      </c>
      <c r="N73" s="3503"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503" t="s">
        <v>5016</v>
      </c>
      <c r="L74" s="1817">
        <v>19188</v>
      </c>
      <c r="M74" s="1817">
        <f>'数据-汇总表'!F19</f>
        <v>42310.899999999994</v>
      </c>
      <c r="N74" s="1817">
        <f>ROUND(L74*M74/10000,4)</f>
        <v>81186.154899999994</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7"/>
      <c r="D75" s="170" t="s">
        <v>26</v>
      </c>
      <c r="E75" s="184" t="s">
        <v>1399</v>
      </c>
      <c r="F75" s="2568"/>
      <c r="G75" s="184" t="s">
        <v>1400</v>
      </c>
      <c r="H75" s="2569"/>
      <c r="I75" s="1820"/>
      <c r="J75" s="1817"/>
      <c r="K75" s="3503"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59" t="s">
        <v>1402</v>
      </c>
      <c r="F76" s="3658"/>
      <c r="G76" s="3658"/>
      <c r="H76" s="3661"/>
      <c r="I76" s="1819"/>
      <c r="J76" s="1817"/>
      <c r="K76" s="3503"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83980.069999999992</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580</v>
      </c>
      <c r="D78" s="2573">
        <f>'数据-取费表'!B43</f>
        <v>5.000000000000001E-3</v>
      </c>
      <c r="E78" s="3651" t="s">
        <v>1406</v>
      </c>
      <c r="F78" s="3652"/>
      <c r="G78" s="3652"/>
      <c r="H78" s="365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4">
        <f ca="1">C72-C73</f>
        <v>115350</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198.87931034482759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5">
        <f ca="1">ROUND(IF(C79&lt;=0,0,IF(C80&gt;=200%,C79*60%-C73*35%,IF(C80&gt;=100%,C79*50%-C73*15%,IF(C80&gt;=50%,C79*40%-C73*5%,IF(C80&lt;50%,C79*30%,0))))),0)</f>
        <v>69007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62" t="s">
        <v>1410</v>
      </c>
      <c r="B83" s="3663"/>
      <c r="C83" s="3663"/>
      <c r="D83" s="3663"/>
      <c r="E83" s="3663"/>
      <c r="F83" s="3663"/>
      <c r="G83" s="3663"/>
      <c r="H83" s="366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4" t="s">
        <v>1375</v>
      </c>
      <c r="B84" s="3655"/>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4">
        <f ca="1">ROUND(D45/(1+'数据-取费表'!C42),0)</f>
        <v>115930</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4">
        <f ca="1">IF(H88="仅含出让金",C87+C90+C91+C92+C93+C94,C87+C91+C92+C93+C94)</f>
        <v>134874.07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2">
        <f>C88+C89</f>
        <v>86541.069999999992</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8">
        <f>N77</f>
        <v>83980.069999999992</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2">
        <f>ROUND(C88*D89,0)</f>
        <v>2561</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8"/>
      <c r="D90" s="2573"/>
      <c r="E90" s="193" t="str">
        <f>IF(H88="-","土地取得成本中已包含该笔费用"," ")</f>
        <v xml:space="preserve"> </v>
      </c>
      <c r="F90" s="2323"/>
      <c r="G90" s="3620" t="s">
        <v>2129</v>
      </c>
      <c r="H90" s="3621"/>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16762</v>
      </c>
      <c r="D91" s="2573"/>
      <c r="E91" s="3651" t="s">
        <v>1419</v>
      </c>
      <c r="F91" s="3652"/>
      <c r="G91" s="3652"/>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10330</v>
      </c>
      <c r="D92" s="2579">
        <v>0.1</v>
      </c>
      <c r="E92" s="3651" t="s">
        <v>1422</v>
      </c>
      <c r="F92" s="3652"/>
      <c r="G92" s="3652"/>
      <c r="H92" s="3653"/>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580</v>
      </c>
      <c r="D93" s="2573">
        <f>'数据-取费表'!B43</f>
        <v>5.000000000000001E-3</v>
      </c>
      <c r="E93" s="3651" t="s">
        <v>1406</v>
      </c>
      <c r="F93" s="3652"/>
      <c r="G93" s="3652"/>
      <c r="H93" s="365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20661</v>
      </c>
      <c r="D94" s="2573">
        <v>0.2</v>
      </c>
      <c r="E94" s="3696" t="s">
        <v>1426</v>
      </c>
      <c r="F94" s="3697"/>
      <c r="G94" s="3697"/>
      <c r="H94" s="369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4">
        <f ca="1">ROUND(C85-C86,0)</f>
        <v>-18944</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81" t="str">
        <f>C4</f>
        <v>成本法</v>
      </c>
      <c r="D101" s="2582" t="str">
        <f>D4</f>
        <v>假设开发法</v>
      </c>
      <c r="E101" s="3614" t="s">
        <v>1431</v>
      </c>
      <c r="F101" s="3615"/>
      <c r="G101" s="1826" t="s">
        <v>1432</v>
      </c>
      <c r="H101" s="2591">
        <f ca="1">H118</f>
        <v>121726</v>
      </c>
      <c r="I101" s="129"/>
    </row>
    <row r="102" spans="1:35" ht="18.75" customHeight="1">
      <c r="A102" s="3646" t="s">
        <v>1433</v>
      </c>
      <c r="B102" s="2580" t="s">
        <v>1432</v>
      </c>
      <c r="C102" s="2581">
        <f ca="1">IF(D32="楼面单价",ROUND(C19,0),C19)</f>
        <v>122501</v>
      </c>
      <c r="D102" s="2582">
        <f ca="1">IF(D32="楼面单价",ROUND(D19,0),D19)</f>
        <v>120951</v>
      </c>
      <c r="E102" s="3614"/>
      <c r="F102" s="3615"/>
      <c r="G102" s="1826" t="s">
        <v>1434</v>
      </c>
      <c r="H102" s="2551">
        <f ca="1">I118</f>
        <v>17412</v>
      </c>
      <c r="I102" s="129"/>
    </row>
    <row r="103" spans="1:35" ht="42.75" customHeight="1">
      <c r="A103" s="3646"/>
      <c r="B103" s="2580" t="s">
        <v>1434</v>
      </c>
      <c r="C103" s="2583">
        <f ca="1">C20</f>
        <v>17523</v>
      </c>
      <c r="D103" s="2584">
        <f ca="1">D20</f>
        <v>17301</v>
      </c>
      <c r="E103" s="3607" t="s">
        <v>1435</v>
      </c>
      <c r="F103" s="3608"/>
      <c r="G103" s="1827" t="s">
        <v>1436</v>
      </c>
      <c r="H103" s="2591">
        <f>IF(D36="正常操作",H104+H105+H106,H105+H106)</f>
        <v>0</v>
      </c>
      <c r="I103" s="129"/>
    </row>
    <row r="104" spans="1:35" ht="18.75" customHeight="1">
      <c r="A104" s="3646" t="s">
        <v>1437</v>
      </c>
      <c r="B104" s="2585" t="s">
        <v>1432</v>
      </c>
      <c r="C104" s="2586">
        <f ca="1">H118</f>
        <v>121726</v>
      </c>
      <c r="D104" s="2587"/>
      <c r="E104" s="1673" t="s">
        <v>1438</v>
      </c>
      <c r="F104" s="1665"/>
      <c r="G104" s="1827" t="s">
        <v>1436</v>
      </c>
      <c r="H104" s="2592">
        <f>IF(D36="同一抵押权人同一抵押物续贷",C36&amp;"（续贷，未扣减，详见特别提示）",C36)</f>
        <v>0</v>
      </c>
      <c r="I104" s="129"/>
    </row>
    <row r="105" spans="1:35" ht="18.75" customHeight="1" thickBot="1">
      <c r="A105" s="3656"/>
      <c r="B105" s="2588" t="s">
        <v>1434</v>
      </c>
      <c r="C105" s="2589">
        <f ca="1">I118</f>
        <v>17412</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47" t="str">
        <f>IF(项目基本情况!E8="已注销","——","3.房地产抵押价值")</f>
        <v>3.房地产抵押价值</v>
      </c>
      <c r="F107" s="3615"/>
      <c r="G107" s="1826" t="s">
        <v>1432</v>
      </c>
      <c r="H107" s="2591">
        <f ca="1">IF(E107="——","——",H101-H103)</f>
        <v>121726</v>
      </c>
      <c r="I107" s="129"/>
    </row>
    <row r="108" spans="1:35" ht="18.75" customHeight="1">
      <c r="A108" s="129"/>
      <c r="B108" s="129"/>
      <c r="C108" s="129"/>
      <c r="D108" s="129"/>
      <c r="E108" s="3647"/>
      <c r="F108" s="3615"/>
      <c r="G108" s="1826" t="s">
        <v>1434</v>
      </c>
      <c r="H108" s="2551">
        <f ca="1">IF(H107=H101,H102,ROUND(H107*10000/'数据-汇总表'!E3,0))</f>
        <v>17412</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6" t="s">
        <v>1432</v>
      </c>
      <c r="H109" s="2594" t="str">
        <f>IF(E109="——","——",H101-H105-H106)</f>
        <v>——</v>
      </c>
      <c r="I109" s="129"/>
    </row>
    <row r="110" spans="1:35" ht="18.75" customHeight="1">
      <c r="A110" s="129"/>
      <c r="B110" s="129"/>
      <c r="C110" s="129"/>
      <c r="D110" s="129"/>
      <c r="E110" s="3647"/>
      <c r="F110" s="3615"/>
      <c r="G110" s="1826" t="s">
        <v>1434</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6" t="s">
        <v>1432</v>
      </c>
      <c r="H111" s="2591">
        <f ca="1">IF(E111="——","——",N59)</f>
        <v>115289</v>
      </c>
      <c r="I111" s="129"/>
      <c r="K111" s="3510" t="s">
        <v>5034</v>
      </c>
      <c r="L111" s="3510" t="s">
        <v>5035</v>
      </c>
    </row>
    <row r="112" spans="1:35" ht="18.75" customHeight="1" thickBot="1">
      <c r="A112" s="129"/>
      <c r="B112" s="129"/>
      <c r="C112" s="129"/>
      <c r="D112" s="129"/>
      <c r="E112" s="3649"/>
      <c r="F112" s="3650"/>
      <c r="G112" s="1829" t="s">
        <v>1434</v>
      </c>
      <c r="H112" s="2595">
        <f ca="1">IF(E111="——","——",N61)</f>
        <v>16491</v>
      </c>
      <c r="I112" s="129"/>
      <c r="K112" s="725">
        <f ca="1">ROUND(E118*土地分摊表!K187/10000,0)</f>
        <v>24359</v>
      </c>
      <c r="L112" s="725">
        <f ca="1">H118-K112</f>
        <v>97367</v>
      </c>
    </row>
    <row r="113" spans="1:27" ht="18.75" customHeight="1">
      <c r="A113" s="129"/>
      <c r="B113" s="129"/>
      <c r="C113" s="129"/>
      <c r="D113" s="129"/>
      <c r="E113" s="3657" t="s">
        <v>1440</v>
      </c>
      <c r="F113" s="3657"/>
      <c r="G113" s="3657"/>
      <c r="H113" s="3657"/>
      <c r="I113" s="129"/>
    </row>
    <row r="114" spans="1:27" ht="3.75" customHeight="1">
      <c r="A114" s="1746"/>
      <c r="B114" s="1746"/>
      <c r="C114" s="1746"/>
      <c r="D114" s="1746"/>
      <c r="E114" s="1808"/>
      <c r="F114" s="1808"/>
      <c r="G114" s="1808"/>
      <c r="H114" s="1808"/>
      <c r="I114" s="1746"/>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69908.279999999955</v>
      </c>
      <c r="C118" s="2325">
        <f>M19</f>
        <v>22768.44</v>
      </c>
      <c r="D118" s="2325">
        <f ca="1">ROUND(IF(D32="总价",C34,E118*B118/10000),0)</f>
        <v>101033</v>
      </c>
      <c r="E118" s="2325">
        <f ca="1">ROUND(IF(C33="自定义",IF(D32="楼面单价",C34,D118*10000/B118),I118-G118),0)</f>
        <v>14452</v>
      </c>
      <c r="F118" s="2325">
        <f ca="1">ROUND(IF(D32="总价",C35,G118*B118/10000),0)</f>
        <v>20693</v>
      </c>
      <c r="G118" s="2325">
        <f ca="1">ROUND(IF(D32="楼面单价",C35,F118*10000/B118),0)</f>
        <v>2960</v>
      </c>
      <c r="H118" s="2325">
        <f ca="1">ROUND(IF(D32="总价",C32,I118*B118/10000),0)</f>
        <v>121726</v>
      </c>
      <c r="I118" s="2325">
        <f ca="1">ROUND(IF(D32="楼面单价",C32,H118*10000/B118),0)</f>
        <v>17412</v>
      </c>
    </row>
    <row r="119" spans="1:27" ht="18.75" customHeight="1">
      <c r="A119" s="3622" t="s">
        <v>1452</v>
      </c>
      <c r="B119" s="3622"/>
      <c r="C119" s="3622"/>
      <c r="D119" s="3628" t="str">
        <f ca="1">NUMBERSTRING(INT(D118*10000),2)&amp;"元整"</f>
        <v>壹拾亿壹仟零叁拾叁万元整</v>
      </c>
      <c r="E119" s="3629"/>
      <c r="F119" s="3628" t="str">
        <f ca="1">NUMBERSTRING(INT(F118*10000),2)&amp;"元整"</f>
        <v>贰亿零陆佰玖拾叁万元整</v>
      </c>
      <c r="G119" s="3629"/>
      <c r="H119" s="3628" t="str">
        <f ca="1">NUMBERSTRING(INT(H118*10000),2)&amp;"元整"</f>
        <v>壹拾贰亿壹仟柒佰贰拾陆万元整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30"/>
      <c r="C121" s="3629"/>
      <c r="D121" s="3628" t="str">
        <f>IF(D120=0,"零元整",NUMBERSTRING(INT(D120*10000),2)&amp;"元整")</f>
        <v>零元整</v>
      </c>
      <c r="E121" s="3630"/>
      <c r="F121" s="3630"/>
      <c r="G121" s="3630"/>
      <c r="H121" s="3630"/>
      <c r="I121" s="3629"/>
      <c r="AA121" s="725"/>
    </row>
    <row r="122" spans="1:27" ht="18.75" customHeight="1">
      <c r="A122" s="3634" t="str">
        <f>IF(项目基本情况!B9="房地产市场价值","",MID(E107,3,LEN(E107)-2))</f>
        <v>房地产抵押价值</v>
      </c>
      <c r="B122" s="3634"/>
      <c r="C122" s="3634"/>
      <c r="D122" s="3623">
        <f ca="1">H107</f>
        <v>121726</v>
      </c>
      <c r="E122" s="3624"/>
      <c r="F122" s="3624"/>
      <c r="G122" s="3624"/>
      <c r="H122" s="3624"/>
      <c r="I122" s="3625"/>
      <c r="J122" s="3512" t="s">
        <v>5044</v>
      </c>
      <c r="K122" s="3511"/>
      <c r="L122" s="3512" t="s">
        <v>5039</v>
      </c>
      <c r="M122" s="3512" t="s">
        <v>5040</v>
      </c>
      <c r="N122" s="3512" t="s">
        <v>5041</v>
      </c>
      <c r="O122" s="3512" t="s">
        <v>5042</v>
      </c>
      <c r="P122" s="3512" t="s">
        <v>5043</v>
      </c>
      <c r="AA122" s="725"/>
    </row>
    <row r="123" spans="1:27" ht="18.75" customHeight="1">
      <c r="A123" s="3622" t="s">
        <v>1452</v>
      </c>
      <c r="B123" s="3622"/>
      <c r="C123" s="3622"/>
      <c r="D123" s="3628" t="str">
        <f ca="1">NUMBERSTRING(INT(D122*10000),2)&amp;"元整"</f>
        <v>壹拾贰亿壹仟柒佰贰拾陆万元整</v>
      </c>
      <c r="E123" s="3630"/>
      <c r="F123" s="3630"/>
      <c r="G123" s="3630"/>
      <c r="H123" s="3630"/>
      <c r="I123" s="3629"/>
      <c r="K123" s="3512" t="s">
        <v>5036</v>
      </c>
      <c r="L123" s="3511">
        <f>'土地比较法-住宅、综合'!F56</f>
        <v>80657</v>
      </c>
      <c r="M123" s="3511">
        <f>L123/L126</f>
        <v>0.9726851740189576</v>
      </c>
      <c r="N123" s="3511">
        <f ca="1">M123*D118</f>
        <v>98273.301186657336</v>
      </c>
      <c r="O123" s="3511">
        <f>土地分摊表!K187/'数据-汇总表'!F19</f>
        <v>0.39835739726642549</v>
      </c>
      <c r="P123" s="3511">
        <f ca="1">N123*O123</f>
        <v>39147.89648149634</v>
      </c>
      <c r="AA123" s="725"/>
    </row>
    <row r="124" spans="1:27" ht="18.75" customHeight="1">
      <c r="A124" s="3634" t="str">
        <f>IF(项目基本情况!B9="房地产市场价值","",MID(E109,3,LEN(E109)-2))</f>
        <v/>
      </c>
      <c r="B124" s="3634"/>
      <c r="C124" s="3634"/>
      <c r="D124" s="3623" t="str">
        <f>H109</f>
        <v>——</v>
      </c>
      <c r="E124" s="3624"/>
      <c r="F124" s="3624"/>
      <c r="G124" s="3624"/>
      <c r="H124" s="3624"/>
      <c r="I124" s="3625"/>
      <c r="K124" s="3512" t="s">
        <v>5037</v>
      </c>
      <c r="L124" s="3511">
        <f>'土地比较法-住宅、综合'!F62</f>
        <v>1534</v>
      </c>
      <c r="M124" s="3511"/>
      <c r="N124" s="3511"/>
      <c r="O124" s="3511"/>
      <c r="P124" s="3511"/>
      <c r="AA124" s="725"/>
    </row>
    <row r="125" spans="1:27" ht="18.75" customHeight="1">
      <c r="A125" s="3622" t="s">
        <v>1452</v>
      </c>
      <c r="B125" s="3622"/>
      <c r="C125" s="3622"/>
      <c r="D125" s="3628" t="e">
        <f>NUMBERSTRING(INT(D124*10000),2)&amp;"元整"</f>
        <v>#VALUE!</v>
      </c>
      <c r="E125" s="3630"/>
      <c r="F125" s="3630"/>
      <c r="G125" s="3630"/>
      <c r="H125" s="3630"/>
      <c r="I125" s="3629"/>
      <c r="K125" s="3512" t="s">
        <v>5038</v>
      </c>
      <c r="L125" s="3511">
        <f>'土地比较法-住宅、综合'!F61</f>
        <v>731</v>
      </c>
      <c r="M125" s="3511"/>
      <c r="N125" s="3511"/>
      <c r="O125" s="3511"/>
      <c r="P125" s="3511"/>
      <c r="AA125" s="725"/>
    </row>
    <row r="126" spans="1:27" ht="18.75" customHeight="1">
      <c r="A126" s="3634" t="str">
        <f>IF(项目基本情况!B9="房地产市场价值","",MID(E111,3,LEN(E111)-2))</f>
        <v>抵押净值</v>
      </c>
      <c r="B126" s="3634"/>
      <c r="C126" s="3634"/>
      <c r="D126" s="3623">
        <f ca="1">H111</f>
        <v>115289</v>
      </c>
      <c r="E126" s="3624"/>
      <c r="F126" s="3624"/>
      <c r="G126" s="3624"/>
      <c r="H126" s="3624"/>
      <c r="I126" s="3625"/>
      <c r="K126" s="3511"/>
      <c r="L126" s="3511">
        <f>L123+L124+L125</f>
        <v>82922</v>
      </c>
      <c r="M126" s="3511"/>
      <c r="N126" s="3511"/>
      <c r="O126" s="3511"/>
      <c r="P126" s="3511"/>
      <c r="AA126" s="725"/>
    </row>
    <row r="127" spans="1:27" ht="18.75" customHeight="1">
      <c r="A127" s="3622" t="s">
        <v>1452</v>
      </c>
      <c r="B127" s="3622"/>
      <c r="C127" s="3622"/>
      <c r="D127" s="3628" t="str">
        <f ca="1">NUMBERSTRING(INT(D126*10000),2)&amp;"元整"</f>
        <v>壹拾壹亿伍仟贰佰捌拾玖万元整</v>
      </c>
      <c r="E127" s="3630"/>
      <c r="F127" s="3630"/>
      <c r="G127" s="3630"/>
      <c r="H127" s="3630"/>
      <c r="I127" s="3629"/>
      <c r="AA127" s="725"/>
    </row>
    <row r="128" spans="1:27" ht="21.75" customHeight="1">
      <c r="A128" s="3631" t="s">
        <v>1453</v>
      </c>
      <c r="B128" s="3631"/>
      <c r="C128" s="3631"/>
      <c r="D128" s="3631"/>
      <c r="E128" s="3631"/>
      <c r="F128" s="3631"/>
      <c r="G128" s="3631"/>
      <c r="H128" s="3631"/>
      <c r="I128" s="363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7" sqref="L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122501</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17523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85451</v>
      </c>
      <c r="D5" s="211" t="s">
        <v>1469</v>
      </c>
      <c r="E5" s="212" t="s">
        <v>1470</v>
      </c>
      <c r="F5" s="212" t="s">
        <v>1471</v>
      </c>
      <c r="G5" s="213"/>
    </row>
    <row r="6" spans="1:9" s="214" customFormat="1" ht="13.5" customHeight="1">
      <c r="A6" s="778" t="s">
        <v>1472</v>
      </c>
      <c r="B6" s="215" t="s">
        <v>1473</v>
      </c>
      <c r="C6" s="216">
        <f>'土地比较法-住宅、综合'!B2</f>
        <v>82922</v>
      </c>
      <c r="D6" s="217"/>
      <c r="E6" s="218"/>
      <c r="F6" s="218"/>
      <c r="G6" s="219"/>
    </row>
    <row r="7" spans="1:9" s="214" customFormat="1" ht="13.5" customHeight="1">
      <c r="A7" s="778" t="s">
        <v>1474</v>
      </c>
      <c r="B7" s="215" t="s">
        <v>1475</v>
      </c>
      <c r="C7" s="220">
        <f>ROUND(C6*F7,0)</f>
        <v>2529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5026</v>
      </c>
    </row>
    <row r="9" spans="1:9" s="214" customFormat="1" ht="13.5" customHeight="1">
      <c r="A9" s="779" t="s">
        <v>355</v>
      </c>
      <c r="B9" s="224" t="s">
        <v>1478</v>
      </c>
      <c r="C9" s="225">
        <f ca="1">ROUND(D9*E9/10000,0)</f>
        <v>0</v>
      </c>
      <c r="D9" s="845">
        <f ca="1">IF(B1="",'数据-汇总表'!E5,IF(INDIRECT("'数据-取费表'!c"&amp;$G$1)="住宅",INDIRECT("'数据-取费表'!k"&amp;$G$1),0))</f>
        <v>42310.899999999994</v>
      </c>
      <c r="E9" s="225">
        <f>'数据-取费表'!B27</f>
        <v>0</v>
      </c>
      <c r="F9" s="221"/>
      <c r="G9" s="1856" t="s">
        <v>5027</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69908.279999999955</v>
      </c>
      <c r="E19" s="211">
        <f>'数据-取费表'!B31</f>
        <v>100</v>
      </c>
      <c r="F19" s="231"/>
      <c r="G19" s="1855" t="s">
        <v>5022</v>
      </c>
    </row>
    <row r="20" spans="1:7" s="214" customFormat="1" ht="13.5" customHeight="1">
      <c r="A20" s="255" t="s">
        <v>1493</v>
      </c>
      <c r="B20" s="210" t="s">
        <v>1494</v>
      </c>
      <c r="C20" s="232">
        <f>ROUND((C5+C19)*F20,0)</f>
        <v>1709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2998</v>
      </c>
      <c r="D22" s="235">
        <f ca="1">C26</f>
        <v>2.9999999999999997E-4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4027</v>
      </c>
      <c r="D27" s="235">
        <f ca="1">C29</f>
        <v>8.9999999999999998E-4</v>
      </c>
      <c r="E27" s="236" t="s">
        <v>1514</v>
      </c>
      <c r="F27" s="246">
        <f ca="1">IF(B1="",'数据-取费表'!Q16,INDIRECT("'数据-取费表'!q"&amp;$G$1))</f>
        <v>0.11</v>
      </c>
      <c r="G27" s="247" t="s">
        <v>1515</v>
      </c>
    </row>
    <row r="28" spans="1:7" s="214" customFormat="1" ht="13.5" customHeight="1">
      <c r="A28" s="780" t="s">
        <v>346</v>
      </c>
      <c r="B28" s="248" t="s">
        <v>1516</v>
      </c>
      <c r="C28" s="249">
        <f ca="1">ROUND((C5+C19+C20)*F27*'数据-取费表'!B21/'数据-取费表'!B20,0)</f>
        <v>4027</v>
      </c>
      <c r="D28" s="235"/>
      <c r="E28" s="236"/>
      <c r="F28" s="246"/>
      <c r="G28" s="247"/>
    </row>
    <row r="29" spans="1:7" s="214" customFormat="1" ht="13.5" customHeight="1">
      <c r="A29" s="780" t="s">
        <v>347</v>
      </c>
      <c r="B29" s="248" t="s">
        <v>1517</v>
      </c>
      <c r="C29" s="238">
        <f ca="1">ROUND(C21*F27*'数据-取费表'!B21/'数据-取费表'!B20,4)</f>
        <v>8.9999999999999998E-4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101668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16762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15052</v>
      </c>
      <c r="D34" s="217"/>
      <c r="E34" s="220"/>
      <c r="F34" s="257">
        <f ca="1">IF('数据-取费表'!B24=0,1,IF(B1="",'数据-取费表'!N16,INDIRECT("'数据-取费表'!n"&amp;$G$1)))</f>
        <v>0.42199999999999999</v>
      </c>
      <c r="G34" s="219" t="s">
        <v>1526</v>
      </c>
    </row>
    <row r="35" spans="1:7" ht="13.5" customHeight="1">
      <c r="A35" s="780" t="s">
        <v>351</v>
      </c>
      <c r="B35" s="215" t="s">
        <v>1527</v>
      </c>
      <c r="C35" s="220">
        <f ca="1">ROUND(C34*F35,0)</f>
        <v>452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442</v>
      </c>
      <c r="D36" s="220"/>
      <c r="E36" s="220"/>
      <c r="F36" s="259">
        <f>'数据-取费表'!B34</f>
        <v>0.05</v>
      </c>
      <c r="G36" s="260" t="s">
        <v>1530</v>
      </c>
    </row>
    <row r="37" spans="1:7" s="258" customFormat="1" ht="13.5" customHeight="1">
      <c r="A37" s="780" t="s">
        <v>353</v>
      </c>
      <c r="B37" s="215" t="s">
        <v>1531</v>
      </c>
      <c r="C37" s="249">
        <f ca="1">ROUND(E37*D37*F34/10000,0)</f>
        <v>590</v>
      </c>
      <c r="D37" s="217">
        <f ca="1">D19</f>
        <v>69908.279999999955</v>
      </c>
      <c r="E37" s="249">
        <f>'数据-取费表'!B35</f>
        <v>200</v>
      </c>
      <c r="F37" s="259"/>
      <c r="G37" s="261" t="s">
        <v>1532</v>
      </c>
    </row>
    <row r="38" spans="1:7" ht="13.5" customHeight="1">
      <c r="A38" s="780" t="s">
        <v>354</v>
      </c>
      <c r="B38" s="215" t="s">
        <v>1533</v>
      </c>
      <c r="C38" s="220">
        <f ca="1">ROUND(C34*F38,0)</f>
        <v>226</v>
      </c>
      <c r="D38" s="220"/>
      <c r="E38" s="220"/>
      <c r="F38" s="259">
        <f>'数据-取费表'!B36</f>
        <v>1.4999999999999999E-2</v>
      </c>
      <c r="G38" s="219" t="s">
        <v>1528</v>
      </c>
    </row>
    <row r="39" spans="1:7" s="214" customFormat="1" ht="13.5" customHeight="1">
      <c r="A39" s="255" t="s">
        <v>1534</v>
      </c>
      <c r="B39" s="210" t="s">
        <v>1535</v>
      </c>
      <c r="C39" s="232">
        <f ca="1">ROUND(C33*F20,0)</f>
        <v>335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295</v>
      </c>
      <c r="D41" s="235">
        <f ca="1">C44</f>
        <v>2.9999999999999997E-4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289</v>
      </c>
      <c r="D42" s="238"/>
      <c r="E42" s="238"/>
      <c r="F42" s="239"/>
      <c r="G42" s="3701" t="s">
        <v>1544</v>
      </c>
    </row>
    <row r="43" spans="1:7" ht="13.5" customHeight="1">
      <c r="A43" s="780" t="s">
        <v>347</v>
      </c>
      <c r="B43" s="215" t="s">
        <v>1545</v>
      </c>
      <c r="C43" s="238">
        <f ca="1">ROUND(IF('数据-取费表'!B22&lt;=1,C39*F22*'数据-取费表'!B21/2,C39*(POWER((1+F22),'数据-取费表'!B21/2)-1)),0)</f>
        <v>6</v>
      </c>
      <c r="D43" s="238"/>
      <c r="E43" s="238"/>
      <c r="F43" s="239"/>
      <c r="G43" s="3702"/>
    </row>
    <row r="44" spans="1:7" ht="13.5" customHeight="1">
      <c r="A44" s="780" t="s">
        <v>348</v>
      </c>
      <c r="B44" s="215" t="s">
        <v>1546</v>
      </c>
      <c r="C44" s="238">
        <f ca="1">ROUND(IF('数据-取费表'!B22&lt;=1,C40*F22*'数据-取费表'!B21/2,C40*(POWER((1+F22),'数据-取费表'!B21/2)-1)),4)</f>
        <v>2.9999999999999997E-4</v>
      </c>
      <c r="D44" s="238"/>
      <c r="E44" s="238"/>
      <c r="F44" s="239"/>
      <c r="G44" s="3703"/>
    </row>
    <row r="45" spans="1:7" s="214" customFormat="1" ht="13.5" customHeight="1">
      <c r="A45" s="255" t="s">
        <v>1547</v>
      </c>
      <c r="B45" s="244" t="s">
        <v>1513</v>
      </c>
      <c r="C45" s="245">
        <f ca="1">C46</f>
        <v>1881</v>
      </c>
      <c r="D45" s="235">
        <f ca="1">C47</f>
        <v>2.2000000000000001E-3</v>
      </c>
      <c r="E45" s="236" t="s">
        <v>1539</v>
      </c>
      <c r="F45" s="246">
        <f ca="1">F27</f>
        <v>0.11</v>
      </c>
      <c r="G45" s="247" t="s">
        <v>1548</v>
      </c>
    </row>
    <row r="46" spans="1:7" s="214" customFormat="1" ht="13.5" customHeight="1">
      <c r="A46" s="780" t="s">
        <v>346</v>
      </c>
      <c r="B46" s="248" t="s">
        <v>1549</v>
      </c>
      <c r="C46" s="249">
        <f ca="1">ROUND((C33+C39)*F27,0)</f>
        <v>1881</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20833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20833</v>
      </c>
      <c r="D51" s="232"/>
      <c r="E51" s="232"/>
      <c r="F51" s="264"/>
      <c r="G51" s="234" t="s">
        <v>1560</v>
      </c>
    </row>
    <row r="52" spans="1:7" s="208" customFormat="1" ht="16.5" thickBot="1">
      <c r="A52" s="265" t="s">
        <v>1561</v>
      </c>
      <c r="B52" s="266"/>
      <c r="C52" s="267">
        <f ca="1">C31+C51</f>
        <v>122501</v>
      </c>
      <c r="D52" s="266"/>
      <c r="E52" s="266"/>
      <c r="F52" s="266"/>
      <c r="G52" s="268"/>
    </row>
    <row r="55" spans="1:7" ht="15">
      <c r="B55" s="270" t="s">
        <v>1562</v>
      </c>
      <c r="C55" s="271"/>
    </row>
    <row r="56" spans="1:7">
      <c r="B56" s="273" t="s">
        <v>802</v>
      </c>
      <c r="C56" s="275">
        <f ca="1">1-C57</f>
        <v>0.83</v>
      </c>
    </row>
    <row r="57" spans="1:7">
      <c r="B57" s="273" t="s">
        <v>803</v>
      </c>
      <c r="C57" s="274">
        <f ca="1">ROUND(C51/C52,3)</f>
        <v>0.17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51552.266000000003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7374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42310.899999999994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6990828</v>
      </c>
      <c r="D19" s="849">
        <f ca="1">D9+D10</f>
        <v>69908.279999999955</v>
      </c>
      <c r="E19" s="211">
        <f>'数据-取费表'!B31</f>
        <v>100</v>
      </c>
      <c r="F19" s="231"/>
      <c r="G19" s="1855"/>
    </row>
    <row r="20" spans="1:7" s="214" customFormat="1" ht="13.5" customHeight="1">
      <c r="A20" s="255" t="s">
        <v>1574</v>
      </c>
      <c r="B20" s="210" t="s">
        <v>1575</v>
      </c>
      <c r="C20" s="232">
        <f ca="1">ROUND((C5+C19)*F20,0)</f>
        <v>139817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598081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592279</v>
      </c>
      <c r="D24" s="238"/>
      <c r="E24" s="238"/>
      <c r="F24" s="239"/>
      <c r="G24" s="240" t="s">
        <v>1586</v>
      </c>
    </row>
    <row r="25" spans="1:7" s="214" customFormat="1" ht="24">
      <c r="A25" s="780" t="s">
        <v>1476</v>
      </c>
      <c r="B25" s="215" t="s">
        <v>1587</v>
      </c>
      <c r="C25" s="1128">
        <f ca="1">ROUND(IF('数据-取费表'!B22&lt;=1,C20*F22*'数据-取费表'!B22/2,C20*(POWER((1+F22),'数据-取费表'!B22/2)-1)),0)</f>
        <v>5802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784371</v>
      </c>
      <c r="D27" s="235">
        <f ca="1">C29</f>
        <v>2.2000000000000001E-3</v>
      </c>
      <c r="E27" s="236" t="s">
        <v>1514</v>
      </c>
      <c r="F27" s="246">
        <f ca="1">IF(B1="",'数据-取费表'!Q16,INDIRECT("'数据-取费表'!q"&amp;$G$1))</f>
        <v>0.11</v>
      </c>
      <c r="G27" s="247" t="s">
        <v>1515</v>
      </c>
    </row>
    <row r="28" spans="1:7" s="214" customFormat="1" ht="13.5" customHeight="1">
      <c r="A28" s="780" t="s">
        <v>346</v>
      </c>
      <c r="B28" s="248" t="s">
        <v>1516</v>
      </c>
      <c r="C28" s="249">
        <f ca="1">ROUND((C5+C19+C20)*F27,0)</f>
        <v>784371</v>
      </c>
      <c r="D28" s="235"/>
      <c r="E28" s="236"/>
      <c r="F28" s="246"/>
      <c r="G28" s="247"/>
    </row>
    <row r="29" spans="1:7" s="214" customFormat="1" ht="13.5" customHeight="1">
      <c r="A29" s="780" t="s">
        <v>347</v>
      </c>
      <c r="B29" s="248" t="s">
        <v>1517</v>
      </c>
      <c r="C29" s="238">
        <f ca="1">ROUND(C21*F27,4)</f>
        <v>2.2000000000000001E-3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9207330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398575731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356898160</v>
      </c>
      <c r="D34" s="217"/>
      <c r="E34" s="220"/>
      <c r="F34" s="257"/>
      <c r="G34" s="219"/>
    </row>
    <row r="35" spans="1:7" ht="13.5" customHeight="1">
      <c r="A35" s="780" t="s">
        <v>351</v>
      </c>
      <c r="B35" s="215" t="s">
        <v>1527</v>
      </c>
      <c r="C35" s="220">
        <f ca="1">ROUND(C34*F35,0)</f>
        <v>10706945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11635498</v>
      </c>
      <c r="D36" s="220"/>
      <c r="E36" s="220"/>
      <c r="F36" s="259">
        <f>'数据-取费表'!B34</f>
        <v>0.05</v>
      </c>
      <c r="G36" s="260" t="s">
        <v>1530</v>
      </c>
    </row>
    <row r="37" spans="1:7" s="258" customFormat="1" ht="13.5" customHeight="1">
      <c r="A37" s="780" t="s">
        <v>353</v>
      </c>
      <c r="B37" s="215" t="s">
        <v>1531</v>
      </c>
      <c r="C37" s="249">
        <f ca="1">ROUND(E37*D37,0)</f>
        <v>13981656</v>
      </c>
      <c r="D37" s="217">
        <f ca="1">D19</f>
        <v>69908.279999999955</v>
      </c>
      <c r="E37" s="249">
        <f>'数据-取费表'!B35</f>
        <v>200</v>
      </c>
      <c r="F37" s="259"/>
      <c r="G37" s="261"/>
    </row>
    <row r="38" spans="1:7" ht="13.5" customHeight="1">
      <c r="A38" s="780" t="s">
        <v>354</v>
      </c>
      <c r="B38" s="215" t="s">
        <v>1533</v>
      </c>
      <c r="C38" s="220">
        <f ca="1">ROUND(C34*F38,0)</f>
        <v>5353472</v>
      </c>
      <c r="D38" s="220"/>
      <c r="E38" s="220"/>
      <c r="F38" s="259">
        <f>'数据-取费表'!B36</f>
        <v>1.4999999999999999E-2</v>
      </c>
      <c r="G38" s="219" t="s">
        <v>1528</v>
      </c>
    </row>
    <row r="39" spans="1:7" s="214" customFormat="1" ht="13.5" customHeight="1">
      <c r="A39" s="255" t="s">
        <v>1534</v>
      </c>
      <c r="B39" s="210" t="s">
        <v>1535</v>
      </c>
      <c r="C39" s="232">
        <f ca="1">ROUND(C33*F20,0)</f>
        <v>7971515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16871711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16540893</v>
      </c>
      <c r="D42" s="238"/>
      <c r="E42" s="238"/>
      <c r="F42" s="239"/>
      <c r="G42" s="3701" t="s">
        <v>1591</v>
      </c>
    </row>
    <row r="43" spans="1:7" ht="13.5" customHeight="1">
      <c r="A43" s="780" t="s">
        <v>347</v>
      </c>
      <c r="B43" s="215" t="s">
        <v>1545</v>
      </c>
      <c r="C43" s="238">
        <f ca="1">ROUND(IF('数据-取费表'!B22&lt;=1,C39*F22*'数据-取费表'!B20/2,C39*(POWER((1+F22),'数据-取费表'!B20/2)-1)),0)</f>
        <v>330818</v>
      </c>
      <c r="D43" s="238"/>
      <c r="E43" s="238"/>
      <c r="F43" s="239"/>
      <c r="G43" s="3702"/>
    </row>
    <row r="44" spans="1:7" ht="13.5" customHeight="1">
      <c r="A44" s="780" t="s">
        <v>348</v>
      </c>
      <c r="B44" s="215" t="s">
        <v>1546</v>
      </c>
      <c r="C44" s="238">
        <f ca="1">ROUND(IF('数据-取费表'!B22&lt;=1,C40*F22*'数据-取费表'!B20/2,C40*(POWER((1+F22),'数据-取费表'!B20/2)-1)),4)</f>
        <v>8.0000000000000004E-4</v>
      </c>
      <c r="D44" s="238"/>
      <c r="E44" s="238"/>
      <c r="F44" s="239"/>
      <c r="G44" s="3703"/>
    </row>
    <row r="45" spans="1:7" s="214" customFormat="1" ht="13.5" customHeight="1">
      <c r="A45" s="255" t="s">
        <v>1547</v>
      </c>
      <c r="B45" s="244" t="s">
        <v>1513</v>
      </c>
      <c r="C45" s="245">
        <f ca="1">C46</f>
        <v>44720197</v>
      </c>
      <c r="D45" s="235">
        <f ca="1">C47</f>
        <v>2.2000000000000001E-3</v>
      </c>
      <c r="E45" s="236" t="s">
        <v>1539</v>
      </c>
      <c r="F45" s="246">
        <f ca="1">F27</f>
        <v>0.11</v>
      </c>
      <c r="G45" s="247" t="s">
        <v>1548</v>
      </c>
    </row>
    <row r="46" spans="1:7" s="214" customFormat="1" ht="13.5" customHeight="1">
      <c r="A46" s="780" t="s">
        <v>346</v>
      </c>
      <c r="B46" s="248" t="s">
        <v>1549</v>
      </c>
      <c r="C46" s="249">
        <f ca="1">ROUND((C33+C39)*F27,0)</f>
        <v>44720197</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506315330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506315330</v>
      </c>
      <c r="D51" s="232"/>
      <c r="E51" s="232"/>
      <c r="F51" s="264"/>
      <c r="G51" s="234" t="s">
        <v>1560</v>
      </c>
    </row>
    <row r="52" spans="1:7" s="208" customFormat="1" ht="16.5" thickBot="1">
      <c r="A52" s="265" t="s">
        <v>1561</v>
      </c>
      <c r="B52" s="266"/>
      <c r="C52" s="267">
        <f ca="1">C31+C51</f>
        <v>515522660</v>
      </c>
      <c r="D52" s="266"/>
      <c r="E52" s="266"/>
      <c r="F52" s="266"/>
      <c r="G52" s="268"/>
    </row>
    <row r="55" spans="1:7" ht="15">
      <c r="B55" s="270" t="s">
        <v>1562</v>
      </c>
      <c r="C55" s="271"/>
    </row>
    <row r="56" spans="1:7">
      <c r="B56" s="273" t="s">
        <v>802</v>
      </c>
      <c r="C56" s="275">
        <f ca="1">1-C57</f>
        <v>1.8000000000000016E-2</v>
      </c>
    </row>
    <row r="57" spans="1:7">
      <c r="B57" s="273" t="s">
        <v>803</v>
      </c>
      <c r="C57" s="274">
        <f ca="1">ROUND(C51/C52,3)</f>
        <v>0.98199999999999998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M45" sqref="M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82922</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11862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9" t="s">
        <v>1771</v>
      </c>
      <c r="S4" s="3710"/>
      <c r="T4" s="3709" t="s">
        <v>1772</v>
      </c>
      <c r="U4" s="3710"/>
      <c r="V4" s="3734" t="s">
        <v>1773</v>
      </c>
      <c r="W4" s="3734"/>
      <c r="X4" s="1354"/>
      <c r="Y4" s="3709" t="s">
        <v>1775</v>
      </c>
      <c r="Z4" s="3710"/>
      <c r="AA4" s="3704" t="s">
        <v>1771</v>
      </c>
      <c r="AB4" s="3705" t="s">
        <v>1772</v>
      </c>
      <c r="AC4" s="3704" t="s">
        <v>1773</v>
      </c>
    </row>
    <row r="5" spans="1:30" ht="15">
      <c r="A5" s="358"/>
      <c r="B5" s="359"/>
      <c r="C5" s="3715" t="s">
        <v>1673</v>
      </c>
      <c r="D5" s="3716"/>
      <c r="E5" s="3713" t="str">
        <f>土地案例!A3</f>
        <v>北京市顺义区顺义新城第1街区SY00-0001-0320地块R2二类居住用地</v>
      </c>
      <c r="F5" s="3714"/>
      <c r="G5" s="3715" t="str">
        <f>土地案例!A6</f>
        <v>北京市顺义区顺义新城第13街区SY00-0013-6050、6053地块二类居住用地</v>
      </c>
      <c r="H5" s="3716"/>
      <c r="I5" s="3715" t="str">
        <f>土地案例!A10</f>
        <v>北京市顺义区顺义新城第13街区SY00-0013-6060、6066、6067地块二类居住用地、6058地块商业用地、6063地块综合性商业金融服务业用地、6065地块托幼用地</v>
      </c>
      <c r="J5" s="3716"/>
      <c r="K5" s="559"/>
      <c r="L5" s="2711"/>
      <c r="M5" s="2712"/>
      <c r="N5" s="2712"/>
      <c r="O5" s="2712"/>
      <c r="P5" s="3728"/>
      <c r="Q5" s="3729"/>
      <c r="R5" s="3711"/>
      <c r="S5" s="3712"/>
      <c r="T5" s="3711"/>
      <c r="U5" s="3712"/>
      <c r="V5" s="3734"/>
      <c r="W5" s="3734"/>
      <c r="X5" s="1354"/>
      <c r="Y5" s="3711"/>
      <c r="Z5" s="3712"/>
      <c r="AA5" s="3705"/>
      <c r="AB5" s="3705"/>
      <c r="AC5" s="3705"/>
    </row>
    <row r="6" spans="1:30" ht="15.75" thickBot="1">
      <c r="A6" s="360"/>
      <c r="B6" s="361"/>
      <c r="C6" s="3717" t="s">
        <v>1677</v>
      </c>
      <c r="D6" s="3718"/>
      <c r="E6" s="3719" t="s">
        <v>1677</v>
      </c>
      <c r="F6" s="3720"/>
      <c r="G6" s="3717" t="s">
        <v>1677</v>
      </c>
      <c r="H6" s="3718"/>
      <c r="I6" s="3717" t="s">
        <v>1677</v>
      </c>
      <c r="J6" s="3718"/>
      <c r="K6" s="559" t="s">
        <v>1678</v>
      </c>
      <c r="L6" s="2711"/>
      <c r="M6" s="2712"/>
      <c r="N6" s="2712"/>
      <c r="O6" s="2712"/>
      <c r="P6" s="3730"/>
      <c r="Q6" s="3731"/>
      <c r="R6" s="3711"/>
      <c r="S6" s="3712"/>
      <c r="T6" s="3732"/>
      <c r="U6" s="3733"/>
      <c r="V6" s="3734"/>
      <c r="W6" s="3734"/>
      <c r="X6" s="1354"/>
      <c r="Y6" s="3732"/>
      <c r="Z6" s="3733"/>
      <c r="AA6" s="3706"/>
      <c r="AB6" s="3706"/>
      <c r="AC6" s="3706"/>
    </row>
    <row r="7" spans="1:30" s="108" customFormat="1" ht="15.75" thickBot="1">
      <c r="A7" s="362" t="s">
        <v>1679</v>
      </c>
      <c r="B7" s="363"/>
      <c r="C7" s="364">
        <f>'数据-取费表'!B2</f>
        <v>45103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707" t="s">
        <v>1680</v>
      </c>
      <c r="Q7" s="3735"/>
      <c r="R7" s="701" t="s">
        <v>14</v>
      </c>
      <c r="S7" s="702">
        <f t="shared" ref="S7:S15" si="0">F7</f>
        <v>98.5</v>
      </c>
      <c r="T7" s="701" t="s">
        <v>14</v>
      </c>
      <c r="U7" s="702">
        <f t="shared" ref="U7:U15" si="1">H7</f>
        <v>97.5</v>
      </c>
      <c r="V7" s="701" t="s">
        <v>14</v>
      </c>
      <c r="W7" s="702">
        <f t="shared" ref="W7:W15" si="2">J7</f>
        <v>95.5</v>
      </c>
      <c r="X7" s="703"/>
      <c r="Y7" s="3707" t="s">
        <v>1680</v>
      </c>
      <c r="Z7" s="3708"/>
      <c r="AA7" s="704">
        <f>D7/F7</f>
        <v>1.015228426395939</v>
      </c>
      <c r="AB7" s="704">
        <f>D7/H7</f>
        <v>1.0256410256410255</v>
      </c>
      <c r="AC7" s="704">
        <f>D7/J7</f>
        <v>1.0471204188481675</v>
      </c>
    </row>
    <row r="8" spans="1:30" s="108" customFormat="1" ht="15.7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707" t="s">
        <v>1683</v>
      </c>
      <c r="Q8" s="3708"/>
      <c r="R8" s="701" t="s">
        <v>14</v>
      </c>
      <c r="S8" s="702">
        <f t="shared" si="0"/>
        <v>100</v>
      </c>
      <c r="T8" s="701" t="s">
        <v>14</v>
      </c>
      <c r="U8" s="702">
        <f t="shared" si="1"/>
        <v>100</v>
      </c>
      <c r="V8" s="701" t="s">
        <v>14</v>
      </c>
      <c r="W8" s="702">
        <f t="shared" si="2"/>
        <v>100</v>
      </c>
      <c r="X8" s="703"/>
      <c r="Y8" s="3707" t="s">
        <v>1683</v>
      </c>
      <c r="Z8" s="3708"/>
      <c r="AA8" s="704">
        <f t="shared" ref="AA8:AA45" si="3">D8/F8</f>
        <v>1</v>
      </c>
      <c r="AB8" s="704">
        <f t="shared" ref="AB8:AB45" si="4">D8/H8</f>
        <v>1</v>
      </c>
      <c r="AC8" s="704">
        <f t="shared" ref="AC8:AC45" si="5">D8/J8</f>
        <v>1</v>
      </c>
    </row>
    <row r="9" spans="1:30" s="108" customFormat="1" ht="15">
      <c r="A9" s="369" t="s">
        <v>1684</v>
      </c>
      <c r="B9" s="63" t="s">
        <v>1685</v>
      </c>
      <c r="C9" s="3463" t="s">
        <v>3541</v>
      </c>
      <c r="D9" s="126">
        <v>100</v>
      </c>
      <c r="E9" s="3463" t="s">
        <v>3542</v>
      </c>
      <c r="F9" s="126">
        <f>SUMIF(74:74,E9,75:75)-SUMIF(74:74,C9,75:75)+100</f>
        <v>100</v>
      </c>
      <c r="G9" s="3463" t="s">
        <v>3542</v>
      </c>
      <c r="H9" s="126">
        <f>SUMIF(74:74,G9,75:75)-SUMIF(74:74,C9,75:75)+100</f>
        <v>100</v>
      </c>
      <c r="I9" s="3463" t="s">
        <v>5023</v>
      </c>
      <c r="J9" s="126">
        <f>SUMIF(74:74,I9,75:75)-SUMIF(74:74,C9,75:75)+100</f>
        <v>95</v>
      </c>
      <c r="K9" s="560"/>
      <c r="L9" s="2713"/>
      <c r="M9" s="2714"/>
      <c r="N9" s="2714"/>
      <c r="O9" s="2768"/>
      <c r="P9" s="3721" t="s">
        <v>1686</v>
      </c>
      <c r="Q9" s="1342" t="str">
        <f t="shared" ref="Q9:Q15" si="6">B9</f>
        <v>用途</v>
      </c>
      <c r="R9" s="701" t="s">
        <v>14</v>
      </c>
      <c r="S9" s="702">
        <f t="shared" si="0"/>
        <v>100</v>
      </c>
      <c r="T9" s="701" t="s">
        <v>14</v>
      </c>
      <c r="U9" s="702">
        <f t="shared" si="1"/>
        <v>100</v>
      </c>
      <c r="V9" s="701" t="s">
        <v>14</v>
      </c>
      <c r="W9" s="702">
        <f t="shared" si="2"/>
        <v>95</v>
      </c>
      <c r="X9" s="703"/>
      <c r="Y9" s="3677" t="s">
        <v>1687</v>
      </c>
      <c r="Z9" s="52" t="str">
        <f t="shared" ref="Z9:Z15" si="7">Q9</f>
        <v>用途</v>
      </c>
      <c r="AA9" s="704">
        <f t="shared" si="3"/>
        <v>1</v>
      </c>
      <c r="AB9" s="704">
        <f t="shared" si="4"/>
        <v>1</v>
      </c>
      <c r="AC9" s="704">
        <f t="shared" si="5"/>
        <v>1.0526315789473684</v>
      </c>
    </row>
    <row r="10" spans="1:30" s="378" customFormat="1" ht="27">
      <c r="A10" s="374"/>
      <c r="B10" s="375" t="s">
        <v>1688</v>
      </c>
      <c r="C10" s="383">
        <f>项目基本情况!C15</f>
        <v>68.7</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21"/>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21"/>
      <c r="Q11" s="1342" t="str">
        <f t="shared" si="6"/>
        <v>容积率</v>
      </c>
      <c r="R11" s="701" t="s">
        <v>14</v>
      </c>
      <c r="S11" s="702">
        <f t="shared" si="0"/>
        <v>102</v>
      </c>
      <c r="T11" s="701" t="s">
        <v>14</v>
      </c>
      <c r="U11" s="702">
        <f t="shared" si="1"/>
        <v>102</v>
      </c>
      <c r="V11" s="701" t="s">
        <v>14</v>
      </c>
      <c r="W11" s="702">
        <f t="shared" si="2"/>
        <v>102</v>
      </c>
      <c r="X11" s="703"/>
      <c r="Y11" s="3677"/>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21"/>
      <c r="Q12" s="1342"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21"/>
      <c r="Q13" s="1342">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21"/>
      <c r="Q14" s="1342">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6" t="s">
        <v>1691</v>
      </c>
      <c r="Q15" s="1351" t="str">
        <f t="shared" si="6"/>
        <v>居住社区成熟度</v>
      </c>
      <c r="R15" s="705" t="s">
        <v>14</v>
      </c>
      <c r="S15" s="706">
        <f t="shared" si="0"/>
        <v>100</v>
      </c>
      <c r="T15" s="705" t="s">
        <v>14</v>
      </c>
      <c r="U15" s="706">
        <f t="shared" si="1"/>
        <v>100</v>
      </c>
      <c r="V15" s="705" t="s">
        <v>14</v>
      </c>
      <c r="W15" s="706">
        <f t="shared" si="2"/>
        <v>100</v>
      </c>
      <c r="X15" s="1354"/>
      <c r="Y15" s="3736"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37"/>
      <c r="Q16" s="1351"/>
      <c r="R16" s="705"/>
      <c r="S16" s="706"/>
      <c r="T16" s="705"/>
      <c r="U16" s="706"/>
      <c r="V16" s="705"/>
      <c r="W16" s="706"/>
      <c r="X16" s="1354"/>
      <c r="Y16" s="3737"/>
      <c r="Z16" s="1355"/>
      <c r="AA16" s="1352">
        <v>1</v>
      </c>
      <c r="AB16" s="1352">
        <v>1</v>
      </c>
      <c r="AC16" s="1352">
        <v>1</v>
      </c>
    </row>
    <row r="17" spans="1:29" ht="71.25"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7"/>
      <c r="Q17" s="1351" t="str">
        <f>B17</f>
        <v>商业繁华度</v>
      </c>
      <c r="R17" s="705" t="s">
        <v>14</v>
      </c>
      <c r="S17" s="706">
        <f>F17</f>
        <v>100</v>
      </c>
      <c r="T17" s="705" t="s">
        <v>14</v>
      </c>
      <c r="U17" s="706">
        <f>H17</f>
        <v>100</v>
      </c>
      <c r="V17" s="705" t="s">
        <v>14</v>
      </c>
      <c r="W17" s="706">
        <f>J17</f>
        <v>100</v>
      </c>
      <c r="X17" s="1354"/>
      <c r="Y17" s="3737"/>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37"/>
      <c r="Q18" s="1351"/>
      <c r="R18" s="705"/>
      <c r="S18" s="706"/>
      <c r="T18" s="705"/>
      <c r="U18" s="706"/>
      <c r="V18" s="705"/>
      <c r="W18" s="706"/>
      <c r="X18" s="1354"/>
      <c r="Y18" s="3737"/>
      <c r="Z18" s="1355"/>
      <c r="AA18" s="1352">
        <v>1</v>
      </c>
      <c r="AB18" s="1352">
        <v>1</v>
      </c>
      <c r="AC18" s="1352">
        <v>1</v>
      </c>
    </row>
    <row r="19" spans="1:29" ht="71.25"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7"/>
      <c r="Q19" s="1351" t="str">
        <f>B19</f>
        <v>办公集聚程度</v>
      </c>
      <c r="R19" s="705" t="s">
        <v>14</v>
      </c>
      <c r="S19" s="706">
        <f>F19</f>
        <v>100</v>
      </c>
      <c r="T19" s="705" t="s">
        <v>14</v>
      </c>
      <c r="U19" s="706">
        <f>H19</f>
        <v>100</v>
      </c>
      <c r="V19" s="705" t="s">
        <v>14</v>
      </c>
      <c r="W19" s="706">
        <f>J19</f>
        <v>100</v>
      </c>
      <c r="X19" s="1354"/>
      <c r="Y19" s="3737"/>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37"/>
      <c r="Q20" s="1351"/>
      <c r="R20" s="705"/>
      <c r="S20" s="706"/>
      <c r="T20" s="705"/>
      <c r="U20" s="706"/>
      <c r="V20" s="705"/>
      <c r="W20" s="706"/>
      <c r="X20" s="1354"/>
      <c r="Y20" s="3737"/>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7"/>
      <c r="Q21" s="1351" t="str">
        <f>B21</f>
        <v>交通便捷度</v>
      </c>
      <c r="R21" s="705" t="s">
        <v>14</v>
      </c>
      <c r="S21" s="706">
        <f>F21</f>
        <v>100</v>
      </c>
      <c r="T21" s="705" t="s">
        <v>14</v>
      </c>
      <c r="U21" s="706">
        <f>H21</f>
        <v>100</v>
      </c>
      <c r="V21" s="705" t="s">
        <v>14</v>
      </c>
      <c r="W21" s="706">
        <f>J21</f>
        <v>100</v>
      </c>
      <c r="X21" s="1354"/>
      <c r="Y21" s="3737"/>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37"/>
      <c r="Q22" s="1351"/>
      <c r="R22" s="705"/>
      <c r="S22" s="706"/>
      <c r="T22" s="705"/>
      <c r="U22" s="706"/>
      <c r="V22" s="705"/>
      <c r="W22" s="706"/>
      <c r="X22" s="1354"/>
      <c r="Y22" s="3737"/>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7"/>
      <c r="Q23" s="1351" t="str">
        <f t="shared" ref="Q23:Q37" si="8">B23</f>
        <v>区域土地利用方向</v>
      </c>
      <c r="R23" s="705" t="s">
        <v>14</v>
      </c>
      <c r="S23" s="706">
        <f>F23</f>
        <v>100</v>
      </c>
      <c r="T23" s="705" t="s">
        <v>14</v>
      </c>
      <c r="U23" s="706">
        <f>H23</f>
        <v>100</v>
      </c>
      <c r="V23" s="705" t="s">
        <v>14</v>
      </c>
      <c r="W23" s="706">
        <f>J23</f>
        <v>100</v>
      </c>
      <c r="X23" s="1354"/>
      <c r="Y23" s="3737"/>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37"/>
      <c r="Q24" s="1351"/>
      <c r="R24" s="705"/>
      <c r="S24" s="706"/>
      <c r="T24" s="705"/>
      <c r="U24" s="706"/>
      <c r="V24" s="705"/>
      <c r="W24" s="706"/>
      <c r="X24" s="1354"/>
      <c r="Y24" s="3737"/>
      <c r="Z24" s="1355"/>
      <c r="AA24" s="1352"/>
      <c r="AB24" s="1352"/>
      <c r="AC24" s="1352"/>
    </row>
    <row r="25" spans="1:29" ht="57">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7"/>
      <c r="Q25" s="1351" t="str">
        <f t="shared" si="8"/>
        <v>自然及人文环境状况</v>
      </c>
      <c r="R25" s="705" t="s">
        <v>14</v>
      </c>
      <c r="S25" s="706">
        <f>F25</f>
        <v>100</v>
      </c>
      <c r="T25" s="705" t="s">
        <v>14</v>
      </c>
      <c r="U25" s="706">
        <f>H25</f>
        <v>100</v>
      </c>
      <c r="V25" s="705" t="s">
        <v>14</v>
      </c>
      <c r="W25" s="706">
        <f>J25</f>
        <v>100</v>
      </c>
      <c r="X25" s="1354"/>
      <c r="Y25" s="3737"/>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37"/>
      <c r="Q26" s="1351"/>
      <c r="R26" s="705"/>
      <c r="S26" s="706"/>
      <c r="T26" s="705"/>
      <c r="U26" s="706"/>
      <c r="V26" s="705"/>
      <c r="W26" s="706"/>
      <c r="X26" s="1354"/>
      <c r="Y26" s="3737"/>
      <c r="Z26" s="1355"/>
      <c r="AA26" s="1352">
        <v>1</v>
      </c>
      <c r="AB26" s="1352">
        <v>1</v>
      </c>
      <c r="AC26" s="1352">
        <v>1</v>
      </c>
    </row>
    <row r="27" spans="1:29" s="108" customFormat="1" ht="42.75">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7"/>
      <c r="Q27" s="1342" t="str">
        <f t="shared" si="8"/>
        <v>公共配套设施</v>
      </c>
      <c r="R27" s="701" t="s">
        <v>14</v>
      </c>
      <c r="S27" s="702">
        <f>F27</f>
        <v>100</v>
      </c>
      <c r="T27" s="701" t="s">
        <v>14</v>
      </c>
      <c r="U27" s="702">
        <f>H27</f>
        <v>100</v>
      </c>
      <c r="V27" s="701" t="s">
        <v>14</v>
      </c>
      <c r="W27" s="702">
        <f>J27</f>
        <v>100</v>
      </c>
      <c r="X27" s="703"/>
      <c r="Y27" s="3737"/>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37"/>
      <c r="Q28" s="1342"/>
      <c r="R28" s="701"/>
      <c r="S28" s="702"/>
      <c r="T28" s="701"/>
      <c r="U28" s="702"/>
      <c r="V28" s="701"/>
      <c r="W28" s="702"/>
      <c r="X28" s="703"/>
      <c r="Y28" s="3737"/>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7"/>
      <c r="Q29" s="1342" t="str">
        <f t="shared" ref="Q29" si="9">B29</f>
        <v>基础设施水平</v>
      </c>
      <c r="R29" s="701" t="s">
        <v>14</v>
      </c>
      <c r="S29" s="702">
        <f>F29</f>
        <v>100</v>
      </c>
      <c r="T29" s="701" t="s">
        <v>14</v>
      </c>
      <c r="U29" s="702">
        <f>H29</f>
        <v>100</v>
      </c>
      <c r="V29" s="701" t="s">
        <v>14</v>
      </c>
      <c r="W29" s="702">
        <f>J29</f>
        <v>100</v>
      </c>
      <c r="X29" s="703"/>
      <c r="Y29" s="3737"/>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37"/>
      <c r="Q30" s="1342"/>
      <c r="R30" s="701"/>
      <c r="S30" s="702"/>
      <c r="T30" s="701"/>
      <c r="U30" s="702"/>
      <c r="V30" s="701"/>
      <c r="W30" s="702"/>
      <c r="X30" s="703"/>
      <c r="Y30" s="373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7"/>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7"/>
      <c r="Q32" s="1351" t="str">
        <f t="shared" si="8"/>
        <v>毗邻道路的类型与等级</v>
      </c>
      <c r="R32" s="705" t="s">
        <v>14</v>
      </c>
      <c r="S32" s="706">
        <f t="shared" si="10"/>
        <v>100</v>
      </c>
      <c r="T32" s="705" t="s">
        <v>14</v>
      </c>
      <c r="U32" s="706">
        <f t="shared" si="11"/>
        <v>100</v>
      </c>
      <c r="V32" s="705" t="s">
        <v>14</v>
      </c>
      <c r="W32" s="706">
        <f t="shared" si="12"/>
        <v>100</v>
      </c>
      <c r="X32" s="1354"/>
      <c r="Y32" s="373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37"/>
      <c r="Q33" s="1351"/>
      <c r="R33" s="705"/>
      <c r="S33" s="706"/>
      <c r="T33" s="705"/>
      <c r="U33" s="706"/>
      <c r="V33" s="705"/>
      <c r="W33" s="706"/>
      <c r="X33" s="1354"/>
      <c r="Y33" s="373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7"/>
      <c r="Q34" s="1351" t="str">
        <f t="shared" si="8"/>
        <v>土地级别</v>
      </c>
      <c r="R34" s="705" t="s">
        <v>14</v>
      </c>
      <c r="S34" s="706">
        <f t="shared" si="10"/>
        <v>100</v>
      </c>
      <c r="T34" s="705" t="s">
        <v>14</v>
      </c>
      <c r="U34" s="706">
        <f t="shared" si="11"/>
        <v>100</v>
      </c>
      <c r="V34" s="705" t="s">
        <v>14</v>
      </c>
      <c r="W34" s="706">
        <f t="shared" si="12"/>
        <v>100</v>
      </c>
      <c r="X34" s="1354"/>
      <c r="Y34" s="3737"/>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7"/>
      <c r="Q35" s="1351">
        <f t="shared" si="8"/>
        <v>111</v>
      </c>
      <c r="R35" s="705" t="s">
        <v>14</v>
      </c>
      <c r="S35" s="706">
        <f t="shared" si="10"/>
        <v>100</v>
      </c>
      <c r="T35" s="705" t="s">
        <v>14</v>
      </c>
      <c r="U35" s="706">
        <f t="shared" si="11"/>
        <v>100</v>
      </c>
      <c r="V35" s="705" t="s">
        <v>14</v>
      </c>
      <c r="W35" s="706">
        <f t="shared" si="12"/>
        <v>100</v>
      </c>
      <c r="X35" s="1354"/>
      <c r="Y35" s="3737"/>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8" t="s">
        <v>1696</v>
      </c>
      <c r="Q36" s="1351">
        <f t="shared" si="8"/>
        <v>111</v>
      </c>
      <c r="R36" s="705" t="s">
        <v>14</v>
      </c>
      <c r="S36" s="706">
        <f t="shared" si="10"/>
        <v>100</v>
      </c>
      <c r="T36" s="705" t="s">
        <v>14</v>
      </c>
      <c r="U36" s="706">
        <f t="shared" si="11"/>
        <v>100</v>
      </c>
      <c r="V36" s="705" t="s">
        <v>14</v>
      </c>
      <c r="W36" s="706">
        <f t="shared" si="12"/>
        <v>100</v>
      </c>
      <c r="X36" s="1354"/>
      <c r="Y36" s="373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9"/>
      <c r="Q37" s="1351">
        <f t="shared" si="8"/>
        <v>111</v>
      </c>
      <c r="R37" s="708" t="s">
        <v>14</v>
      </c>
      <c r="S37" s="709">
        <f t="shared" si="10"/>
        <v>100</v>
      </c>
      <c r="T37" s="708" t="s">
        <v>14</v>
      </c>
      <c r="U37" s="709">
        <f t="shared" si="11"/>
        <v>100</v>
      </c>
      <c r="V37" s="708" t="s">
        <v>14</v>
      </c>
      <c r="W37" s="709">
        <f t="shared" si="12"/>
        <v>100</v>
      </c>
      <c r="X37" s="710"/>
      <c r="Y37" s="3739"/>
      <c r="Z37" s="711">
        <f t="shared" si="13"/>
        <v>111</v>
      </c>
      <c r="AA37" s="1352">
        <f t="shared" si="3"/>
        <v>1</v>
      </c>
      <c r="AB37" s="1352">
        <f t="shared" si="4"/>
        <v>1</v>
      </c>
      <c r="AC37" s="1352">
        <f t="shared" si="5"/>
        <v>1</v>
      </c>
    </row>
    <row r="38" spans="1:29" ht="15">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39"/>
      <c r="Q38" s="1351" t="str">
        <f>B38</f>
        <v>宗地面积</v>
      </c>
      <c r="R38" s="705" t="s">
        <v>14</v>
      </c>
      <c r="S38" s="706">
        <f t="shared" si="10"/>
        <v>103</v>
      </c>
      <c r="T38" s="705" t="s">
        <v>14</v>
      </c>
      <c r="U38" s="706">
        <f t="shared" si="11"/>
        <v>103</v>
      </c>
      <c r="V38" s="705" t="s">
        <v>14</v>
      </c>
      <c r="W38" s="706">
        <f t="shared" si="12"/>
        <v>106</v>
      </c>
      <c r="X38" s="1354"/>
      <c r="Y38" s="3739"/>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39"/>
      <c r="Q39" s="1351" t="str">
        <f t="shared" ref="Q39:Q45" si="14">B39</f>
        <v>宗地形状</v>
      </c>
      <c r="R39" s="705" t="s">
        <v>14</v>
      </c>
      <c r="S39" s="706">
        <f t="shared" si="10"/>
        <v>100</v>
      </c>
      <c r="T39" s="705" t="s">
        <v>14</v>
      </c>
      <c r="U39" s="706">
        <f t="shared" si="11"/>
        <v>100</v>
      </c>
      <c r="V39" s="705" t="s">
        <v>14</v>
      </c>
      <c r="W39" s="706">
        <f t="shared" si="12"/>
        <v>100</v>
      </c>
      <c r="X39" s="1354"/>
      <c r="Y39" s="3739"/>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39"/>
      <c r="Q40" s="1351" t="str">
        <f t="shared" si="14"/>
        <v>临街宽度及深度</v>
      </c>
      <c r="R40" s="705" t="s">
        <v>14</v>
      </c>
      <c r="S40" s="706">
        <f t="shared" si="10"/>
        <v>100</v>
      </c>
      <c r="T40" s="705" t="s">
        <v>14</v>
      </c>
      <c r="U40" s="706">
        <f t="shared" si="11"/>
        <v>100</v>
      </c>
      <c r="V40" s="705" t="s">
        <v>14</v>
      </c>
      <c r="W40" s="706">
        <f t="shared" si="12"/>
        <v>100</v>
      </c>
      <c r="X40" s="1354"/>
      <c r="Y40" s="3739"/>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39"/>
      <c r="Q41" s="1351" t="str">
        <f t="shared" si="14"/>
        <v>宗地开发程度</v>
      </c>
      <c r="R41" s="701" t="s">
        <v>14</v>
      </c>
      <c r="S41" s="702">
        <f t="shared" si="10"/>
        <v>104</v>
      </c>
      <c r="T41" s="701" t="s">
        <v>14</v>
      </c>
      <c r="U41" s="702">
        <f t="shared" si="11"/>
        <v>104</v>
      </c>
      <c r="V41" s="701" t="s">
        <v>14</v>
      </c>
      <c r="W41" s="702">
        <f t="shared" si="12"/>
        <v>104</v>
      </c>
      <c r="X41" s="703"/>
      <c r="Y41" s="3739"/>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39" t="s">
        <v>1696</v>
      </c>
      <c r="Q42" s="1351" t="str">
        <f t="shared" si="14"/>
        <v>工程地质条件</v>
      </c>
      <c r="R42" s="705" t="s">
        <v>14</v>
      </c>
      <c r="S42" s="706">
        <f t="shared" si="10"/>
        <v>100</v>
      </c>
      <c r="T42" s="705" t="s">
        <v>14</v>
      </c>
      <c r="U42" s="706">
        <f t="shared" si="11"/>
        <v>100</v>
      </c>
      <c r="V42" s="705" t="s">
        <v>14</v>
      </c>
      <c r="W42" s="706">
        <f t="shared" si="12"/>
        <v>100</v>
      </c>
      <c r="X42" s="1354"/>
      <c r="Y42" s="373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9"/>
      <c r="Q43" s="1351">
        <f t="shared" si="14"/>
        <v>111</v>
      </c>
      <c r="R43" s="705" t="s">
        <v>14</v>
      </c>
      <c r="S43" s="706">
        <f t="shared" si="10"/>
        <v>100</v>
      </c>
      <c r="T43" s="705" t="s">
        <v>14</v>
      </c>
      <c r="U43" s="706">
        <f t="shared" si="11"/>
        <v>100</v>
      </c>
      <c r="V43" s="705" t="s">
        <v>14</v>
      </c>
      <c r="W43" s="706">
        <f t="shared" si="12"/>
        <v>100</v>
      </c>
      <c r="X43" s="1354"/>
      <c r="Y43" s="373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9"/>
      <c r="Q44" s="1351">
        <f t="shared" si="14"/>
        <v>111</v>
      </c>
      <c r="R44" s="705" t="s">
        <v>14</v>
      </c>
      <c r="S44" s="706">
        <f t="shared" si="10"/>
        <v>100</v>
      </c>
      <c r="T44" s="705" t="s">
        <v>14</v>
      </c>
      <c r="U44" s="706">
        <f t="shared" si="11"/>
        <v>100</v>
      </c>
      <c r="V44" s="705" t="s">
        <v>14</v>
      </c>
      <c r="W44" s="706">
        <f t="shared" si="12"/>
        <v>100</v>
      </c>
      <c r="X44" s="1354"/>
      <c r="Y44" s="3739"/>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9"/>
      <c r="Q45" s="1351">
        <f t="shared" si="14"/>
        <v>111</v>
      </c>
      <c r="R45" s="708" t="s">
        <v>14</v>
      </c>
      <c r="S45" s="709">
        <f t="shared" si="10"/>
        <v>100</v>
      </c>
      <c r="T45" s="708" t="s">
        <v>14</v>
      </c>
      <c r="U45" s="709">
        <f t="shared" si="11"/>
        <v>100</v>
      </c>
      <c r="V45" s="708" t="s">
        <v>14</v>
      </c>
      <c r="W45" s="709">
        <f t="shared" si="12"/>
        <v>100</v>
      </c>
      <c r="X45" s="710"/>
      <c r="Y45" s="3739"/>
      <c r="Z45" s="711">
        <f t="shared" si="13"/>
        <v>111</v>
      </c>
      <c r="AA45" s="1352">
        <f t="shared" si="3"/>
        <v>1</v>
      </c>
      <c r="AB45" s="1352">
        <f t="shared" si="4"/>
        <v>1</v>
      </c>
      <c r="AC45" s="1352">
        <f t="shared" si="5"/>
        <v>1</v>
      </c>
    </row>
    <row r="46" spans="1:29" ht="15">
      <c r="A46" s="430" t="s">
        <v>1844</v>
      </c>
      <c r="B46" s="1978" t="s">
        <v>1879</v>
      </c>
      <c r="C46" s="630" t="s">
        <v>0</v>
      </c>
      <c r="D46" s="432"/>
      <c r="E46" s="433">
        <v>21949</v>
      </c>
      <c r="F46" s="434"/>
      <c r="G46" s="435">
        <v>19858</v>
      </c>
      <c r="H46" s="436"/>
      <c r="I46" s="433">
        <v>18521</v>
      </c>
      <c r="J46" s="436"/>
      <c r="K46" s="714"/>
      <c r="L46" s="2720"/>
      <c r="M46" s="2721"/>
      <c r="N46" s="2712"/>
      <c r="O46" s="2721"/>
      <c r="P46" s="3721" t="str">
        <f>A46</f>
        <v>成交单价</v>
      </c>
      <c r="Q46" s="3721"/>
      <c r="R46" s="3734">
        <f>E46</f>
        <v>21949</v>
      </c>
      <c r="S46" s="3734"/>
      <c r="T46" s="3734">
        <f>G46</f>
        <v>19858</v>
      </c>
      <c r="U46" s="3734"/>
      <c r="V46" s="3734">
        <f>I46</f>
        <v>18521</v>
      </c>
      <c r="W46" s="3734"/>
      <c r="X46" s="690"/>
      <c r="Y46" s="712"/>
      <c r="Z46" s="690"/>
      <c r="AA46" s="690"/>
      <c r="AB46" s="690"/>
      <c r="AC46" s="690"/>
    </row>
    <row r="47" spans="1:29" ht="15.75" thickBot="1">
      <c r="A47" s="437" t="s">
        <v>1793</v>
      </c>
      <c r="B47" s="631"/>
      <c r="C47" s="440">
        <f>R48</f>
        <v>19063</v>
      </c>
      <c r="D47" s="2313" t="s">
        <v>2138</v>
      </c>
      <c r="E47" s="440">
        <f>R47</f>
        <v>20394</v>
      </c>
      <c r="F47" s="2314"/>
      <c r="G47" s="439">
        <f>T47</f>
        <v>18641</v>
      </c>
      <c r="H47" s="2314"/>
      <c r="I47" s="440">
        <f>V47</f>
        <v>18155</v>
      </c>
      <c r="J47" s="2314"/>
      <c r="K47" s="2316">
        <f>F47+H47+J47</f>
        <v>0</v>
      </c>
      <c r="L47" s="2720"/>
      <c r="M47" s="2721"/>
      <c r="N47" s="2721"/>
      <c r="O47" s="2721"/>
      <c r="P47" s="3721" t="str">
        <f>A47</f>
        <v>比较价值（元/平方米）</v>
      </c>
      <c r="Q47" s="3721"/>
      <c r="R47" s="3740">
        <f>ROUND(PRODUCT(R46,AA7:AA45),0)</f>
        <v>20394</v>
      </c>
      <c r="S47" s="3740"/>
      <c r="T47" s="3740">
        <f>ROUND(PRODUCT(T46,AB7:AB45),0)</f>
        <v>18641</v>
      </c>
      <c r="U47" s="3740"/>
      <c r="V47" s="3740">
        <f>ROUND(PRODUCT(V46,AC7:AC45),0)</f>
        <v>18155</v>
      </c>
      <c r="W47" s="3740"/>
      <c r="X47" s="690"/>
      <c r="Y47" s="690"/>
      <c r="Z47" s="690"/>
      <c r="AA47" s="690"/>
      <c r="AB47" s="690"/>
      <c r="AC47" s="690"/>
    </row>
    <row r="48" spans="1:29" ht="15.75" thickBot="1">
      <c r="A48" s="441" t="s">
        <v>1880</v>
      </c>
      <c r="B48" s="442"/>
      <c r="C48" s="443">
        <f>R48</f>
        <v>19063</v>
      </c>
      <c r="D48" s="443"/>
      <c r="E48" s="443"/>
      <c r="F48" s="443"/>
      <c r="G48" s="443"/>
      <c r="H48" s="443"/>
      <c r="I48" s="443"/>
      <c r="J48" s="443"/>
      <c r="K48" s="715"/>
      <c r="L48" s="2720"/>
      <c r="M48" s="2721"/>
      <c r="N48" s="2721"/>
      <c r="O48" s="2721"/>
      <c r="P48" s="3741" t="str">
        <f>A48</f>
        <v>估价对象XX用房的比较价值（楼面单价，元/平方米）</v>
      </c>
      <c r="Q48" s="3742"/>
      <c r="R48" s="3743">
        <f>ROUND(IF(D47="简单平均",AVERAGE(R47:W47),R47*F47+T47*H47+V47*J47),0)</f>
        <v>19063</v>
      </c>
      <c r="S48" s="3743"/>
      <c r="T48" s="3743"/>
      <c r="U48" s="3743"/>
      <c r="V48" s="3743"/>
      <c r="W48" s="374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2.0159735610024709E-2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2.6769484990360803E-2</v>
      </c>
      <c r="H52" s="449" t="str">
        <f>IF(OR(G52&gt;=0.2,G52&lt;=-0.2),"超过20%","")</f>
        <v/>
      </c>
      <c r="I52" s="448">
        <f>IF(I47&lt;E47,E47/I47-1,I47/E47-1)</f>
        <v>0.12332690718810246</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22" t="s">
        <v>1887</v>
      </c>
      <c r="H55" s="3744"/>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19063</v>
      </c>
      <c r="C56" s="638">
        <v>1</v>
      </c>
      <c r="D56" s="944">
        <v>1</v>
      </c>
      <c r="E56" s="638">
        <f>'数据-汇总表'!E8+'数据-汇总表'!E9</f>
        <v>42310.899999999994</v>
      </c>
      <c r="F56" s="886">
        <f t="shared" ref="F56:F64" si="15">ROUND(B56*E56/10000,0)</f>
        <v>80657</v>
      </c>
      <c r="G56" s="3745"/>
      <c r="H56" s="372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1191</v>
      </c>
      <c r="C61" s="171">
        <f t="shared" si="16"/>
        <v>0.25</v>
      </c>
      <c r="D61" s="945">
        <v>0.25</v>
      </c>
      <c r="E61" s="217">
        <f>'数据-汇总表'!E12</f>
        <v>6138.5999999999922</v>
      </c>
      <c r="F61" s="886">
        <f t="shared" si="15"/>
        <v>731</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715</v>
      </c>
      <c r="C62" s="171">
        <f t="shared" si="16"/>
        <v>0.15</v>
      </c>
      <c r="D62" s="945">
        <v>0.25</v>
      </c>
      <c r="E62" s="217">
        <f>'数据-汇总表'!E13</f>
        <v>21458.77999999997</v>
      </c>
      <c r="F62" s="886">
        <f t="shared" si="15"/>
        <v>1534</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69908.279999999955</v>
      </c>
      <c r="F65" s="645">
        <f>IF(B46="楼面地价",SUM(F56:F64),ROUND(C48*E65/10000,0))</f>
        <v>82922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507" t="s">
        <v>5024</v>
      </c>
      <c r="D74" s="3507" t="s">
        <v>5025</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95</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8.5">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A10" sqref="A10"/>
    </sheetView>
  </sheetViews>
  <sheetFormatPr defaultRowHeight="13.5"/>
  <cols>
    <col min="1" max="1" width="23.375" customWidth="1"/>
    <col min="9" max="10" width="0" hidden="1" customWidth="1"/>
    <col min="16" max="16" width="0" hidden="1" customWidth="1"/>
    <col min="17" max="18" width="12.37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40" sqref="O4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2"/>
      <c r="F1" s="2802"/>
      <c r="G1" s="2667"/>
      <c r="H1" s="2802"/>
      <c r="I1" s="2802"/>
      <c r="J1" s="2802"/>
      <c r="K1" s="2803">
        <f>MATCH(C1,'数据-取费表'!A6:A16,0)+5</f>
        <v>9</v>
      </c>
    </row>
    <row r="2" spans="1:33" ht="18" customHeight="1">
      <c r="A2" s="201" t="s">
        <v>1462</v>
      </c>
      <c r="B2" s="204">
        <f ca="1">C32</f>
        <v>120951</v>
      </c>
      <c r="C2" s="276" t="s">
        <v>1595</v>
      </c>
      <c r="D2" s="276"/>
      <c r="E2" s="2802"/>
      <c r="F2" s="2802"/>
      <c r="G2" s="2802"/>
      <c r="H2" s="2802"/>
      <c r="I2" s="2802"/>
      <c r="J2" s="2802"/>
      <c r="K2" s="2802"/>
    </row>
    <row r="3" spans="1:33" ht="18" customHeight="1" thickBot="1">
      <c r="A3" s="203" t="s">
        <v>1464</v>
      </c>
      <c r="B3" s="204">
        <f ca="1">ROUND(B2*10000/IF(C1="",'数据-汇总表'!E3,INDIRECT("'数据-取费表'!K"&amp;$K$1)),0)</f>
        <v>17301</v>
      </c>
      <c r="C3" s="276" t="s">
        <v>1596</v>
      </c>
      <c r="D3" s="276"/>
      <c r="E3" s="2802"/>
      <c r="F3" s="2802"/>
      <c r="G3" s="2802"/>
      <c r="H3" s="2802"/>
      <c r="I3" s="2802"/>
      <c r="J3" s="2802"/>
      <c r="K3" s="2802"/>
    </row>
    <row r="4" spans="1:33" s="785" customFormat="1" ht="16.5" customHeight="1">
      <c r="A4" s="782" t="s">
        <v>1597</v>
      </c>
      <c r="B4" s="783"/>
      <c r="C4" s="824">
        <f>SUM(C8:K8)</f>
        <v>177564</v>
      </c>
      <c r="D4" s="783"/>
      <c r="E4" s="783"/>
      <c r="F4" s="783"/>
      <c r="G4" s="783"/>
      <c r="H4" s="783"/>
      <c r="I4" s="783"/>
      <c r="J4" s="783"/>
      <c r="K4" s="784"/>
    </row>
    <row r="5" spans="1:33" s="789" customFormat="1" ht="15">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42310.899999999994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155569</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20637</v>
      </c>
      <c r="D11" s="802"/>
      <c r="E11" s="329"/>
      <c r="F11" s="812">
        <f ca="1">1-IF('数据-取费表'!B24=0,1,IF(C1="",'数据-取费表'!N16,INDIRECT("'数据-取费表'!n"&amp;$K$1)))</f>
        <v>0.57800000000000007</v>
      </c>
      <c r="G11" s="5"/>
      <c r="H11" s="797"/>
      <c r="I11" s="797"/>
      <c r="J11" s="797"/>
      <c r="K11" s="798"/>
    </row>
    <row r="12" spans="1:33" s="803" customFormat="1" ht="13.5" customHeight="1">
      <c r="A12" s="800" t="s">
        <v>636</v>
      </c>
      <c r="B12" s="801" t="s">
        <v>1613</v>
      </c>
      <c r="C12" s="21">
        <f ca="1">ROUND(C11*F12,0)</f>
        <v>619</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721</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808</v>
      </c>
      <c r="D14" s="846">
        <f ca="1">IF(C1="",'数据-汇总表'!E3,INDIRECT("'数据-取费表'!K"&amp;$K$1)+INDIRECT("'数据-取费表'!S"&amp;$K$1))</f>
        <v>69908.279999999955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310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23095</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699</v>
      </c>
      <c r="D17" s="846">
        <f ca="1">D14</f>
        <v>69908.279999999955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42310.899999999994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23794</v>
      </c>
      <c r="D21" s="815"/>
      <c r="E21" s="281"/>
      <c r="F21" s="281"/>
      <c r="G21" s="131" t="s">
        <v>1629</v>
      </c>
      <c r="H21" s="807"/>
      <c r="I21" s="807"/>
      <c r="J21" s="807"/>
      <c r="K21" s="808"/>
    </row>
    <row r="22" spans="1:33" s="803" customFormat="1" ht="13.5" customHeight="1">
      <c r="A22" s="790" t="s">
        <v>1601</v>
      </c>
      <c r="B22" s="813" t="s">
        <v>1630</v>
      </c>
      <c r="C22" s="814">
        <f ca="1">ROUND(C21*F22,0)</f>
        <v>476</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2053</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628</v>
      </c>
      <c r="D25" s="280">
        <f ca="1">C26</f>
        <v>4.9700000000000001E-2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4.9700000000000001E-2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628</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2896</v>
      </c>
      <c r="D28" s="280">
        <f ca="1">C29</f>
        <v>6.5699999999999995E-2</v>
      </c>
      <c r="E28" s="282" t="s">
        <v>12</v>
      </c>
      <c r="F28" s="288">
        <f ca="1">IF(C1="",'数据-取费表'!Q16,INDIRECT("'数据-取费表'!q"&amp;$K$1))</f>
        <v>0.11</v>
      </c>
      <c r="G28" s="817"/>
      <c r="H28" s="818"/>
      <c r="I28" s="818"/>
      <c r="J28" s="818"/>
      <c r="K28" s="819"/>
    </row>
    <row r="29" spans="1:33" s="291" customFormat="1" ht="13.5" customHeight="1">
      <c r="A29" s="800" t="s">
        <v>358</v>
      </c>
      <c r="B29" s="822" t="s">
        <v>1643</v>
      </c>
      <c r="C29" s="284">
        <f ca="1">ROUND((1+C24)*F28*'数据-取费表'!B24/'数据-取费表'!B20,4)</f>
        <v>6.5699999999999995E-2</v>
      </c>
      <c r="D29" s="284"/>
      <c r="E29" s="285"/>
      <c r="F29" s="290"/>
      <c r="G29" s="131" t="s">
        <v>1644</v>
      </c>
      <c r="H29" s="807"/>
      <c r="I29" s="807"/>
      <c r="J29" s="807"/>
      <c r="K29" s="808"/>
    </row>
    <row r="30" spans="1:33" s="291" customFormat="1" ht="13.5" customHeight="1">
      <c r="A30" s="800" t="s">
        <v>359</v>
      </c>
      <c r="B30" s="822" t="s">
        <v>1645</v>
      </c>
      <c r="C30" s="292">
        <f ca="1">ROUND((C21+C22+C23)*F28,0)</f>
        <v>2896</v>
      </c>
      <c r="D30" s="284"/>
      <c r="E30" s="285"/>
      <c r="F30" s="290"/>
      <c r="G30" s="131"/>
      <c r="H30" s="807"/>
      <c r="I30" s="807"/>
      <c r="J30" s="807"/>
      <c r="K30" s="808"/>
    </row>
    <row r="31" spans="1:33" s="803" customFormat="1" ht="13.5" customHeight="1" thickBot="1">
      <c r="A31" s="1865" t="s">
        <v>1646</v>
      </c>
      <c r="B31" s="833" t="s">
        <v>1647</v>
      </c>
      <c r="C31" s="834">
        <f>ROUND(C4*F31/(1+'数据-取费表'!C42),0)</f>
        <v>9301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120951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46" t="s">
        <v>694</v>
      </c>
      <c r="C6" s="1074">
        <f ca="1">ROUND(F6*F8*F7*(1-F9),0)</f>
        <v>0</v>
      </c>
      <c r="D6" s="155" t="s">
        <v>2106</v>
      </c>
      <c r="E6" s="302" t="s">
        <v>696</v>
      </c>
      <c r="F6" s="303">
        <f ca="1">INDIRECT("'数据-取费表'!u"&amp;$G$1)</f>
        <v>0</v>
      </c>
      <c r="G6" s="1383"/>
      <c r="H6" s="1069" t="s">
        <v>398</v>
      </c>
      <c r="I6" s="3746" t="s">
        <v>694</v>
      </c>
      <c r="J6" s="301">
        <f ca="1">ROUND(M6*M8*M7*(1-M9),0)</f>
        <v>0</v>
      </c>
      <c r="K6" s="1375" t="s">
        <v>2107</v>
      </c>
      <c r="L6" s="302" t="s">
        <v>696</v>
      </c>
      <c r="M6" s="303">
        <f ca="1">INDIRECT("'数据-取费表'!z"&amp;$G$1)</f>
        <v>0</v>
      </c>
    </row>
    <row r="7" spans="1:37" ht="18" customHeight="1">
      <c r="A7" s="1073"/>
      <c r="B7" s="3747"/>
      <c r="C7" s="1075"/>
      <c r="D7" s="307"/>
      <c r="E7" s="1076" t="s">
        <v>697</v>
      </c>
      <c r="F7" s="303">
        <f ca="1">IF(INDIRECT("'数据-取费表'!ah"&amp;$G$1)="",INDIRECT("'数据-取费表'!k"&amp;$G$1),INDIRECT("'数据-取费表'!ah"&amp;$G$1))</f>
        <v>0</v>
      </c>
      <c r="G7" s="1383"/>
      <c r="H7" s="304"/>
      <c r="I7" s="3747"/>
      <c r="J7" s="306"/>
      <c r="K7" s="307"/>
      <c r="L7" s="302" t="s">
        <v>697</v>
      </c>
      <c r="M7" s="303">
        <f ca="1">F7</f>
        <v>0</v>
      </c>
    </row>
    <row r="8" spans="1:37" ht="18" customHeight="1">
      <c r="A8" s="304"/>
      <c r="B8" s="3747"/>
      <c r="C8" s="306"/>
      <c r="D8" s="307"/>
      <c r="E8" s="302" t="s">
        <v>698</v>
      </c>
      <c r="F8" s="303">
        <f ca="1">INDIRECT("'数据-取费表'!ai"&amp;$G$1)</f>
        <v>0</v>
      </c>
      <c r="G8" s="1383"/>
      <c r="H8" s="304"/>
      <c r="I8" s="3747"/>
      <c r="J8" s="306"/>
      <c r="K8" s="307"/>
      <c r="L8" s="302" t="s">
        <v>698</v>
      </c>
      <c r="M8" s="303">
        <f ca="1">INDIRECT("'数据-取费表'!ai"&amp;$G$1)</f>
        <v>0</v>
      </c>
    </row>
    <row r="9" spans="1:37" ht="18" customHeight="1">
      <c r="A9" s="304"/>
      <c r="B9" s="3748"/>
      <c r="C9" s="306"/>
      <c r="D9" s="307"/>
      <c r="E9" s="302" t="s">
        <v>699</v>
      </c>
      <c r="F9" s="312">
        <f ca="1">INDIRECT("'数据-取费表'!w"&amp;$G$1)</f>
        <v>0</v>
      </c>
      <c r="G9" s="1383"/>
      <c r="H9" s="304"/>
      <c r="I9" s="374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49" t="s">
        <v>837</v>
      </c>
      <c r="L53" s="375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4" t="s">
        <v>2318</v>
      </c>
      <c r="B2" s="2839" t="e">
        <f>IF(D2="——",C40,C40+E2)</f>
        <v>#DIV/0!</v>
      </c>
      <c r="C2" s="2840" t="s">
        <v>2319</v>
      </c>
      <c r="D2" s="3439" t="s">
        <v>3363</v>
      </c>
      <c r="E2" s="3440"/>
      <c r="F2" s="2842"/>
      <c r="G2" s="2843"/>
      <c r="H2" s="2844"/>
      <c r="I2" s="2845"/>
      <c r="J2" s="3751" t="s">
        <v>2320</v>
      </c>
      <c r="K2" s="3752"/>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53" t="s">
        <v>2330</v>
      </c>
      <c r="K3" s="3754"/>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53" t="s">
        <v>2332</v>
      </c>
      <c r="K4" s="3754"/>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55" t="s">
        <v>2336</v>
      </c>
      <c r="B6" s="3756"/>
      <c r="C6" s="3757"/>
      <c r="D6" s="2866"/>
      <c r="E6" s="2867"/>
      <c r="F6" s="2868"/>
      <c r="G6" s="2869"/>
      <c r="H6" s="2844"/>
      <c r="I6" s="2845"/>
      <c r="J6" s="3758">
        <v>1</v>
      </c>
      <c r="K6" s="3759"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58"/>
      <c r="K7" s="3760"/>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62" t="s">
        <v>2350</v>
      </c>
      <c r="C8" s="3763"/>
      <c r="D8" s="2885" t="s">
        <v>2351</v>
      </c>
      <c r="E8" s="2886" t="s">
        <v>2352</v>
      </c>
      <c r="F8" s="2887" t="s">
        <v>2353</v>
      </c>
      <c r="G8" s="2888"/>
      <c r="H8" s="2844"/>
      <c r="I8" s="2845"/>
      <c r="J8" s="3758"/>
      <c r="K8" s="3760"/>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62" t="s">
        <v>2356</v>
      </c>
      <c r="C9" s="3763"/>
      <c r="D9" s="2885">
        <f>ROUND(D6*E9,0)</f>
        <v>0</v>
      </c>
      <c r="E9" s="2889"/>
      <c r="F9" s="2890" t="s">
        <v>2357</v>
      </c>
      <c r="G9" s="2869"/>
      <c r="H9" s="2844"/>
      <c r="I9" s="2845"/>
      <c r="J9" s="3758"/>
      <c r="K9" s="3760"/>
      <c r="L9" s="2879" t="s">
        <v>2358</v>
      </c>
      <c r="M9" s="2880"/>
      <c r="N9" s="2856"/>
      <c r="O9" s="2881"/>
      <c r="P9" s="2881"/>
      <c r="Q9" s="2882">
        <v>365</v>
      </c>
      <c r="R9" s="2883">
        <f t="shared" si="0"/>
        <v>0</v>
      </c>
      <c r="S9" s="2837"/>
      <c r="T9" s="2837"/>
      <c r="U9" s="2837"/>
      <c r="V9" s="2845"/>
    </row>
    <row r="10" spans="1:22" s="2849" customFormat="1" ht="13.15" customHeight="1">
      <c r="A10" s="2884">
        <v>2</v>
      </c>
      <c r="B10" s="3762" t="s">
        <v>2359</v>
      </c>
      <c r="C10" s="3763"/>
      <c r="D10" s="2885">
        <f>ROUND(D6*E10,0)</f>
        <v>0</v>
      </c>
      <c r="E10" s="2889"/>
      <c r="F10" s="2890" t="s">
        <v>2360</v>
      </c>
      <c r="G10" s="2869"/>
      <c r="H10" s="2844"/>
      <c r="I10" s="2845"/>
      <c r="J10" s="3758"/>
      <c r="K10" s="3760"/>
      <c r="L10" s="2879" t="s">
        <v>2361</v>
      </c>
      <c r="M10" s="2880"/>
      <c r="N10" s="2856"/>
      <c r="O10" s="2881"/>
      <c r="P10" s="2881"/>
      <c r="Q10" s="2882">
        <v>365</v>
      </c>
      <c r="R10" s="2883">
        <f t="shared" si="0"/>
        <v>0</v>
      </c>
      <c r="S10" s="2837"/>
      <c r="T10" s="2837"/>
      <c r="U10" s="2837"/>
      <c r="V10" s="2845"/>
    </row>
    <row r="11" spans="1:22" s="2849" customFormat="1" ht="13.15" customHeight="1">
      <c r="A11" s="2884">
        <v>3</v>
      </c>
      <c r="B11" s="3762" t="s">
        <v>2362</v>
      </c>
      <c r="C11" s="3763"/>
      <c r="D11" s="2885">
        <f>D12+D14+D15+D16</f>
        <v>0</v>
      </c>
      <c r="E11" s="2891" t="e">
        <f>D11/D6</f>
        <v>#DIV/0!</v>
      </c>
      <c r="F11" s="2887"/>
      <c r="G11" s="2888"/>
      <c r="H11" s="2844"/>
      <c r="I11" s="2845"/>
      <c r="J11" s="3758"/>
      <c r="K11" s="3760"/>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64" t="s">
        <v>2365</v>
      </c>
      <c r="C12" s="3765"/>
      <c r="D12" s="2893">
        <f>ROUND(D13*1.2%*(1-30%),0)</f>
        <v>0</v>
      </c>
      <c r="E12" s="2894">
        <v>1.2E-2</v>
      </c>
      <c r="F12" s="2887" t="s">
        <v>2366</v>
      </c>
      <c r="G12" s="2888"/>
      <c r="H12" s="2844"/>
      <c r="I12" s="2845"/>
      <c r="J12" s="3758"/>
      <c r="K12" s="3760"/>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58"/>
      <c r="K13" s="3760"/>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64" t="s">
        <v>2371</v>
      </c>
      <c r="C14" s="3765"/>
      <c r="D14" s="2893">
        <f>ROUND(E14*B5/10000,0)</f>
        <v>0</v>
      </c>
      <c r="E14" s="2882"/>
      <c r="F14" s="2887" t="s">
        <v>2372</v>
      </c>
      <c r="G14" s="2888"/>
      <c r="H14" s="2844"/>
      <c r="I14" s="2845"/>
      <c r="J14" s="3758"/>
      <c r="K14" s="3761"/>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64" t="s">
        <v>2375</v>
      </c>
      <c r="C15" s="3765"/>
      <c r="D15" s="2893">
        <f>ROUND(D6*E15,0)</f>
        <v>0</v>
      </c>
      <c r="E15" s="2894">
        <v>5.5E-2</v>
      </c>
      <c r="F15" s="2887" t="s">
        <v>2376</v>
      </c>
      <c r="G15" s="2869"/>
      <c r="H15" s="2844"/>
      <c r="I15" s="2845"/>
      <c r="J15" s="3758">
        <v>2</v>
      </c>
      <c r="K15" s="3759"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64" t="s">
        <v>2384</v>
      </c>
      <c r="C16" s="3765"/>
      <c r="D16" s="2904">
        <f>D6*E16</f>
        <v>0</v>
      </c>
      <c r="E16" s="2905"/>
      <c r="F16" s="2890" t="s">
        <v>2385</v>
      </c>
      <c r="G16" s="2869"/>
      <c r="H16" s="2844"/>
      <c r="I16" s="2845"/>
      <c r="J16" s="3758"/>
      <c r="K16" s="3760"/>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66" t="s">
        <v>2387</v>
      </c>
      <c r="C17" s="3767"/>
      <c r="D17" s="2907">
        <f>ROUND(D6*E17,0)</f>
        <v>0</v>
      </c>
      <c r="E17" s="2908"/>
      <c r="F17" s="2909" t="s">
        <v>2388</v>
      </c>
      <c r="G17" s="2869"/>
      <c r="H17" s="2844"/>
      <c r="I17" s="2845"/>
      <c r="J17" s="3758"/>
      <c r="K17" s="3760"/>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58"/>
      <c r="K18" s="3760"/>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58"/>
      <c r="K19" s="3761"/>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8">
        <v>3</v>
      </c>
      <c r="K20" s="3759"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58"/>
      <c r="K21" s="3760"/>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58"/>
      <c r="K22" s="3760"/>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58"/>
      <c r="K23" s="3760"/>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58"/>
      <c r="K24" s="3761"/>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68">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6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51" t="s">
        <v>2320</v>
      </c>
      <c r="K32" s="3752"/>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53" t="s">
        <v>2330</v>
      </c>
      <c r="K33" s="3754"/>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53" t="s">
        <v>2332</v>
      </c>
      <c r="K34" s="375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58">
        <v>1</v>
      </c>
      <c r="K36" s="3759"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58"/>
      <c r="K37" s="3760"/>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8"/>
      <c r="K38" s="3760"/>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58"/>
      <c r="K39" s="3760"/>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58"/>
      <c r="K40" s="3761"/>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8">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6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估价对象为北京市房地产，为所有。根据《国有土地使用证》[]，估价对象（分摊）出让国有建设用地使用权面积为22768.44平方米，建筑面积为69908.28平方米。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估价对象为北京市房地产,属开发建设的，该项目尚在开发建设中。根据《国有土地使用证》[]，估价对象（分摊）出让国有建设用地使用权面积为22768.44平方米，规划建筑面积为69908.28平方米。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2023年6月26日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3"/>
      <c r="G1" s="1488"/>
      <c r="H1" s="1488"/>
      <c r="I1" s="1488"/>
      <c r="J1" s="1488"/>
      <c r="K1" s="1488"/>
      <c r="L1" s="1488"/>
      <c r="M1" s="1488"/>
      <c r="N1" s="1488"/>
      <c r="O1" s="1488"/>
      <c r="P1" s="1488"/>
      <c r="Q1" s="1488"/>
      <c r="R1" s="1488"/>
      <c r="S1" s="1488"/>
    </row>
    <row r="2" spans="1:22" ht="15.75">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75">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1653</v>
      </c>
      <c r="B5" s="3770" t="s">
        <v>1654</v>
      </c>
      <c r="C5" s="3771"/>
      <c r="D5" s="2704"/>
      <c r="E5" s="1873" t="s">
        <v>1655</v>
      </c>
      <c r="F5" s="1874" t="s">
        <v>1656</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L15" sqref="L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155569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42310.899999999994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1666</v>
      </c>
      <c r="B4" s="356"/>
      <c r="C4" s="3722" t="s">
        <v>1667</v>
      </c>
      <c r="D4" s="3723"/>
      <c r="E4" s="3724" t="s">
        <v>1668</v>
      </c>
      <c r="F4" s="3725"/>
      <c r="G4" s="3722" t="s">
        <v>1669</v>
      </c>
      <c r="H4" s="3723"/>
      <c r="I4" s="3722" t="s">
        <v>1670</v>
      </c>
      <c r="J4" s="3723"/>
      <c r="K4" s="1888" t="s">
        <v>1671</v>
      </c>
      <c r="L4" s="2711"/>
      <c r="M4" s="2712"/>
      <c r="N4" s="2712"/>
      <c r="O4" s="2712"/>
      <c r="P4" s="3726" t="s">
        <v>1672</v>
      </c>
      <c r="Q4" s="3727"/>
      <c r="R4" s="3709" t="s">
        <v>1668</v>
      </c>
      <c r="S4" s="3710"/>
      <c r="T4" s="3709" t="s">
        <v>1669</v>
      </c>
      <c r="U4" s="3710"/>
      <c r="V4" s="3734" t="s">
        <v>1670</v>
      </c>
      <c r="W4" s="3734"/>
      <c r="X4" s="1354"/>
      <c r="Y4" s="3709" t="s">
        <v>1672</v>
      </c>
      <c r="Z4" s="3710"/>
      <c r="AA4" s="3704" t="s">
        <v>1668</v>
      </c>
      <c r="AB4" s="3704" t="s">
        <v>1669</v>
      </c>
      <c r="AC4" s="3704" t="s">
        <v>1670</v>
      </c>
    </row>
    <row r="5" spans="1:29" ht="15">
      <c r="A5" s="358"/>
      <c r="B5" s="359"/>
      <c r="C5" s="3715" t="s">
        <v>1673</v>
      </c>
      <c r="D5" s="3716"/>
      <c r="E5" s="3713" t="str">
        <f>住宅案例!A2</f>
        <v>路劲御和府</v>
      </c>
      <c r="F5" s="3714"/>
      <c r="G5" s="3715" t="str">
        <f>住宅案例!A30</f>
        <v>公园都会</v>
      </c>
      <c r="H5" s="3716"/>
      <c r="I5" s="3715" t="str">
        <f>住宅案例!A57</f>
        <v>和锦华宸</v>
      </c>
      <c r="J5" s="3716"/>
      <c r="K5" s="1889"/>
      <c r="L5" s="2711"/>
      <c r="M5" s="2712"/>
      <c r="N5" s="2712"/>
      <c r="O5" s="2712"/>
      <c r="P5" s="3728"/>
      <c r="Q5" s="3729"/>
      <c r="R5" s="3711"/>
      <c r="S5" s="3712"/>
      <c r="T5" s="3711"/>
      <c r="U5" s="3712"/>
      <c r="V5" s="3734"/>
      <c r="W5" s="3734"/>
      <c r="X5" s="1354"/>
      <c r="Y5" s="3711"/>
      <c r="Z5" s="3712"/>
      <c r="AA5" s="3705"/>
      <c r="AB5" s="3705"/>
      <c r="AC5" s="3705"/>
    </row>
    <row r="6" spans="1:29" ht="15.75" thickBot="1">
      <c r="A6" s="360"/>
      <c r="B6" s="361"/>
      <c r="C6" s="3717" t="s">
        <v>1677</v>
      </c>
      <c r="D6" s="3718"/>
      <c r="E6" s="3719" t="s">
        <v>1677</v>
      </c>
      <c r="F6" s="3720"/>
      <c r="G6" s="3717" t="s">
        <v>1677</v>
      </c>
      <c r="H6" s="3718"/>
      <c r="I6" s="3717" t="s">
        <v>1677</v>
      </c>
      <c r="J6" s="3718"/>
      <c r="K6" s="1889" t="s">
        <v>1678</v>
      </c>
      <c r="L6" s="2711"/>
      <c r="M6" s="2712"/>
      <c r="N6" s="2712"/>
      <c r="O6" s="2712"/>
      <c r="P6" s="3730"/>
      <c r="Q6" s="3731"/>
      <c r="R6" s="3711"/>
      <c r="S6" s="3712"/>
      <c r="T6" s="3732"/>
      <c r="U6" s="3733"/>
      <c r="V6" s="3734"/>
      <c r="W6" s="3734"/>
      <c r="X6" s="1354"/>
      <c r="Y6" s="3732"/>
      <c r="Z6" s="3733"/>
      <c r="AA6" s="3706"/>
      <c r="AB6" s="3706"/>
      <c r="AC6" s="3706"/>
    </row>
    <row r="7" spans="1:29" s="108" customFormat="1" ht="15.75" thickBot="1">
      <c r="A7" s="362" t="s">
        <v>1679</v>
      </c>
      <c r="B7" s="363"/>
      <c r="C7" s="364">
        <f>'数据-取费表'!B2</f>
        <v>45103</v>
      </c>
      <c r="D7" s="365">
        <v>100</v>
      </c>
      <c r="E7" s="366">
        <f>C7</f>
        <v>45103</v>
      </c>
      <c r="F7" s="367">
        <f>SUMIF(58:58,YEAR(E7)&amp;"-"&amp;MONTH(E7),59:59)</f>
        <v>100</v>
      </c>
      <c r="G7" s="366">
        <f>C7</f>
        <v>45103</v>
      </c>
      <c r="H7" s="365">
        <f>SUMIF(58:58,YEAR(G7)&amp;"-"&amp;MONTH(G7),59:59)</f>
        <v>100</v>
      </c>
      <c r="I7" s="366">
        <f>C7</f>
        <v>45103</v>
      </c>
      <c r="J7" s="365">
        <f>SUMIF(58:58,YEAR(I7)&amp;"-"&amp;MONTH(I7),59:59)</f>
        <v>100</v>
      </c>
      <c r="K7" s="1890"/>
      <c r="L7" s="2713"/>
      <c r="M7" s="2714"/>
      <c r="N7" s="2714"/>
      <c r="O7" s="2714"/>
      <c r="P7" s="3707" t="s">
        <v>1680</v>
      </c>
      <c r="Q7" s="3735"/>
      <c r="R7" s="701" t="s">
        <v>20</v>
      </c>
      <c r="S7" s="702">
        <f t="shared" ref="S7:S15" si="0">F7</f>
        <v>100</v>
      </c>
      <c r="T7" s="701" t="s">
        <v>20</v>
      </c>
      <c r="U7" s="702">
        <f t="shared" ref="U7:U15" si="1">H7</f>
        <v>100</v>
      </c>
      <c r="V7" s="701" t="s">
        <v>20</v>
      </c>
      <c r="W7" s="702">
        <f t="shared" ref="W7:W15" si="2">J7</f>
        <v>100</v>
      </c>
      <c r="X7" s="703"/>
      <c r="Y7" s="3707" t="s">
        <v>1680</v>
      </c>
      <c r="Z7" s="3708"/>
      <c r="AA7" s="704">
        <f>D7/F7</f>
        <v>1</v>
      </c>
      <c r="AB7" s="704">
        <f>D7/H7</f>
        <v>1</v>
      </c>
      <c r="AC7" s="704">
        <f>D7/J7</f>
        <v>1</v>
      </c>
    </row>
    <row r="8" spans="1:29" s="108" customFormat="1" ht="15.7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45"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45"/>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45"/>
      <c r="Q11" s="1342" t="str">
        <f t="shared" si="6"/>
        <v>容积率</v>
      </c>
      <c r="R11" s="701" t="s">
        <v>18</v>
      </c>
      <c r="S11" s="702">
        <f t="shared" si="0"/>
        <v>102</v>
      </c>
      <c r="T11" s="701" t="s">
        <v>18</v>
      </c>
      <c r="U11" s="702">
        <f t="shared" si="1"/>
        <v>102</v>
      </c>
      <c r="V11" s="701" t="s">
        <v>18</v>
      </c>
      <c r="W11" s="702">
        <f t="shared" si="2"/>
        <v>102</v>
      </c>
      <c r="X11" s="703"/>
      <c r="Y11" s="3677"/>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45"/>
      <c r="Q12" s="1342">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45"/>
      <c r="Q13" s="1342">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45"/>
      <c r="Q14" s="1342">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8" t="s">
        <v>1691</v>
      </c>
      <c r="Q15" s="1351" t="str">
        <f t="shared" si="6"/>
        <v>居住社区成熟度</v>
      </c>
      <c r="R15" s="705" t="s">
        <v>18</v>
      </c>
      <c r="S15" s="706">
        <f t="shared" si="0"/>
        <v>100</v>
      </c>
      <c r="T15" s="705" t="s">
        <v>18</v>
      </c>
      <c r="U15" s="706">
        <f t="shared" si="1"/>
        <v>100</v>
      </c>
      <c r="V15" s="705" t="s">
        <v>18</v>
      </c>
      <c r="W15" s="706">
        <f t="shared" si="2"/>
        <v>100</v>
      </c>
      <c r="X15" s="1354"/>
      <c r="Y15" s="3736"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79"/>
      <c r="Q16" s="1351"/>
      <c r="R16" s="705"/>
      <c r="S16" s="706"/>
      <c r="T16" s="705"/>
      <c r="U16" s="706"/>
      <c r="V16" s="705"/>
      <c r="W16" s="706"/>
      <c r="X16" s="1354"/>
      <c r="Y16" s="3737"/>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9"/>
      <c r="Q17" s="1351" t="str">
        <f>B17</f>
        <v>交通便捷度</v>
      </c>
      <c r="R17" s="705" t="s">
        <v>18</v>
      </c>
      <c r="S17" s="706">
        <f>F17</f>
        <v>100</v>
      </c>
      <c r="T17" s="705" t="s">
        <v>18</v>
      </c>
      <c r="U17" s="706">
        <f>H17</f>
        <v>100</v>
      </c>
      <c r="V17" s="705" t="s">
        <v>18</v>
      </c>
      <c r="W17" s="706">
        <f>J17</f>
        <v>100</v>
      </c>
      <c r="X17" s="1354"/>
      <c r="Y17" s="3737"/>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79"/>
      <c r="Q18" s="1351"/>
      <c r="R18" s="705"/>
      <c r="S18" s="706"/>
      <c r="T18" s="705"/>
      <c r="U18" s="706"/>
      <c r="V18" s="705"/>
      <c r="W18" s="706"/>
      <c r="X18" s="1354"/>
      <c r="Y18" s="3737"/>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9"/>
      <c r="Q19" s="1351" t="str">
        <f>B19</f>
        <v>公共配套设施</v>
      </c>
      <c r="R19" s="705" t="s">
        <v>18</v>
      </c>
      <c r="S19" s="706">
        <f>F19</f>
        <v>100</v>
      </c>
      <c r="T19" s="705" t="s">
        <v>18</v>
      </c>
      <c r="U19" s="706">
        <f>H19</f>
        <v>100</v>
      </c>
      <c r="V19" s="705" t="s">
        <v>18</v>
      </c>
      <c r="W19" s="706">
        <f>J19</f>
        <v>100</v>
      </c>
      <c r="X19" s="1354"/>
      <c r="Y19" s="3737"/>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79"/>
      <c r="Q20" s="1351"/>
      <c r="R20" s="705"/>
      <c r="S20" s="706"/>
      <c r="T20" s="705"/>
      <c r="U20" s="706"/>
      <c r="V20" s="705"/>
      <c r="W20" s="706"/>
      <c r="X20" s="1354"/>
      <c r="Y20" s="3737"/>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9"/>
      <c r="Q21" s="1351" t="str">
        <f>B21</f>
        <v>基础设施水平</v>
      </c>
      <c r="R21" s="705" t="s">
        <v>14</v>
      </c>
      <c r="S21" s="706">
        <f>F21</f>
        <v>100</v>
      </c>
      <c r="T21" s="705" t="s">
        <v>14</v>
      </c>
      <c r="U21" s="706">
        <f>H21</f>
        <v>100</v>
      </c>
      <c r="V21" s="705" t="s">
        <v>14</v>
      </c>
      <c r="W21" s="706">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79"/>
      <c r="Q22" s="1351"/>
      <c r="R22" s="705"/>
      <c r="S22" s="706"/>
      <c r="T22" s="705"/>
      <c r="U22" s="706"/>
      <c r="V22" s="705"/>
      <c r="W22" s="706"/>
      <c r="X22" s="1354"/>
      <c r="Y22" s="3737"/>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9"/>
      <c r="Q23" s="1351" t="str">
        <f>B23</f>
        <v>自然及人文环境</v>
      </c>
      <c r="R23" s="705" t="s">
        <v>18</v>
      </c>
      <c r="S23" s="706">
        <f>F23</f>
        <v>100</v>
      </c>
      <c r="T23" s="705" t="s">
        <v>18</v>
      </c>
      <c r="U23" s="706">
        <f>H23</f>
        <v>100</v>
      </c>
      <c r="V23" s="705" t="s">
        <v>18</v>
      </c>
      <c r="W23" s="706">
        <f>J23</f>
        <v>100</v>
      </c>
      <c r="X23" s="1354"/>
      <c r="Y23" s="3737"/>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79"/>
      <c r="Q24" s="1351"/>
      <c r="R24" s="705"/>
      <c r="S24" s="706"/>
      <c r="T24" s="705"/>
      <c r="U24" s="706"/>
      <c r="V24" s="705"/>
      <c r="W24" s="706"/>
      <c r="X24" s="1354"/>
      <c r="Y24" s="3737"/>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7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79"/>
      <c r="Q26" s="1351" t="str">
        <f t="shared" si="11"/>
        <v>朝向</v>
      </c>
      <c r="R26" s="705" t="s">
        <v>18</v>
      </c>
      <c r="S26" s="706">
        <f t="shared" si="12"/>
        <v>100</v>
      </c>
      <c r="T26" s="705" t="s">
        <v>18</v>
      </c>
      <c r="U26" s="706">
        <f t="shared" si="13"/>
        <v>100</v>
      </c>
      <c r="V26" s="705" t="s">
        <v>18</v>
      </c>
      <c r="W26" s="706">
        <f t="shared" si="14"/>
        <v>100</v>
      </c>
      <c r="X26" s="1354"/>
      <c r="Y26" s="3737"/>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79"/>
      <c r="Q27" s="1342">
        <f t="shared" si="11"/>
        <v>111</v>
      </c>
      <c r="R27" s="701" t="s">
        <v>18</v>
      </c>
      <c r="S27" s="702">
        <f t="shared" si="12"/>
        <v>100</v>
      </c>
      <c r="T27" s="701" t="s">
        <v>18</v>
      </c>
      <c r="U27" s="702">
        <f t="shared" si="13"/>
        <v>100</v>
      </c>
      <c r="V27" s="701" t="s">
        <v>18</v>
      </c>
      <c r="W27" s="702">
        <f t="shared" si="14"/>
        <v>100</v>
      </c>
      <c r="X27" s="703"/>
      <c r="Y27" s="3737"/>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79"/>
      <c r="Q28" s="1351">
        <f t="shared" si="11"/>
        <v>111</v>
      </c>
      <c r="R28" s="705" t="s">
        <v>18</v>
      </c>
      <c r="S28" s="706">
        <f t="shared" si="12"/>
        <v>100</v>
      </c>
      <c r="T28" s="705" t="s">
        <v>18</v>
      </c>
      <c r="U28" s="706">
        <f t="shared" si="13"/>
        <v>100</v>
      </c>
      <c r="V28" s="705" t="s">
        <v>18</v>
      </c>
      <c r="W28" s="706">
        <f t="shared" si="14"/>
        <v>100</v>
      </c>
      <c r="X28" s="1354"/>
      <c r="Y28" s="3737"/>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79"/>
      <c r="Q29" s="1351">
        <f t="shared" si="11"/>
        <v>111</v>
      </c>
      <c r="R29" s="705" t="s">
        <v>18</v>
      </c>
      <c r="S29" s="706">
        <f t="shared" si="12"/>
        <v>100</v>
      </c>
      <c r="T29" s="705" t="s">
        <v>18</v>
      </c>
      <c r="U29" s="706">
        <f t="shared" si="13"/>
        <v>100</v>
      </c>
      <c r="V29" s="705" t="s">
        <v>18</v>
      </c>
      <c r="W29" s="706">
        <f t="shared" si="14"/>
        <v>100</v>
      </c>
      <c r="X29" s="1354"/>
      <c r="Y29" s="3737"/>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79"/>
      <c r="Q30" s="1351">
        <f t="shared" si="11"/>
        <v>111</v>
      </c>
      <c r="R30" s="705" t="s">
        <v>18</v>
      </c>
      <c r="S30" s="706">
        <f t="shared" si="12"/>
        <v>100</v>
      </c>
      <c r="T30" s="705" t="s">
        <v>18</v>
      </c>
      <c r="U30" s="706">
        <f t="shared" si="13"/>
        <v>100</v>
      </c>
      <c r="V30" s="705" t="s">
        <v>18</v>
      </c>
      <c r="W30" s="706">
        <f t="shared" si="14"/>
        <v>100</v>
      </c>
      <c r="X30" s="1354"/>
      <c r="Y30" s="3737"/>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79"/>
      <c r="Q31" s="1351">
        <f t="shared" si="11"/>
        <v>111</v>
      </c>
      <c r="R31" s="705" t="s">
        <v>18</v>
      </c>
      <c r="S31" s="706">
        <f t="shared" si="12"/>
        <v>100</v>
      </c>
      <c r="T31" s="705" t="s">
        <v>18</v>
      </c>
      <c r="U31" s="706">
        <f t="shared" si="13"/>
        <v>100</v>
      </c>
      <c r="V31" s="705" t="s">
        <v>18</v>
      </c>
      <c r="W31" s="706">
        <f t="shared" si="14"/>
        <v>100</v>
      </c>
      <c r="X31" s="1354"/>
      <c r="Y31" s="3737"/>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74" t="s">
        <v>1696</v>
      </c>
      <c r="Q32" s="1351" t="str">
        <f t="shared" si="11"/>
        <v>建筑类型</v>
      </c>
      <c r="R32" s="705" t="s">
        <v>18</v>
      </c>
      <c r="S32" s="706">
        <f t="shared" si="12"/>
        <v>100</v>
      </c>
      <c r="T32" s="705" t="s">
        <v>18</v>
      </c>
      <c r="U32" s="706">
        <f t="shared" si="13"/>
        <v>100</v>
      </c>
      <c r="V32" s="705" t="s">
        <v>18</v>
      </c>
      <c r="W32" s="706">
        <f t="shared" si="14"/>
        <v>100</v>
      </c>
      <c r="X32" s="1354"/>
      <c r="Y32" s="3739"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75"/>
      <c r="Q33" s="707" t="str">
        <f t="shared" si="11"/>
        <v>项目建筑规模</v>
      </c>
      <c r="R33" s="708" t="s">
        <v>18</v>
      </c>
      <c r="S33" s="709">
        <f t="shared" si="12"/>
        <v>102</v>
      </c>
      <c r="T33" s="708" t="s">
        <v>18</v>
      </c>
      <c r="U33" s="709">
        <f t="shared" si="13"/>
        <v>102</v>
      </c>
      <c r="V33" s="708" t="s">
        <v>18</v>
      </c>
      <c r="W33" s="709">
        <f t="shared" si="14"/>
        <v>100</v>
      </c>
      <c r="X33" s="710"/>
      <c r="Y33" s="3739"/>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75"/>
      <c r="Q34" s="1351" t="str">
        <f t="shared" si="11"/>
        <v>建筑结构</v>
      </c>
      <c r="R34" s="705" t="s">
        <v>18</v>
      </c>
      <c r="S34" s="706">
        <f t="shared" si="12"/>
        <v>100</v>
      </c>
      <c r="T34" s="705" t="s">
        <v>18</v>
      </c>
      <c r="U34" s="706">
        <f t="shared" si="13"/>
        <v>100</v>
      </c>
      <c r="V34" s="705" t="s">
        <v>18</v>
      </c>
      <c r="W34" s="706">
        <f t="shared" si="14"/>
        <v>100</v>
      </c>
      <c r="X34" s="1354"/>
      <c r="Y34" s="3739"/>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75"/>
      <c r="Q35" s="1351" t="str">
        <f t="shared" si="11"/>
        <v>建筑品质</v>
      </c>
      <c r="R35" s="705" t="s">
        <v>18</v>
      </c>
      <c r="S35" s="706">
        <f t="shared" si="12"/>
        <v>100</v>
      </c>
      <c r="T35" s="705" t="s">
        <v>18</v>
      </c>
      <c r="U35" s="706">
        <f t="shared" si="13"/>
        <v>100</v>
      </c>
      <c r="V35" s="705" t="s">
        <v>18</v>
      </c>
      <c r="W35" s="706">
        <f t="shared" si="14"/>
        <v>100</v>
      </c>
      <c r="X35" s="1354"/>
      <c r="Y35" s="3739"/>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75"/>
      <c r="Q36" s="1351" t="str">
        <f t="shared" si="11"/>
        <v>公共部分装修</v>
      </c>
      <c r="R36" s="705" t="s">
        <v>18</v>
      </c>
      <c r="S36" s="706">
        <f t="shared" si="12"/>
        <v>100</v>
      </c>
      <c r="T36" s="705" t="s">
        <v>18</v>
      </c>
      <c r="U36" s="706">
        <f t="shared" si="13"/>
        <v>100</v>
      </c>
      <c r="V36" s="705" t="s">
        <v>18</v>
      </c>
      <c r="W36" s="706">
        <f t="shared" si="14"/>
        <v>100</v>
      </c>
      <c r="X36" s="1354"/>
      <c r="Y36" s="3739"/>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75"/>
      <c r="Q37" s="1342" t="str">
        <f t="shared" si="11"/>
        <v>成新度</v>
      </c>
      <c r="R37" s="701" t="s">
        <v>18</v>
      </c>
      <c r="S37" s="702">
        <f t="shared" si="12"/>
        <v>100</v>
      </c>
      <c r="T37" s="701" t="s">
        <v>18</v>
      </c>
      <c r="U37" s="702">
        <f t="shared" si="13"/>
        <v>100</v>
      </c>
      <c r="V37" s="701" t="s">
        <v>18</v>
      </c>
      <c r="W37" s="702">
        <f t="shared" si="14"/>
        <v>100</v>
      </c>
      <c r="X37" s="703"/>
      <c r="Y37" s="3739"/>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75" t="s">
        <v>1696</v>
      </c>
      <c r="Q38" s="1351" t="str">
        <f t="shared" si="11"/>
        <v>物业管理</v>
      </c>
      <c r="R38" s="705" t="s">
        <v>18</v>
      </c>
      <c r="S38" s="706">
        <f t="shared" si="12"/>
        <v>100</v>
      </c>
      <c r="T38" s="705" t="s">
        <v>18</v>
      </c>
      <c r="U38" s="706">
        <f t="shared" si="13"/>
        <v>100</v>
      </c>
      <c r="V38" s="705" t="s">
        <v>18</v>
      </c>
      <c r="W38" s="706">
        <f t="shared" si="14"/>
        <v>100</v>
      </c>
      <c r="X38" s="1354"/>
      <c r="Y38" s="3739"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75"/>
      <c r="Q39" s="1351" t="str">
        <f t="shared" si="11"/>
        <v>市政基础设施</v>
      </c>
      <c r="R39" s="705" t="s">
        <v>18</v>
      </c>
      <c r="S39" s="706">
        <f t="shared" si="12"/>
        <v>100</v>
      </c>
      <c r="T39" s="705" t="s">
        <v>18</v>
      </c>
      <c r="U39" s="706">
        <f t="shared" si="13"/>
        <v>100</v>
      </c>
      <c r="V39" s="705" t="s">
        <v>18</v>
      </c>
      <c r="W39" s="706">
        <f t="shared" si="14"/>
        <v>100</v>
      </c>
      <c r="X39" s="1354"/>
      <c r="Y39" s="3739"/>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75"/>
      <c r="Q40" s="1351" t="str">
        <f t="shared" si="11"/>
        <v>房型</v>
      </c>
      <c r="R40" s="705" t="s">
        <v>18</v>
      </c>
      <c r="S40" s="706">
        <f t="shared" si="12"/>
        <v>100</v>
      </c>
      <c r="T40" s="705" t="s">
        <v>18</v>
      </c>
      <c r="U40" s="706">
        <f t="shared" si="13"/>
        <v>100</v>
      </c>
      <c r="V40" s="705" t="s">
        <v>18</v>
      </c>
      <c r="W40" s="706">
        <f t="shared" si="14"/>
        <v>100</v>
      </c>
      <c r="X40" s="1354"/>
      <c r="Y40" s="373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75"/>
      <c r="Q41" s="707" t="str">
        <f t="shared" si="11"/>
        <v>单套/主力户型建筑面积</v>
      </c>
      <c r="R41" s="708" t="s">
        <v>18</v>
      </c>
      <c r="S41" s="709">
        <f t="shared" si="12"/>
        <v>100</v>
      </c>
      <c r="T41" s="708" t="s">
        <v>18</v>
      </c>
      <c r="U41" s="709">
        <f t="shared" si="13"/>
        <v>100</v>
      </c>
      <c r="V41" s="708" t="s">
        <v>18</v>
      </c>
      <c r="W41" s="709">
        <f t="shared" si="14"/>
        <v>100</v>
      </c>
      <c r="X41" s="710"/>
      <c r="Y41" s="3739"/>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75"/>
      <c r="Q42" s="1351" t="str">
        <f t="shared" si="11"/>
        <v>内部装修</v>
      </c>
      <c r="R42" s="705" t="s">
        <v>18</v>
      </c>
      <c r="S42" s="706">
        <f t="shared" si="12"/>
        <v>100</v>
      </c>
      <c r="T42" s="705" t="s">
        <v>18</v>
      </c>
      <c r="U42" s="706">
        <f t="shared" si="13"/>
        <v>100</v>
      </c>
      <c r="V42" s="705" t="s">
        <v>18</v>
      </c>
      <c r="W42" s="706">
        <f t="shared" si="14"/>
        <v>100</v>
      </c>
      <c r="X42" s="1354"/>
      <c r="Y42" s="3739"/>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75"/>
      <c r="Q43" s="1351" t="str">
        <f t="shared" si="11"/>
        <v>内部装修维护情况</v>
      </c>
      <c r="R43" s="705" t="s">
        <v>18</v>
      </c>
      <c r="S43" s="706">
        <f t="shared" si="12"/>
        <v>100</v>
      </c>
      <c r="T43" s="705" t="s">
        <v>18</v>
      </c>
      <c r="U43" s="706">
        <f t="shared" si="13"/>
        <v>100</v>
      </c>
      <c r="V43" s="705" t="s">
        <v>18</v>
      </c>
      <c r="W43" s="706">
        <f t="shared" si="14"/>
        <v>100</v>
      </c>
      <c r="X43" s="1354"/>
      <c r="Y43" s="373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75"/>
      <c r="Q44" s="1342">
        <f t="shared" si="11"/>
        <v>111</v>
      </c>
      <c r="R44" s="701" t="s">
        <v>18</v>
      </c>
      <c r="S44" s="702">
        <f t="shared" si="12"/>
        <v>100</v>
      </c>
      <c r="T44" s="701" t="s">
        <v>18</v>
      </c>
      <c r="U44" s="702">
        <f t="shared" si="13"/>
        <v>100</v>
      </c>
      <c r="V44" s="701" t="s">
        <v>18</v>
      </c>
      <c r="W44" s="702">
        <f t="shared" si="14"/>
        <v>100</v>
      </c>
      <c r="X44" s="703"/>
      <c r="Y44" s="373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75"/>
      <c r="Q45" s="1351">
        <f t="shared" si="11"/>
        <v>111</v>
      </c>
      <c r="R45" s="705" t="s">
        <v>18</v>
      </c>
      <c r="S45" s="706">
        <f t="shared" si="12"/>
        <v>100</v>
      </c>
      <c r="T45" s="705" t="s">
        <v>18</v>
      </c>
      <c r="U45" s="706">
        <f t="shared" si="13"/>
        <v>100</v>
      </c>
      <c r="V45" s="705" t="s">
        <v>18</v>
      </c>
      <c r="W45" s="706">
        <f t="shared" si="14"/>
        <v>100</v>
      </c>
      <c r="X45" s="1354"/>
      <c r="Y45" s="3739"/>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76"/>
      <c r="Q46" s="1351">
        <f t="shared" si="11"/>
        <v>111</v>
      </c>
      <c r="R46" s="705" t="s">
        <v>17</v>
      </c>
      <c r="S46" s="706">
        <f t="shared" si="12"/>
        <v>100</v>
      </c>
      <c r="T46" s="705" t="s">
        <v>17</v>
      </c>
      <c r="U46" s="706">
        <f t="shared" si="13"/>
        <v>100</v>
      </c>
      <c r="V46" s="705" t="s">
        <v>17</v>
      </c>
      <c r="W46" s="706">
        <f t="shared" si="14"/>
        <v>100</v>
      </c>
      <c r="X46" s="1354"/>
      <c r="Y46" s="3777"/>
      <c r="Z46" s="1355">
        <f t="shared" si="18"/>
        <v>111</v>
      </c>
      <c r="AA46" s="1352">
        <f t="shared" si="15"/>
        <v>1</v>
      </c>
      <c r="AB46" s="1352">
        <f t="shared" si="16"/>
        <v>1</v>
      </c>
      <c r="AC46" s="1352">
        <f t="shared" si="17"/>
        <v>1</v>
      </c>
    </row>
    <row r="47" spans="1:29" ht="15">
      <c r="A47" s="430" t="s">
        <v>1708</v>
      </c>
      <c r="B47" s="431"/>
      <c r="C47" s="1154" t="s">
        <v>16</v>
      </c>
      <c r="D47" s="1155"/>
      <c r="E47" s="1156">
        <v>37307</v>
      </c>
      <c r="F47" s="1157"/>
      <c r="G47" s="1158">
        <v>38874</v>
      </c>
      <c r="H47" s="1159"/>
      <c r="I47" s="1156">
        <v>37823</v>
      </c>
      <c r="J47" s="1159"/>
      <c r="K47" s="1910"/>
      <c r="L47" s="2720"/>
      <c r="M47" s="2721"/>
      <c r="N47" s="2712"/>
      <c r="O47" s="2721"/>
      <c r="P47" s="3721" t="str">
        <f>A47</f>
        <v>成交单价（元/平方米）</v>
      </c>
      <c r="Q47" s="3721"/>
      <c r="R47" s="3773">
        <f>E47</f>
        <v>37307</v>
      </c>
      <c r="S47" s="3773"/>
      <c r="T47" s="3773">
        <f>G47</f>
        <v>38874</v>
      </c>
      <c r="U47" s="3773"/>
      <c r="V47" s="3773">
        <f>I47</f>
        <v>37823</v>
      </c>
      <c r="W47" s="3773"/>
      <c r="X47" s="690"/>
      <c r="Y47" s="712"/>
      <c r="Z47" s="690"/>
      <c r="AA47" s="690"/>
      <c r="AB47" s="690"/>
      <c r="AC47" s="690"/>
    </row>
    <row r="48" spans="1:29" ht="15.7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21" t="str">
        <f>A48</f>
        <v>比较价值（元/平方米）</v>
      </c>
      <c r="Q48" s="3721"/>
      <c r="R48" s="3773">
        <f>IF(F1="售价",ROUND(PRODUCT(R47,AA7:AA46),0),ROUND(PRODUCT(R47,AA7:AA46),1))</f>
        <v>35858</v>
      </c>
      <c r="S48" s="3773"/>
      <c r="T48" s="3773">
        <f>IF(F1="售价",ROUND(PRODUCT(T47,AB7:AB46),0),ROUND(PRODUCT(T47,AB7:AB46),1))</f>
        <v>37364</v>
      </c>
      <c r="U48" s="3773"/>
      <c r="V48" s="3773">
        <f>IF(F1="售价",ROUND(PRODUCT(V47,AC7:AC46),0),ROUND(PRODUCT(V47,AC7:AC46),1))</f>
        <v>37081</v>
      </c>
      <c r="W48" s="3773"/>
      <c r="X48" s="690"/>
      <c r="Y48" s="690"/>
      <c r="Z48" s="690"/>
      <c r="AA48" s="690"/>
      <c r="AB48" s="690"/>
      <c r="AC48" s="690"/>
    </row>
    <row r="49" spans="1:29" ht="15.75" thickBot="1">
      <c r="A49" s="441" t="s">
        <v>1710</v>
      </c>
      <c r="B49" s="442"/>
      <c r="C49" s="1162">
        <f>R49</f>
        <v>36768</v>
      </c>
      <c r="D49" s="1163"/>
      <c r="E49" s="1163"/>
      <c r="F49" s="1163"/>
      <c r="G49" s="1163"/>
      <c r="H49" s="1163"/>
      <c r="I49" s="1163"/>
      <c r="J49" s="1163"/>
      <c r="K49" s="1911"/>
      <c r="L49" s="2720"/>
      <c r="M49" s="2721"/>
      <c r="N49" s="2721"/>
      <c r="O49" s="2721"/>
      <c r="P49" s="3741" t="str">
        <f>A49</f>
        <v>估价对象XX用房的比较价值（楼面单价，元/平方米）</v>
      </c>
      <c r="Q49" s="3742"/>
      <c r="R49" s="3772">
        <f>IF(F1="售价",ROUND(IF(D48="简单平均",AVERAGE(R48:V48),R48*F48+T48*H48+V48*J48),0),ROUND(IF(D48="简单平均",AVERAGE(R48:V48),R48*F48+T48*H48+V48*J48),1))</f>
        <v>36768</v>
      </c>
      <c r="S49" s="3772"/>
      <c r="T49" s="3772"/>
      <c r="U49" s="3772"/>
      <c r="V49" s="3772"/>
      <c r="W49" s="377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2023-6</v>
      </c>
      <c r="D58" s="1184">
        <f>EDATE(C58,-1)</f>
        <v>45047</v>
      </c>
      <c r="E58" s="1184">
        <f>EDATE(D58,-1)</f>
        <v>45017</v>
      </c>
      <c r="F58" s="1184">
        <f t="shared" ref="F58:O58" si="19">EDATE(E58,-1)</f>
        <v>44986</v>
      </c>
      <c r="G58" s="1184">
        <f t="shared" si="19"/>
        <v>44958</v>
      </c>
      <c r="H58" s="1184">
        <f t="shared" si="19"/>
        <v>44927</v>
      </c>
      <c r="I58" s="1184">
        <f t="shared" si="19"/>
        <v>44896</v>
      </c>
      <c r="J58" s="1184">
        <f t="shared" si="19"/>
        <v>44866</v>
      </c>
      <c r="K58" s="1184">
        <f t="shared" si="19"/>
        <v>44835</v>
      </c>
      <c r="L58" s="1184">
        <f t="shared" si="19"/>
        <v>44805</v>
      </c>
      <c r="M58" s="1184">
        <f t="shared" si="19"/>
        <v>44774</v>
      </c>
      <c r="N58" s="1184">
        <f t="shared" si="19"/>
        <v>44743</v>
      </c>
      <c r="O58" s="1184">
        <f t="shared" si="19"/>
        <v>44713</v>
      </c>
      <c r="P58" s="1180"/>
    </row>
    <row r="59" spans="1:29" s="108" customFormat="1" ht="15">
      <c r="A59" s="458"/>
      <c r="B59" s="1915"/>
      <c r="C59" s="1182">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f>C9</f>
        <v>0</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1</v>
      </c>
      <c r="E68" s="498">
        <v>2</v>
      </c>
      <c r="F68" s="498">
        <v>3</v>
      </c>
      <c r="G68" s="498">
        <v>4</v>
      </c>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75" thickTop="1">
      <c r="A88" s="528"/>
      <c r="B88" s="487" t="s">
        <v>1735</v>
      </c>
      <c r="C88" s="503"/>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479"/>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9.25"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5.75" thickBot="1">
      <c r="A127" s="502"/>
      <c r="B127" s="492"/>
      <c r="C127" s="509"/>
      <c r="D127" s="485"/>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9" t="s">
        <v>1771</v>
      </c>
      <c r="S4" s="3710"/>
      <c r="T4" s="3709" t="s">
        <v>1772</v>
      </c>
      <c r="U4" s="3710"/>
      <c r="V4" s="3734" t="s">
        <v>1773</v>
      </c>
      <c r="W4" s="3734"/>
      <c r="X4" s="1354"/>
      <c r="Y4" s="3709" t="s">
        <v>1775</v>
      </c>
      <c r="Z4" s="3710"/>
      <c r="AA4" s="3704" t="s">
        <v>1771</v>
      </c>
      <c r="AB4" s="3734" t="s">
        <v>1772</v>
      </c>
      <c r="AC4" s="3704" t="s">
        <v>1773</v>
      </c>
    </row>
    <row r="5" spans="1:29" ht="15">
      <c r="A5" s="358"/>
      <c r="B5" s="359"/>
      <c r="C5" s="3715" t="s">
        <v>1673</v>
      </c>
      <c r="D5" s="3716"/>
      <c r="E5" s="3713" t="s">
        <v>1674</v>
      </c>
      <c r="F5" s="3714"/>
      <c r="G5" s="3715" t="s">
        <v>1675</v>
      </c>
      <c r="H5" s="3716"/>
      <c r="I5" s="3715" t="s">
        <v>1676</v>
      </c>
      <c r="J5" s="3716"/>
      <c r="K5" s="559"/>
      <c r="L5" s="2711"/>
      <c r="M5" s="2712"/>
      <c r="N5" s="2712"/>
      <c r="O5" s="2712"/>
      <c r="P5" s="3728"/>
      <c r="Q5" s="3729"/>
      <c r="R5" s="3711"/>
      <c r="S5" s="3712"/>
      <c r="T5" s="3711"/>
      <c r="U5" s="3712"/>
      <c r="V5" s="3734"/>
      <c r="W5" s="3734"/>
      <c r="X5" s="1354"/>
      <c r="Y5" s="3711"/>
      <c r="Z5" s="3712"/>
      <c r="AA5" s="3705"/>
      <c r="AB5" s="3734"/>
      <c r="AC5" s="3705"/>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30"/>
      <c r="Q6" s="3731"/>
      <c r="R6" s="3711"/>
      <c r="S6" s="3712"/>
      <c r="T6" s="3732"/>
      <c r="U6" s="3733"/>
      <c r="V6" s="3734"/>
      <c r="W6" s="3734"/>
      <c r="X6" s="1354"/>
      <c r="Y6" s="3732"/>
      <c r="Z6" s="3733"/>
      <c r="AA6" s="3706"/>
      <c r="AB6" s="3734"/>
      <c r="AC6" s="3706"/>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5"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5"/>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5"/>
      <c r="Q11" s="1342"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5"/>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5"/>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5"/>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8" t="s">
        <v>1691</v>
      </c>
      <c r="Q15" s="1351" t="str">
        <f t="shared" si="6"/>
        <v>商业繁华度</v>
      </c>
      <c r="R15" s="705" t="s">
        <v>14</v>
      </c>
      <c r="S15" s="706">
        <f t="shared" si="0"/>
        <v>100</v>
      </c>
      <c r="T15" s="705" t="s">
        <v>14</v>
      </c>
      <c r="U15" s="706">
        <f t="shared" si="1"/>
        <v>100</v>
      </c>
      <c r="V15" s="705" t="s">
        <v>14</v>
      </c>
      <c r="W15" s="706">
        <f t="shared" si="2"/>
        <v>100</v>
      </c>
      <c r="X15" s="1354"/>
      <c r="Y15" s="373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79"/>
      <c r="Q16" s="1351"/>
      <c r="R16" s="705"/>
      <c r="S16" s="706"/>
      <c r="T16" s="705"/>
      <c r="U16" s="706"/>
      <c r="V16" s="705"/>
      <c r="W16" s="706"/>
      <c r="X16" s="1354"/>
      <c r="Y16" s="3737"/>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9"/>
      <c r="Q17" s="1351" t="str">
        <f>B17</f>
        <v>交通便捷度</v>
      </c>
      <c r="R17" s="705" t="s">
        <v>14</v>
      </c>
      <c r="S17" s="706">
        <f>F17</f>
        <v>100</v>
      </c>
      <c r="T17" s="705" t="s">
        <v>14</v>
      </c>
      <c r="U17" s="706">
        <f>H17</f>
        <v>100</v>
      </c>
      <c r="V17" s="705" t="s">
        <v>14</v>
      </c>
      <c r="W17" s="706">
        <f>J17</f>
        <v>100</v>
      </c>
      <c r="X17" s="1354"/>
      <c r="Y17" s="373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79"/>
      <c r="Q18" s="1351"/>
      <c r="R18" s="705"/>
      <c r="S18" s="706"/>
      <c r="T18" s="705"/>
      <c r="U18" s="706"/>
      <c r="V18" s="705"/>
      <c r="W18" s="706"/>
      <c r="X18" s="1354"/>
      <c r="Y18" s="3737"/>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9"/>
      <c r="Q19" s="1351" t="str">
        <f>B19</f>
        <v>公共配套设施</v>
      </c>
      <c r="R19" s="705" t="s">
        <v>14</v>
      </c>
      <c r="S19" s="706">
        <f>F19</f>
        <v>100</v>
      </c>
      <c r="T19" s="705" t="s">
        <v>14</v>
      </c>
      <c r="U19" s="706">
        <f>H19</f>
        <v>100</v>
      </c>
      <c r="V19" s="705" t="s">
        <v>14</v>
      </c>
      <c r="W19" s="706">
        <f>J19</f>
        <v>100</v>
      </c>
      <c r="X19" s="1354"/>
      <c r="Y19" s="373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79"/>
      <c r="Q20" s="1351"/>
      <c r="R20" s="705"/>
      <c r="S20" s="706"/>
      <c r="T20" s="705"/>
      <c r="U20" s="706"/>
      <c r="V20" s="705"/>
      <c r="W20" s="706"/>
      <c r="X20" s="1354"/>
      <c r="Y20" s="3737"/>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9"/>
      <c r="Q21" s="1351" t="str">
        <f>B21</f>
        <v>基础设施水平</v>
      </c>
      <c r="R21" s="705" t="s">
        <v>14</v>
      </c>
      <c r="S21" s="706">
        <f>F21</f>
        <v>100</v>
      </c>
      <c r="T21" s="705" t="s">
        <v>14</v>
      </c>
      <c r="U21" s="706">
        <f>H21</f>
        <v>100</v>
      </c>
      <c r="V21" s="705" t="s">
        <v>14</v>
      </c>
      <c r="W21" s="706">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79"/>
      <c r="Q22" s="1351"/>
      <c r="R22" s="705"/>
      <c r="S22" s="706"/>
      <c r="T22" s="705"/>
      <c r="U22" s="706"/>
      <c r="V22" s="705"/>
      <c r="W22" s="706"/>
      <c r="X22" s="1354"/>
      <c r="Y22" s="3737"/>
      <c r="Z22" s="1355"/>
      <c r="AA22" s="1352">
        <v>1</v>
      </c>
      <c r="AB22" s="1352">
        <v>1</v>
      </c>
      <c r="AC22" s="1352">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9"/>
      <c r="Q23" s="1351" t="str">
        <f>B23</f>
        <v>自然及人文环境</v>
      </c>
      <c r="R23" s="705" t="s">
        <v>14</v>
      </c>
      <c r="S23" s="706">
        <f>F23</f>
        <v>100</v>
      </c>
      <c r="T23" s="705" t="s">
        <v>14</v>
      </c>
      <c r="U23" s="706">
        <f>H23</f>
        <v>100</v>
      </c>
      <c r="V23" s="705" t="s">
        <v>14</v>
      </c>
      <c r="W23" s="706">
        <f>J23</f>
        <v>100</v>
      </c>
      <c r="X23" s="1354"/>
      <c r="Y23" s="373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79"/>
      <c r="Q24" s="1351"/>
      <c r="R24" s="705"/>
      <c r="S24" s="706"/>
      <c r="T24" s="705"/>
      <c r="U24" s="706"/>
      <c r="V24" s="705"/>
      <c r="W24" s="706"/>
      <c r="X24" s="1354"/>
      <c r="Y24" s="373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9"/>
      <c r="Q25" s="1351" t="str">
        <f t="shared" ref="Q25:Q46" si="11">B25</f>
        <v>临街状况</v>
      </c>
      <c r="R25" s="705" t="s">
        <v>14</v>
      </c>
      <c r="S25" s="706">
        <f>F25</f>
        <v>100</v>
      </c>
      <c r="T25" s="705" t="s">
        <v>14</v>
      </c>
      <c r="U25" s="706">
        <f>H25</f>
        <v>100</v>
      </c>
      <c r="V25" s="705" t="s">
        <v>14</v>
      </c>
      <c r="W25" s="706">
        <f>J25</f>
        <v>100</v>
      </c>
      <c r="X25" s="1354"/>
      <c r="Y25" s="3737"/>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9"/>
      <c r="Q26" s="1351" t="str">
        <f t="shared" si="11"/>
        <v>平面位置/可视性</v>
      </c>
      <c r="R26" s="705" t="s">
        <v>14</v>
      </c>
      <c r="S26" s="706">
        <f>F26</f>
        <v>100</v>
      </c>
      <c r="T26" s="705" t="s">
        <v>14</v>
      </c>
      <c r="U26" s="706">
        <f>H26</f>
        <v>100</v>
      </c>
      <c r="V26" s="705" t="s">
        <v>14</v>
      </c>
      <c r="W26" s="706">
        <f>J26</f>
        <v>100</v>
      </c>
      <c r="X26" s="1354"/>
      <c r="Y26" s="3737"/>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9"/>
      <c r="Q27" s="1342" t="str">
        <f t="shared" si="11"/>
        <v>人流量</v>
      </c>
      <c r="R27" s="701" t="s">
        <v>14</v>
      </c>
      <c r="S27" s="702">
        <f>F27</f>
        <v>100</v>
      </c>
      <c r="T27" s="701" t="s">
        <v>14</v>
      </c>
      <c r="U27" s="702">
        <f>H27</f>
        <v>100</v>
      </c>
      <c r="V27" s="701" t="s">
        <v>14</v>
      </c>
      <c r="W27" s="702">
        <f>J27</f>
        <v>100</v>
      </c>
      <c r="X27" s="703"/>
      <c r="Y27" s="373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7"/>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9"/>
      <c r="Q29" s="1351">
        <f t="shared" si="11"/>
        <v>111</v>
      </c>
      <c r="R29" s="705" t="s">
        <v>14</v>
      </c>
      <c r="S29" s="706">
        <f t="shared" si="12"/>
        <v>100</v>
      </c>
      <c r="T29" s="705" t="s">
        <v>14</v>
      </c>
      <c r="U29" s="706">
        <f t="shared" si="13"/>
        <v>100</v>
      </c>
      <c r="V29" s="705" t="s">
        <v>14</v>
      </c>
      <c r="W29" s="706">
        <f t="shared" si="14"/>
        <v>100</v>
      </c>
      <c r="X29" s="1354"/>
      <c r="Y29" s="3737"/>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9"/>
      <c r="Q30" s="1351">
        <f t="shared" si="11"/>
        <v>111</v>
      </c>
      <c r="R30" s="705" t="s">
        <v>14</v>
      </c>
      <c r="S30" s="706">
        <f t="shared" si="12"/>
        <v>100</v>
      </c>
      <c r="T30" s="705" t="s">
        <v>14</v>
      </c>
      <c r="U30" s="706">
        <f t="shared" si="13"/>
        <v>100</v>
      </c>
      <c r="V30" s="705" t="s">
        <v>14</v>
      </c>
      <c r="W30" s="706">
        <f t="shared" si="14"/>
        <v>100</v>
      </c>
      <c r="X30" s="1354"/>
      <c r="Y30" s="3737"/>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9"/>
      <c r="Q31" s="1351">
        <f t="shared" si="11"/>
        <v>111</v>
      </c>
      <c r="R31" s="705" t="s">
        <v>14</v>
      </c>
      <c r="S31" s="706">
        <f t="shared" si="12"/>
        <v>100</v>
      </c>
      <c r="T31" s="705" t="s">
        <v>14</v>
      </c>
      <c r="U31" s="706">
        <f t="shared" si="13"/>
        <v>100</v>
      </c>
      <c r="V31" s="705" t="s">
        <v>14</v>
      </c>
      <c r="W31" s="706">
        <f t="shared" si="14"/>
        <v>100</v>
      </c>
      <c r="X31" s="1354"/>
      <c r="Y31" s="3737"/>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74" t="s">
        <v>1696</v>
      </c>
      <c r="Q32" s="1351" t="str">
        <f t="shared" si="11"/>
        <v>商业类型</v>
      </c>
      <c r="R32" s="705" t="s">
        <v>14</v>
      </c>
      <c r="S32" s="706">
        <f t="shared" si="12"/>
        <v>100</v>
      </c>
      <c r="T32" s="705" t="s">
        <v>14</v>
      </c>
      <c r="U32" s="706">
        <f t="shared" si="13"/>
        <v>100</v>
      </c>
      <c r="V32" s="705" t="s">
        <v>14</v>
      </c>
      <c r="W32" s="706">
        <f t="shared" si="14"/>
        <v>100</v>
      </c>
      <c r="X32" s="1354"/>
      <c r="Y32" s="373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75"/>
      <c r="Q33" s="707" t="str">
        <f t="shared" si="11"/>
        <v>项目建筑规模</v>
      </c>
      <c r="R33" s="708" t="s">
        <v>14</v>
      </c>
      <c r="S33" s="709" t="e">
        <f t="shared" si="12"/>
        <v>#N/A</v>
      </c>
      <c r="T33" s="708" t="s">
        <v>14</v>
      </c>
      <c r="U33" s="709" t="e">
        <f t="shared" si="13"/>
        <v>#N/A</v>
      </c>
      <c r="V33" s="708" t="s">
        <v>14</v>
      </c>
      <c r="W33" s="709" t="e">
        <f t="shared" si="14"/>
        <v>#N/A</v>
      </c>
      <c r="X33" s="710"/>
      <c r="Y33" s="3739"/>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75"/>
      <c r="Q34" s="1351" t="str">
        <f t="shared" si="11"/>
        <v>建筑结构</v>
      </c>
      <c r="R34" s="705" t="s">
        <v>14</v>
      </c>
      <c r="S34" s="706">
        <f t="shared" si="12"/>
        <v>100</v>
      </c>
      <c r="T34" s="705" t="s">
        <v>14</v>
      </c>
      <c r="U34" s="706">
        <f t="shared" si="13"/>
        <v>100</v>
      </c>
      <c r="V34" s="705" t="s">
        <v>14</v>
      </c>
      <c r="W34" s="706">
        <f t="shared" si="14"/>
        <v>100</v>
      </c>
      <c r="X34" s="1354"/>
      <c r="Y34" s="3739"/>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75"/>
      <c r="Q35" s="1351" t="str">
        <f t="shared" si="11"/>
        <v>公共部分装修</v>
      </c>
      <c r="R35" s="705" t="s">
        <v>14</v>
      </c>
      <c r="S35" s="706">
        <f t="shared" si="12"/>
        <v>100</v>
      </c>
      <c r="T35" s="705" t="s">
        <v>14</v>
      </c>
      <c r="U35" s="706">
        <f t="shared" si="13"/>
        <v>100</v>
      </c>
      <c r="V35" s="705" t="s">
        <v>14</v>
      </c>
      <c r="W35" s="706">
        <f t="shared" si="14"/>
        <v>100</v>
      </c>
      <c r="X35" s="1354"/>
      <c r="Y35" s="373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75"/>
      <c r="Q36" s="1351" t="str">
        <f t="shared" si="11"/>
        <v>成新度</v>
      </c>
      <c r="R36" s="705" t="s">
        <v>14</v>
      </c>
      <c r="S36" s="706" t="e">
        <f t="shared" si="12"/>
        <v>#N/A</v>
      </c>
      <c r="T36" s="705" t="s">
        <v>14</v>
      </c>
      <c r="U36" s="706" t="e">
        <f t="shared" si="13"/>
        <v>#N/A</v>
      </c>
      <c r="V36" s="705" t="s">
        <v>14</v>
      </c>
      <c r="W36" s="706" t="e">
        <f t="shared" si="14"/>
        <v>#N/A</v>
      </c>
      <c r="X36" s="1354"/>
      <c r="Y36" s="3739"/>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75"/>
      <c r="Q37" s="1342" t="str">
        <f t="shared" si="11"/>
        <v>市政基础设施</v>
      </c>
      <c r="R37" s="701" t="s">
        <v>14</v>
      </c>
      <c r="S37" s="702">
        <f t="shared" si="12"/>
        <v>100</v>
      </c>
      <c r="T37" s="701" t="s">
        <v>14</v>
      </c>
      <c r="U37" s="702">
        <f t="shared" si="13"/>
        <v>100</v>
      </c>
      <c r="V37" s="701" t="s">
        <v>14</v>
      </c>
      <c r="W37" s="702">
        <f t="shared" si="14"/>
        <v>100</v>
      </c>
      <c r="X37" s="703"/>
      <c r="Y37" s="3739"/>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75" t="s">
        <v>1696</v>
      </c>
      <c r="Q38" s="1351" t="str">
        <f t="shared" si="11"/>
        <v>业态</v>
      </c>
      <c r="R38" s="705" t="s">
        <v>14</v>
      </c>
      <c r="S38" s="706">
        <f t="shared" si="12"/>
        <v>100</v>
      </c>
      <c r="T38" s="705" t="s">
        <v>14</v>
      </c>
      <c r="U38" s="706">
        <f t="shared" si="13"/>
        <v>100</v>
      </c>
      <c r="V38" s="705" t="s">
        <v>14</v>
      </c>
      <c r="W38" s="706">
        <f t="shared" si="14"/>
        <v>100</v>
      </c>
      <c r="X38" s="1354"/>
      <c r="Y38" s="3739"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75"/>
      <c r="Q39" s="1351" t="str">
        <f t="shared" si="11"/>
        <v>层高</v>
      </c>
      <c r="R39" s="705" t="s">
        <v>14</v>
      </c>
      <c r="S39" s="706">
        <f t="shared" si="12"/>
        <v>100</v>
      </c>
      <c r="T39" s="705" t="s">
        <v>14</v>
      </c>
      <c r="U39" s="706">
        <f t="shared" si="13"/>
        <v>100</v>
      </c>
      <c r="V39" s="705" t="s">
        <v>14</v>
      </c>
      <c r="W39" s="706">
        <f t="shared" si="14"/>
        <v>100</v>
      </c>
      <c r="X39" s="1354"/>
      <c r="Y39" s="373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5"/>
      <c r="Q40" s="1351" t="str">
        <f t="shared" si="11"/>
        <v>单套建筑面积</v>
      </c>
      <c r="R40" s="705" t="s">
        <v>14</v>
      </c>
      <c r="S40" s="706">
        <f t="shared" si="12"/>
        <v>100</v>
      </c>
      <c r="T40" s="705" t="s">
        <v>14</v>
      </c>
      <c r="U40" s="706">
        <f t="shared" si="13"/>
        <v>100</v>
      </c>
      <c r="V40" s="705" t="s">
        <v>14</v>
      </c>
      <c r="W40" s="706">
        <f t="shared" si="14"/>
        <v>100</v>
      </c>
      <c r="X40" s="1354"/>
      <c r="Y40" s="373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5"/>
      <c r="Q41" s="707" t="str">
        <f t="shared" si="11"/>
        <v>进深比</v>
      </c>
      <c r="R41" s="708" t="s">
        <v>14</v>
      </c>
      <c r="S41" s="709">
        <f t="shared" si="12"/>
        <v>100</v>
      </c>
      <c r="T41" s="708" t="s">
        <v>14</v>
      </c>
      <c r="U41" s="709">
        <f t="shared" si="13"/>
        <v>100</v>
      </c>
      <c r="V41" s="708" t="s">
        <v>14</v>
      </c>
      <c r="W41" s="709">
        <f t="shared" si="14"/>
        <v>100</v>
      </c>
      <c r="X41" s="710"/>
      <c r="Y41" s="3739"/>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75"/>
      <c r="Q42" s="1351" t="str">
        <f t="shared" si="11"/>
        <v>内部装修</v>
      </c>
      <c r="R42" s="705" t="s">
        <v>14</v>
      </c>
      <c r="S42" s="706">
        <f t="shared" si="12"/>
        <v>100</v>
      </c>
      <c r="T42" s="705" t="s">
        <v>14</v>
      </c>
      <c r="U42" s="706">
        <f t="shared" si="13"/>
        <v>100</v>
      </c>
      <c r="V42" s="705" t="s">
        <v>14</v>
      </c>
      <c r="W42" s="706">
        <f t="shared" si="14"/>
        <v>100</v>
      </c>
      <c r="X42" s="1354"/>
      <c r="Y42" s="3739"/>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75"/>
      <c r="Q43" s="1351" t="str">
        <f t="shared" si="11"/>
        <v>内部装修维护情况</v>
      </c>
      <c r="R43" s="705" t="s">
        <v>14</v>
      </c>
      <c r="S43" s="706">
        <f t="shared" si="12"/>
        <v>100</v>
      </c>
      <c r="T43" s="705" t="s">
        <v>14</v>
      </c>
      <c r="U43" s="706">
        <f t="shared" si="13"/>
        <v>100</v>
      </c>
      <c r="V43" s="705" t="s">
        <v>14</v>
      </c>
      <c r="W43" s="706">
        <f t="shared" si="14"/>
        <v>100</v>
      </c>
      <c r="X43" s="1354"/>
      <c r="Y43" s="373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5"/>
      <c r="Q44" s="1342">
        <f t="shared" si="11"/>
        <v>111</v>
      </c>
      <c r="R44" s="701" t="s">
        <v>14</v>
      </c>
      <c r="S44" s="702">
        <f t="shared" si="12"/>
        <v>100</v>
      </c>
      <c r="T44" s="701" t="s">
        <v>14</v>
      </c>
      <c r="U44" s="702">
        <f t="shared" si="13"/>
        <v>100</v>
      </c>
      <c r="V44" s="701" t="s">
        <v>14</v>
      </c>
      <c r="W44" s="702">
        <f t="shared" si="14"/>
        <v>100</v>
      </c>
      <c r="X44" s="703"/>
      <c r="Y44" s="373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5"/>
      <c r="Q45" s="1351">
        <f t="shared" si="11"/>
        <v>111</v>
      </c>
      <c r="R45" s="705" t="s">
        <v>14</v>
      </c>
      <c r="S45" s="706">
        <f t="shared" si="12"/>
        <v>100</v>
      </c>
      <c r="T45" s="705" t="s">
        <v>14</v>
      </c>
      <c r="U45" s="706">
        <f t="shared" si="13"/>
        <v>100</v>
      </c>
      <c r="V45" s="705" t="s">
        <v>14</v>
      </c>
      <c r="W45" s="706">
        <f t="shared" si="14"/>
        <v>100</v>
      </c>
      <c r="X45" s="1354"/>
      <c r="Y45" s="3739"/>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6"/>
      <c r="Q46" s="1351">
        <f t="shared" si="11"/>
        <v>111</v>
      </c>
      <c r="R46" s="705" t="s">
        <v>14</v>
      </c>
      <c r="S46" s="706">
        <f t="shared" si="12"/>
        <v>100</v>
      </c>
      <c r="T46" s="705" t="s">
        <v>14</v>
      </c>
      <c r="U46" s="706">
        <f t="shared" si="13"/>
        <v>100</v>
      </c>
      <c r="V46" s="705" t="s">
        <v>14</v>
      </c>
      <c r="W46" s="706">
        <f t="shared" si="14"/>
        <v>100</v>
      </c>
      <c r="X46" s="1354"/>
      <c r="Y46" s="377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0"/>
      <c r="M47" s="2721"/>
      <c r="N47" s="2712"/>
      <c r="O47" s="2721"/>
      <c r="P47" s="3721" t="str">
        <f>A47</f>
        <v>成交单价（元/平方米）</v>
      </c>
      <c r="Q47" s="3721"/>
      <c r="R47" s="3734">
        <f>E47</f>
        <v>0</v>
      </c>
      <c r="S47" s="3734"/>
      <c r="T47" s="3734">
        <f>G47</f>
        <v>0</v>
      </c>
      <c r="U47" s="3734"/>
      <c r="V47" s="3734">
        <f>I47</f>
        <v>0</v>
      </c>
      <c r="W47" s="3734"/>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21" t="str">
        <f>A48</f>
        <v>比较价值（元/平方米）</v>
      </c>
      <c r="Q48" s="3721"/>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41" t="str">
        <f>A49</f>
        <v>估价对象XX用房的比较价值（楼面单价，元/平方米）</v>
      </c>
      <c r="Q49" s="3742"/>
      <c r="R49" s="3772" t="e">
        <f>IF(F1="售价",ROUND(IF(D48="简单平均",AVERAGE(R48:V48),R48*F48+T48*H48+V48*J48),0),ROUND(IF(D48="简单平均",AVERAGE(R48:V48),R48*F48+T48*H48+V48*J48),1))</f>
        <v>#DIV/0!</v>
      </c>
      <c r="S49" s="3772"/>
      <c r="T49" s="3772"/>
      <c r="U49" s="3772"/>
      <c r="V49" s="3772"/>
      <c r="W49" s="3772"/>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3" t="str">
        <f>YEAR(C7)&amp;"-"&amp;MONTH(C7)</f>
        <v>2023-6</v>
      </c>
      <c r="D58" s="1184">
        <f>EDATE(C58,-1)</f>
        <v>45047</v>
      </c>
      <c r="E58" s="1184">
        <f t="shared" ref="E58:N58" si="16">EDATE(D58,-1)</f>
        <v>45017</v>
      </c>
      <c r="F58" s="1184">
        <f t="shared" si="16"/>
        <v>44986</v>
      </c>
      <c r="G58" s="1184">
        <f t="shared" si="16"/>
        <v>44958</v>
      </c>
      <c r="H58" s="1184">
        <f t="shared" si="16"/>
        <v>44927</v>
      </c>
      <c r="I58" s="1184">
        <f t="shared" si="16"/>
        <v>44896</v>
      </c>
      <c r="J58" s="1184">
        <f t="shared" si="16"/>
        <v>44866</v>
      </c>
      <c r="K58" s="1184">
        <f t="shared" si="16"/>
        <v>44835</v>
      </c>
      <c r="L58" s="1184">
        <f t="shared" si="16"/>
        <v>44805</v>
      </c>
      <c r="M58" s="1184">
        <f t="shared" si="16"/>
        <v>44774</v>
      </c>
      <c r="N58" s="1184">
        <f t="shared" si="16"/>
        <v>44743</v>
      </c>
      <c r="O58" s="1184">
        <f>EDATE(N58,-1)</f>
        <v>44713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86" t="s">
        <v>1775</v>
      </c>
      <c r="Q4" s="3787"/>
      <c r="R4" s="3781" t="s">
        <v>1771</v>
      </c>
      <c r="S4" s="3782"/>
      <c r="T4" s="3781" t="s">
        <v>1772</v>
      </c>
      <c r="U4" s="3782"/>
      <c r="V4" s="3790" t="s">
        <v>1773</v>
      </c>
      <c r="W4" s="3790"/>
      <c r="X4" s="1954"/>
      <c r="Y4" s="3781" t="s">
        <v>1775</v>
      </c>
      <c r="Z4" s="3782"/>
      <c r="AA4" s="3780" t="s">
        <v>1771</v>
      </c>
      <c r="AB4" s="3780" t="s">
        <v>1772</v>
      </c>
      <c r="AC4" s="3783" t="s">
        <v>1773</v>
      </c>
    </row>
    <row r="5" spans="1:29" ht="15">
      <c r="A5" s="358"/>
      <c r="B5" s="359"/>
      <c r="C5" s="3715" t="s">
        <v>1673</v>
      </c>
      <c r="D5" s="3716"/>
      <c r="E5" s="3713" t="s">
        <v>1674</v>
      </c>
      <c r="F5" s="3714"/>
      <c r="G5" s="3715" t="s">
        <v>1675</v>
      </c>
      <c r="H5" s="3716"/>
      <c r="I5" s="3715" t="s">
        <v>1676</v>
      </c>
      <c r="J5" s="3716"/>
      <c r="K5" s="559"/>
      <c r="L5" s="2711"/>
      <c r="M5" s="2712"/>
      <c r="N5" s="2712"/>
      <c r="O5" s="2712"/>
      <c r="P5" s="3788"/>
      <c r="Q5" s="3729"/>
      <c r="R5" s="3711"/>
      <c r="S5" s="3712"/>
      <c r="T5" s="3711"/>
      <c r="U5" s="3712"/>
      <c r="V5" s="3734"/>
      <c r="W5" s="3734"/>
      <c r="X5" s="1354"/>
      <c r="Y5" s="3711"/>
      <c r="Z5" s="3712"/>
      <c r="AA5" s="3705"/>
      <c r="AB5" s="3705"/>
      <c r="AC5" s="3784"/>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89"/>
      <c r="Q6" s="3731"/>
      <c r="R6" s="3711"/>
      <c r="S6" s="3712"/>
      <c r="T6" s="3732"/>
      <c r="U6" s="3733"/>
      <c r="V6" s="3734"/>
      <c r="W6" s="3734"/>
      <c r="X6" s="1354"/>
      <c r="Y6" s="3732"/>
      <c r="Z6" s="3733"/>
      <c r="AA6" s="3706"/>
      <c r="AB6" s="3706"/>
      <c r="AC6" s="3785"/>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9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9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5"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5"/>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5"/>
      <c r="Q11" s="1342"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5"/>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5"/>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5"/>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8" t="s">
        <v>1691</v>
      </c>
      <c r="Q15" s="1351" t="str">
        <f t="shared" si="6"/>
        <v>办公集聚程度</v>
      </c>
      <c r="R15" s="705" t="s">
        <v>14</v>
      </c>
      <c r="S15" s="706">
        <f t="shared" si="0"/>
        <v>100</v>
      </c>
      <c r="T15" s="705" t="s">
        <v>14</v>
      </c>
      <c r="U15" s="706">
        <f t="shared" si="1"/>
        <v>100</v>
      </c>
      <c r="V15" s="705" t="s">
        <v>14</v>
      </c>
      <c r="W15" s="706">
        <f t="shared" si="2"/>
        <v>100</v>
      </c>
      <c r="X15" s="1354"/>
      <c r="Y15" s="3736"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79"/>
      <c r="Q16" s="1351"/>
      <c r="R16" s="705"/>
      <c r="S16" s="706"/>
      <c r="T16" s="705"/>
      <c r="U16" s="706"/>
      <c r="V16" s="705"/>
      <c r="W16" s="706"/>
      <c r="X16" s="1354"/>
      <c r="Y16" s="3737"/>
      <c r="Z16" s="1355"/>
      <c r="AA16" s="1352">
        <v>1</v>
      </c>
      <c r="AB16" s="1352">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9"/>
      <c r="Q17" s="1351" t="str">
        <f>B17</f>
        <v>交通便捷度</v>
      </c>
      <c r="R17" s="705" t="s">
        <v>14</v>
      </c>
      <c r="S17" s="706">
        <f>F17</f>
        <v>100</v>
      </c>
      <c r="T17" s="705" t="s">
        <v>14</v>
      </c>
      <c r="U17" s="706">
        <f>H17</f>
        <v>100</v>
      </c>
      <c r="V17" s="705" t="s">
        <v>14</v>
      </c>
      <c r="W17" s="706">
        <f>J17</f>
        <v>100</v>
      </c>
      <c r="X17" s="1354"/>
      <c r="Y17" s="3737"/>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79"/>
      <c r="Q18" s="1351"/>
      <c r="R18" s="705"/>
      <c r="S18" s="706"/>
      <c r="T18" s="705"/>
      <c r="U18" s="706"/>
      <c r="V18" s="705"/>
      <c r="W18" s="706"/>
      <c r="X18" s="1354"/>
      <c r="Y18" s="3737"/>
      <c r="Z18" s="1355"/>
      <c r="AA18" s="1352">
        <v>1</v>
      </c>
      <c r="AB18" s="1352">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9"/>
      <c r="Q19" s="1351" t="str">
        <f>B19</f>
        <v>公共配套设施</v>
      </c>
      <c r="R19" s="705" t="s">
        <v>14</v>
      </c>
      <c r="S19" s="706">
        <f>F19</f>
        <v>100</v>
      </c>
      <c r="T19" s="705" t="s">
        <v>14</v>
      </c>
      <c r="U19" s="706">
        <f>H19</f>
        <v>100</v>
      </c>
      <c r="V19" s="705" t="s">
        <v>14</v>
      </c>
      <c r="W19" s="706">
        <f>J19</f>
        <v>100</v>
      </c>
      <c r="X19" s="1354"/>
      <c r="Y19" s="3737"/>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79"/>
      <c r="Q20" s="1351"/>
      <c r="R20" s="705"/>
      <c r="S20" s="706"/>
      <c r="T20" s="705"/>
      <c r="U20" s="706"/>
      <c r="V20" s="705"/>
      <c r="W20" s="706"/>
      <c r="X20" s="1354"/>
      <c r="Y20" s="3737"/>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9"/>
      <c r="Q21" s="1351" t="str">
        <f>B21</f>
        <v>基础设施水平</v>
      </c>
      <c r="R21" s="705" t="s">
        <v>14</v>
      </c>
      <c r="S21" s="706">
        <f>F21</f>
        <v>100</v>
      </c>
      <c r="T21" s="705" t="s">
        <v>14</v>
      </c>
      <c r="U21" s="706">
        <f>H21</f>
        <v>100</v>
      </c>
      <c r="V21" s="705" t="s">
        <v>14</v>
      </c>
      <c r="W21" s="706">
        <f>J21</f>
        <v>100</v>
      </c>
      <c r="X21" s="1354"/>
      <c r="Y21" s="3737"/>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79"/>
      <c r="Q22" s="1351"/>
      <c r="R22" s="705"/>
      <c r="S22" s="706"/>
      <c r="T22" s="705"/>
      <c r="U22" s="706"/>
      <c r="V22" s="705"/>
      <c r="W22" s="706"/>
      <c r="X22" s="1354"/>
      <c r="Y22" s="3737"/>
      <c r="Z22" s="1355"/>
      <c r="AA22" s="1352">
        <v>1</v>
      </c>
      <c r="AB22" s="1352">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9"/>
      <c r="Q23" s="1351" t="str">
        <f>B23</f>
        <v>环境质量</v>
      </c>
      <c r="R23" s="705" t="s">
        <v>14</v>
      </c>
      <c r="S23" s="706">
        <f>F23</f>
        <v>100</v>
      </c>
      <c r="T23" s="705" t="s">
        <v>14</v>
      </c>
      <c r="U23" s="706">
        <f>H23</f>
        <v>100</v>
      </c>
      <c r="V23" s="705" t="s">
        <v>14</v>
      </c>
      <c r="W23" s="706">
        <f>J23</f>
        <v>100</v>
      </c>
      <c r="X23" s="1354"/>
      <c r="Y23" s="3737"/>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79"/>
      <c r="Q24" s="1351"/>
      <c r="R24" s="705"/>
      <c r="S24" s="706"/>
      <c r="T24" s="705"/>
      <c r="U24" s="706"/>
      <c r="V24" s="705"/>
      <c r="W24" s="706"/>
      <c r="X24" s="1354"/>
      <c r="Y24" s="3737"/>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79"/>
      <c r="Q25" s="1351" t="str">
        <f>B25</f>
        <v>毗邻道路的类型与等级</v>
      </c>
      <c r="R25" s="705" t="s">
        <v>14</v>
      </c>
      <c r="S25" s="706">
        <f>F25</f>
        <v>100</v>
      </c>
      <c r="T25" s="705" t="s">
        <v>14</v>
      </c>
      <c r="U25" s="706">
        <f>H25</f>
        <v>100</v>
      </c>
      <c r="V25" s="705" t="s">
        <v>14</v>
      </c>
      <c r="W25" s="706">
        <f>J25</f>
        <v>100</v>
      </c>
      <c r="X25" s="1354"/>
      <c r="Y25" s="3737"/>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79"/>
      <c r="Q26" s="1351"/>
      <c r="R26" s="705"/>
      <c r="S26" s="706"/>
      <c r="T26" s="705"/>
      <c r="U26" s="706"/>
      <c r="V26" s="705"/>
      <c r="W26" s="706"/>
      <c r="X26" s="1354"/>
      <c r="Y26" s="3737"/>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9"/>
      <c r="Q27" s="1351" t="str">
        <f t="shared" ref="Q27:Q47" si="11">B27</f>
        <v>楼层</v>
      </c>
      <c r="R27" s="705" t="s">
        <v>14</v>
      </c>
      <c r="S27" s="706">
        <f>F27</f>
        <v>100</v>
      </c>
      <c r="T27" s="705" t="s">
        <v>14</v>
      </c>
      <c r="U27" s="706">
        <f>H27</f>
        <v>100</v>
      </c>
      <c r="V27" s="705" t="s">
        <v>14</v>
      </c>
      <c r="W27" s="706">
        <f>J27</f>
        <v>100</v>
      </c>
      <c r="X27" s="1354"/>
      <c r="Y27" s="3737"/>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9"/>
      <c r="Q28" s="1342" t="str">
        <f t="shared" si="11"/>
        <v>朝向</v>
      </c>
      <c r="R28" s="701" t="s">
        <v>14</v>
      </c>
      <c r="S28" s="702">
        <f>F28</f>
        <v>100</v>
      </c>
      <c r="T28" s="701" t="s">
        <v>14</v>
      </c>
      <c r="U28" s="702">
        <f>H28</f>
        <v>100</v>
      </c>
      <c r="V28" s="701" t="s">
        <v>14</v>
      </c>
      <c r="W28" s="702">
        <f>J28</f>
        <v>100</v>
      </c>
      <c r="X28" s="703"/>
      <c r="Y28" s="3737"/>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9"/>
      <c r="Q29" s="1351">
        <f t="shared" si="11"/>
        <v>111</v>
      </c>
      <c r="R29" s="705" t="s">
        <v>14</v>
      </c>
      <c r="S29" s="706">
        <f t="shared" ref="S29:S47" si="12">F29</f>
        <v>100</v>
      </c>
      <c r="T29" s="705" t="s">
        <v>14</v>
      </c>
      <c r="U29" s="706">
        <f t="shared" ref="U29:U47" si="13">H29</f>
        <v>100</v>
      </c>
      <c r="V29" s="705" t="s">
        <v>14</v>
      </c>
      <c r="W29" s="706">
        <f t="shared" ref="W29:W47" si="14">J29</f>
        <v>100</v>
      </c>
      <c r="X29" s="1354"/>
      <c r="Y29" s="3737"/>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9"/>
      <c r="Q30" s="1351">
        <f t="shared" si="11"/>
        <v>111</v>
      </c>
      <c r="R30" s="705" t="s">
        <v>14</v>
      </c>
      <c r="S30" s="706">
        <f t="shared" si="12"/>
        <v>100</v>
      </c>
      <c r="T30" s="705" t="s">
        <v>14</v>
      </c>
      <c r="U30" s="706">
        <f t="shared" si="13"/>
        <v>100</v>
      </c>
      <c r="V30" s="705" t="s">
        <v>14</v>
      </c>
      <c r="W30" s="706">
        <f t="shared" si="14"/>
        <v>100</v>
      </c>
      <c r="X30" s="1354"/>
      <c r="Y30" s="3737"/>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9"/>
      <c r="Q31" s="1351">
        <f t="shared" si="11"/>
        <v>111</v>
      </c>
      <c r="R31" s="705" t="s">
        <v>14</v>
      </c>
      <c r="S31" s="706">
        <f t="shared" si="12"/>
        <v>100</v>
      </c>
      <c r="T31" s="705" t="s">
        <v>14</v>
      </c>
      <c r="U31" s="706">
        <f t="shared" si="13"/>
        <v>100</v>
      </c>
      <c r="V31" s="705" t="s">
        <v>14</v>
      </c>
      <c r="W31" s="706">
        <f t="shared" si="14"/>
        <v>100</v>
      </c>
      <c r="X31" s="1354"/>
      <c r="Y31" s="3737"/>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9"/>
      <c r="Q32" s="1351">
        <f t="shared" si="11"/>
        <v>111</v>
      </c>
      <c r="R32" s="705" t="s">
        <v>14</v>
      </c>
      <c r="S32" s="706">
        <f t="shared" si="12"/>
        <v>100</v>
      </c>
      <c r="T32" s="705" t="s">
        <v>14</v>
      </c>
      <c r="U32" s="706">
        <f t="shared" si="13"/>
        <v>100</v>
      </c>
      <c r="V32" s="705" t="s">
        <v>14</v>
      </c>
      <c r="W32" s="706">
        <f t="shared" si="14"/>
        <v>100</v>
      </c>
      <c r="X32" s="1354"/>
      <c r="Y32" s="3737"/>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74" t="s">
        <v>1696</v>
      </c>
      <c r="Q33" s="1351" t="str">
        <f t="shared" si="11"/>
        <v>建筑类型</v>
      </c>
      <c r="R33" s="705" t="s">
        <v>14</v>
      </c>
      <c r="S33" s="706">
        <f t="shared" si="12"/>
        <v>100</v>
      </c>
      <c r="T33" s="705" t="s">
        <v>14</v>
      </c>
      <c r="U33" s="706">
        <f t="shared" si="13"/>
        <v>100</v>
      </c>
      <c r="V33" s="705" t="s">
        <v>14</v>
      </c>
      <c r="W33" s="706">
        <f t="shared" si="14"/>
        <v>100</v>
      </c>
      <c r="X33" s="1354"/>
      <c r="Y33" s="3739"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75"/>
      <c r="Q34" s="707" t="str">
        <f t="shared" si="11"/>
        <v>项目建筑规模</v>
      </c>
      <c r="R34" s="708" t="s">
        <v>14</v>
      </c>
      <c r="S34" s="709" t="e">
        <f t="shared" si="12"/>
        <v>#N/A</v>
      </c>
      <c r="T34" s="708" t="s">
        <v>14</v>
      </c>
      <c r="U34" s="709" t="e">
        <f t="shared" si="13"/>
        <v>#N/A</v>
      </c>
      <c r="V34" s="708" t="s">
        <v>14</v>
      </c>
      <c r="W34" s="709" t="e">
        <f t="shared" si="14"/>
        <v>#N/A</v>
      </c>
      <c r="X34" s="710"/>
      <c r="Y34" s="3739"/>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5"/>
      <c r="Q35" s="1351" t="str">
        <f t="shared" si="11"/>
        <v>建筑结构</v>
      </c>
      <c r="R35" s="705" t="s">
        <v>14</v>
      </c>
      <c r="S35" s="706">
        <f t="shared" si="12"/>
        <v>100</v>
      </c>
      <c r="T35" s="705" t="s">
        <v>14</v>
      </c>
      <c r="U35" s="706">
        <f t="shared" si="13"/>
        <v>100</v>
      </c>
      <c r="V35" s="705" t="s">
        <v>14</v>
      </c>
      <c r="W35" s="706">
        <f t="shared" si="14"/>
        <v>100</v>
      </c>
      <c r="X35" s="1354"/>
      <c r="Y35" s="3739"/>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5"/>
      <c r="Q36" s="1351" t="str">
        <f t="shared" si="11"/>
        <v>公共部分装修</v>
      </c>
      <c r="R36" s="705" t="s">
        <v>14</v>
      </c>
      <c r="S36" s="706">
        <f t="shared" si="12"/>
        <v>100</v>
      </c>
      <c r="T36" s="705" t="s">
        <v>14</v>
      </c>
      <c r="U36" s="706">
        <f t="shared" si="13"/>
        <v>100</v>
      </c>
      <c r="V36" s="705" t="s">
        <v>14</v>
      </c>
      <c r="W36" s="706">
        <f t="shared" si="14"/>
        <v>100</v>
      </c>
      <c r="X36" s="1354"/>
      <c r="Y36" s="3739"/>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75"/>
      <c r="Q37" s="1351" t="str">
        <f t="shared" si="11"/>
        <v>成新度</v>
      </c>
      <c r="R37" s="705" t="s">
        <v>14</v>
      </c>
      <c r="S37" s="706" t="e">
        <f t="shared" si="12"/>
        <v>#N/A</v>
      </c>
      <c r="T37" s="705" t="s">
        <v>14</v>
      </c>
      <c r="U37" s="706" t="e">
        <f t="shared" si="13"/>
        <v>#N/A</v>
      </c>
      <c r="V37" s="705" t="s">
        <v>14</v>
      </c>
      <c r="W37" s="706" t="e">
        <f t="shared" si="14"/>
        <v>#N/A</v>
      </c>
      <c r="X37" s="1354"/>
      <c r="Y37" s="3739"/>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5"/>
      <c r="Q38" s="1342" t="str">
        <f t="shared" si="11"/>
        <v>写字楼等级</v>
      </c>
      <c r="R38" s="701" t="s">
        <v>14</v>
      </c>
      <c r="S38" s="702">
        <f t="shared" si="12"/>
        <v>100</v>
      </c>
      <c r="T38" s="701" t="s">
        <v>14</v>
      </c>
      <c r="U38" s="702">
        <f t="shared" si="13"/>
        <v>100</v>
      </c>
      <c r="V38" s="701" t="s">
        <v>14</v>
      </c>
      <c r="W38" s="702">
        <f t="shared" si="14"/>
        <v>100</v>
      </c>
      <c r="X38" s="703"/>
      <c r="Y38" s="3739"/>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5" t="s">
        <v>1696</v>
      </c>
      <c r="Q39" s="1351" t="str">
        <f t="shared" si="11"/>
        <v>物业管理</v>
      </c>
      <c r="R39" s="705" t="s">
        <v>14</v>
      </c>
      <c r="S39" s="706">
        <f t="shared" si="12"/>
        <v>100</v>
      </c>
      <c r="T39" s="705" t="s">
        <v>14</v>
      </c>
      <c r="U39" s="706">
        <f t="shared" si="13"/>
        <v>100</v>
      </c>
      <c r="V39" s="705" t="s">
        <v>14</v>
      </c>
      <c r="W39" s="706">
        <f t="shared" si="14"/>
        <v>100</v>
      </c>
      <c r="X39" s="1354"/>
      <c r="Y39" s="3739"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5"/>
      <c r="Q40" s="1351" t="str">
        <f t="shared" si="11"/>
        <v>市政基础设施</v>
      </c>
      <c r="R40" s="705" t="s">
        <v>14</v>
      </c>
      <c r="S40" s="706">
        <f t="shared" si="12"/>
        <v>100</v>
      </c>
      <c r="T40" s="705" t="s">
        <v>14</v>
      </c>
      <c r="U40" s="706">
        <f t="shared" si="13"/>
        <v>100</v>
      </c>
      <c r="V40" s="705" t="s">
        <v>14</v>
      </c>
      <c r="W40" s="706">
        <f t="shared" si="14"/>
        <v>100</v>
      </c>
      <c r="X40" s="1354"/>
      <c r="Y40" s="3739"/>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5"/>
      <c r="Q41" s="1351" t="str">
        <f t="shared" si="11"/>
        <v>层高</v>
      </c>
      <c r="R41" s="705" t="s">
        <v>14</v>
      </c>
      <c r="S41" s="706">
        <f t="shared" si="12"/>
        <v>100</v>
      </c>
      <c r="T41" s="705" t="s">
        <v>14</v>
      </c>
      <c r="U41" s="706">
        <f t="shared" si="13"/>
        <v>100</v>
      </c>
      <c r="V41" s="705" t="s">
        <v>14</v>
      </c>
      <c r="W41" s="706">
        <f t="shared" si="14"/>
        <v>100</v>
      </c>
      <c r="X41" s="1354"/>
      <c r="Y41" s="3739"/>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5"/>
      <c r="Q42" s="707" t="str">
        <f t="shared" si="11"/>
        <v>单套建筑面积</v>
      </c>
      <c r="R42" s="708" t="s">
        <v>14</v>
      </c>
      <c r="S42" s="709">
        <f t="shared" si="12"/>
        <v>100</v>
      </c>
      <c r="T42" s="708" t="s">
        <v>14</v>
      </c>
      <c r="U42" s="709">
        <f t="shared" si="13"/>
        <v>100</v>
      </c>
      <c r="V42" s="708" t="s">
        <v>14</v>
      </c>
      <c r="W42" s="709">
        <f t="shared" si="14"/>
        <v>100</v>
      </c>
      <c r="X42" s="710"/>
      <c r="Y42" s="3739"/>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5"/>
      <c r="Q43" s="1351" t="str">
        <f t="shared" si="11"/>
        <v>内部装修</v>
      </c>
      <c r="R43" s="705" t="s">
        <v>14</v>
      </c>
      <c r="S43" s="706">
        <f t="shared" si="12"/>
        <v>100</v>
      </c>
      <c r="T43" s="705" t="s">
        <v>14</v>
      </c>
      <c r="U43" s="706">
        <f t="shared" si="13"/>
        <v>100</v>
      </c>
      <c r="V43" s="705" t="s">
        <v>14</v>
      </c>
      <c r="W43" s="706">
        <f t="shared" si="14"/>
        <v>100</v>
      </c>
      <c r="X43" s="1354"/>
      <c r="Y43" s="3739"/>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75"/>
      <c r="Q44" s="1351" t="str">
        <f t="shared" si="11"/>
        <v>内部装修维护情况</v>
      </c>
      <c r="R44" s="705" t="s">
        <v>14</v>
      </c>
      <c r="S44" s="706">
        <f t="shared" si="12"/>
        <v>100</v>
      </c>
      <c r="T44" s="705" t="s">
        <v>14</v>
      </c>
      <c r="U44" s="706">
        <f t="shared" si="13"/>
        <v>100</v>
      </c>
      <c r="V44" s="705" t="s">
        <v>14</v>
      </c>
      <c r="W44" s="706">
        <f t="shared" si="14"/>
        <v>100</v>
      </c>
      <c r="X44" s="1354"/>
      <c r="Y44" s="3739"/>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75"/>
      <c r="Q45" s="1342">
        <f t="shared" si="11"/>
        <v>111</v>
      </c>
      <c r="R45" s="701" t="s">
        <v>14</v>
      </c>
      <c r="S45" s="702">
        <f t="shared" si="12"/>
        <v>100</v>
      </c>
      <c r="T45" s="701" t="s">
        <v>14</v>
      </c>
      <c r="U45" s="702">
        <f t="shared" si="13"/>
        <v>100</v>
      </c>
      <c r="V45" s="701" t="s">
        <v>14</v>
      </c>
      <c r="W45" s="702">
        <f t="shared" si="14"/>
        <v>100</v>
      </c>
      <c r="X45" s="703"/>
      <c r="Y45" s="3739"/>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5"/>
      <c r="Q46" s="1351">
        <f t="shared" si="11"/>
        <v>111</v>
      </c>
      <c r="R46" s="705" t="s">
        <v>14</v>
      </c>
      <c r="S46" s="706">
        <f t="shared" si="12"/>
        <v>100</v>
      </c>
      <c r="T46" s="705" t="s">
        <v>14</v>
      </c>
      <c r="U46" s="706">
        <f t="shared" si="13"/>
        <v>100</v>
      </c>
      <c r="V46" s="705" t="s">
        <v>14</v>
      </c>
      <c r="W46" s="706">
        <f t="shared" si="14"/>
        <v>100</v>
      </c>
      <c r="X46" s="1354"/>
      <c r="Y46" s="3739"/>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6"/>
      <c r="Q47" s="1351">
        <f t="shared" si="11"/>
        <v>111</v>
      </c>
      <c r="R47" s="705" t="s">
        <v>14</v>
      </c>
      <c r="S47" s="706">
        <f t="shared" si="12"/>
        <v>100</v>
      </c>
      <c r="T47" s="705" t="s">
        <v>14</v>
      </c>
      <c r="U47" s="706">
        <f t="shared" si="13"/>
        <v>100</v>
      </c>
      <c r="V47" s="705" t="s">
        <v>14</v>
      </c>
      <c r="W47" s="706">
        <f t="shared" si="14"/>
        <v>100</v>
      </c>
      <c r="X47" s="1354"/>
      <c r="Y47" s="3777"/>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20"/>
      <c r="M48" s="2712"/>
      <c r="N48" s="2712"/>
      <c r="O48" s="2712"/>
      <c r="P48" s="3745" t="str">
        <f>A48</f>
        <v>成交单价（元/平方米）</v>
      </c>
      <c r="Q48" s="3721"/>
      <c r="R48" s="3773">
        <f>E48</f>
        <v>0</v>
      </c>
      <c r="S48" s="3773"/>
      <c r="T48" s="3773">
        <f>G48</f>
        <v>0</v>
      </c>
      <c r="U48" s="3773"/>
      <c r="V48" s="3773">
        <f>I48</f>
        <v>0</v>
      </c>
      <c r="W48" s="3773"/>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45" t="str">
        <f>A49</f>
        <v>比较价值（元/平方米）</v>
      </c>
      <c r="Q49" s="3721"/>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3" t="str">
        <f>YEAR(C7)&amp;"-"&amp;MONTH(C7)</f>
        <v>2023-6</v>
      </c>
      <c r="D59" s="1184">
        <f>EDATE(C59,-1)</f>
        <v>45047</v>
      </c>
      <c r="E59" s="1184">
        <f>EDATE(D59,-1)</f>
        <v>45017</v>
      </c>
      <c r="F59" s="1184">
        <f t="shared" ref="F59:O59" si="16">EDATE(E59,-1)</f>
        <v>44986</v>
      </c>
      <c r="G59" s="1184">
        <f t="shared" si="16"/>
        <v>44958</v>
      </c>
      <c r="H59" s="1184">
        <f t="shared" si="16"/>
        <v>44927</v>
      </c>
      <c r="I59" s="1184">
        <f t="shared" si="16"/>
        <v>44896</v>
      </c>
      <c r="J59" s="1184">
        <f t="shared" si="16"/>
        <v>44866</v>
      </c>
      <c r="K59" s="1184">
        <f t="shared" si="16"/>
        <v>44835</v>
      </c>
      <c r="L59" s="1184">
        <f t="shared" si="16"/>
        <v>44805</v>
      </c>
      <c r="M59" s="1184">
        <f t="shared" si="16"/>
        <v>44774</v>
      </c>
      <c r="N59" s="1184">
        <f t="shared" si="16"/>
        <v>44743</v>
      </c>
      <c r="O59" s="1184">
        <f t="shared" si="16"/>
        <v>44713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69908.279999999955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4"/>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4"/>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4"/>
      <c r="Y6" s="3732"/>
      <c r="Z6" s="3733"/>
      <c r="AA6" s="3706"/>
      <c r="AB6" s="3706"/>
      <c r="AC6" s="3706"/>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1"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21"/>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1"/>
      <c r="Q11" s="1342"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21"/>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21"/>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21"/>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6" t="s">
        <v>1691</v>
      </c>
      <c r="Q15" s="1351" t="str">
        <f t="shared" si="6"/>
        <v>产业集聚程度</v>
      </c>
      <c r="R15" s="705" t="s">
        <v>14</v>
      </c>
      <c r="S15" s="706">
        <f t="shared" si="0"/>
        <v>100</v>
      </c>
      <c r="T15" s="705" t="s">
        <v>14</v>
      </c>
      <c r="U15" s="706">
        <f t="shared" si="1"/>
        <v>100</v>
      </c>
      <c r="V15" s="705" t="s">
        <v>14</v>
      </c>
      <c r="W15" s="706">
        <f t="shared" si="2"/>
        <v>100</v>
      </c>
      <c r="X15" s="1354"/>
      <c r="Y15" s="373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7"/>
      <c r="Q16" s="1351"/>
      <c r="R16" s="705"/>
      <c r="S16" s="706"/>
      <c r="T16" s="705"/>
      <c r="U16" s="706"/>
      <c r="V16" s="705"/>
      <c r="W16" s="706"/>
      <c r="X16" s="1354"/>
      <c r="Y16" s="3737"/>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7"/>
      <c r="Q17" s="1351" t="str">
        <f>B17</f>
        <v>交通便捷度</v>
      </c>
      <c r="R17" s="705" t="s">
        <v>14</v>
      </c>
      <c r="S17" s="706">
        <f>F17</f>
        <v>100</v>
      </c>
      <c r="T17" s="705" t="s">
        <v>14</v>
      </c>
      <c r="U17" s="706">
        <f>H17</f>
        <v>100</v>
      </c>
      <c r="V17" s="705" t="s">
        <v>14</v>
      </c>
      <c r="W17" s="706">
        <f>J17</f>
        <v>100</v>
      </c>
      <c r="X17" s="1354"/>
      <c r="Y17" s="373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7"/>
      <c r="Q18" s="1351"/>
      <c r="R18" s="705"/>
      <c r="S18" s="706"/>
      <c r="T18" s="705"/>
      <c r="U18" s="706"/>
      <c r="V18" s="705"/>
      <c r="W18" s="706"/>
      <c r="X18" s="1354"/>
      <c r="Y18" s="3737"/>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7"/>
      <c r="Q19" s="1351" t="str">
        <f>B19</f>
        <v>公共配套设施</v>
      </c>
      <c r="R19" s="705" t="s">
        <v>14</v>
      </c>
      <c r="S19" s="706">
        <f>F19</f>
        <v>100</v>
      </c>
      <c r="T19" s="705" t="s">
        <v>14</v>
      </c>
      <c r="U19" s="706">
        <f>H19</f>
        <v>100</v>
      </c>
      <c r="V19" s="705" t="s">
        <v>14</v>
      </c>
      <c r="W19" s="706">
        <f>J19</f>
        <v>100</v>
      </c>
      <c r="X19" s="1354"/>
      <c r="Y19" s="373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7"/>
      <c r="Q20" s="1351"/>
      <c r="R20" s="705"/>
      <c r="S20" s="706"/>
      <c r="T20" s="705"/>
      <c r="U20" s="706"/>
      <c r="V20" s="705"/>
      <c r="W20" s="706"/>
      <c r="X20" s="1354"/>
      <c r="Y20" s="3737"/>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7"/>
      <c r="Q21" s="1351" t="str">
        <f>B21</f>
        <v>基础设施水平</v>
      </c>
      <c r="R21" s="705" t="s">
        <v>14</v>
      </c>
      <c r="S21" s="706">
        <f>F21</f>
        <v>100</v>
      </c>
      <c r="T21" s="705" t="s">
        <v>14</v>
      </c>
      <c r="U21" s="706">
        <f>H21</f>
        <v>100</v>
      </c>
      <c r="V21" s="705" t="s">
        <v>14</v>
      </c>
      <c r="W21" s="706">
        <f>J21</f>
        <v>100</v>
      </c>
      <c r="X21" s="1354"/>
      <c r="Y21" s="3737"/>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7"/>
      <c r="Q22" s="1351"/>
      <c r="R22" s="705"/>
      <c r="S22" s="706"/>
      <c r="T22" s="705"/>
      <c r="U22" s="706"/>
      <c r="V22" s="705"/>
      <c r="W22" s="706"/>
      <c r="X22" s="1354"/>
      <c r="Y22" s="3737"/>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7"/>
      <c r="Q23" s="1351" t="str">
        <f>B23</f>
        <v>环境质量</v>
      </c>
      <c r="R23" s="705" t="s">
        <v>14</v>
      </c>
      <c r="S23" s="706">
        <f>F23</f>
        <v>100</v>
      </c>
      <c r="T23" s="705" t="s">
        <v>14</v>
      </c>
      <c r="U23" s="706">
        <f>H23</f>
        <v>100</v>
      </c>
      <c r="V23" s="705" t="s">
        <v>14</v>
      </c>
      <c r="W23" s="706">
        <f>J23</f>
        <v>100</v>
      </c>
      <c r="X23" s="1354"/>
      <c r="Y23" s="3737"/>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7"/>
      <c r="Q24" s="1351"/>
      <c r="R24" s="705"/>
      <c r="S24" s="706"/>
      <c r="T24" s="705"/>
      <c r="U24" s="706"/>
      <c r="V24" s="705"/>
      <c r="W24" s="706"/>
      <c r="X24" s="1354"/>
      <c r="Y24" s="3737"/>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7"/>
      <c r="Q25" s="1351">
        <f>B25</f>
        <v>111</v>
      </c>
      <c r="R25" s="705" t="s">
        <v>14</v>
      </c>
      <c r="S25" s="706">
        <f>F25</f>
        <v>100</v>
      </c>
      <c r="T25" s="705" t="s">
        <v>14</v>
      </c>
      <c r="U25" s="706">
        <f>H25</f>
        <v>100</v>
      </c>
      <c r="V25" s="705" t="s">
        <v>14</v>
      </c>
      <c r="W25" s="706">
        <f>J25</f>
        <v>100</v>
      </c>
      <c r="X25" s="1354"/>
      <c r="Y25" s="3737"/>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7"/>
      <c r="Q26" s="1351">
        <f t="shared" ref="Q26:Q40" si="11">B26</f>
        <v>111</v>
      </c>
      <c r="R26" s="705" t="s">
        <v>14</v>
      </c>
      <c r="S26" s="706">
        <f>F26</f>
        <v>100</v>
      </c>
      <c r="T26" s="705" t="s">
        <v>14</v>
      </c>
      <c r="U26" s="706">
        <f>H26</f>
        <v>100</v>
      </c>
      <c r="V26" s="705" t="s">
        <v>14</v>
      </c>
      <c r="W26" s="706">
        <f>J26</f>
        <v>100</v>
      </c>
      <c r="X26" s="1354"/>
      <c r="Y26" s="3737"/>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7"/>
      <c r="Q27" s="1342">
        <f t="shared" si="11"/>
        <v>111</v>
      </c>
      <c r="R27" s="701" t="s">
        <v>14</v>
      </c>
      <c r="S27" s="702">
        <f>F27</f>
        <v>100</v>
      </c>
      <c r="T27" s="701" t="s">
        <v>14</v>
      </c>
      <c r="U27" s="702">
        <f>H27</f>
        <v>100</v>
      </c>
      <c r="V27" s="701" t="s">
        <v>14</v>
      </c>
      <c r="W27" s="702">
        <f>J27</f>
        <v>100</v>
      </c>
      <c r="X27" s="703"/>
      <c r="Y27" s="3737"/>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7"/>
      <c r="Q28" s="1351">
        <f t="shared" si="11"/>
        <v>111</v>
      </c>
      <c r="R28" s="705" t="s">
        <v>14</v>
      </c>
      <c r="S28" s="706">
        <f t="shared" ref="S28:S40" si="12">F28</f>
        <v>100</v>
      </c>
      <c r="T28" s="705" t="s">
        <v>14</v>
      </c>
      <c r="U28" s="706">
        <f t="shared" ref="U28:U40" si="13">H28</f>
        <v>100</v>
      </c>
      <c r="V28" s="705" t="s">
        <v>14</v>
      </c>
      <c r="W28" s="706">
        <f t="shared" ref="W28:W40" si="14">J28</f>
        <v>100</v>
      </c>
      <c r="X28" s="1354"/>
      <c r="Y28" s="3737"/>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8" t="s">
        <v>1696</v>
      </c>
      <c r="Q29" s="1351" t="str">
        <f t="shared" si="11"/>
        <v>建筑类型</v>
      </c>
      <c r="R29" s="705" t="s">
        <v>14</v>
      </c>
      <c r="S29" s="706">
        <f t="shared" si="12"/>
        <v>100</v>
      </c>
      <c r="T29" s="705" t="s">
        <v>14</v>
      </c>
      <c r="U29" s="706">
        <f t="shared" si="13"/>
        <v>100</v>
      </c>
      <c r="V29" s="705" t="s">
        <v>14</v>
      </c>
      <c r="W29" s="706">
        <f t="shared" si="14"/>
        <v>100</v>
      </c>
      <c r="X29" s="1354"/>
      <c r="Y29" s="373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9"/>
      <c r="Q30" s="707" t="str">
        <f t="shared" si="11"/>
        <v>项目建筑规模</v>
      </c>
      <c r="R30" s="708" t="s">
        <v>14</v>
      </c>
      <c r="S30" s="709" t="e">
        <f t="shared" si="12"/>
        <v>#N/A</v>
      </c>
      <c r="T30" s="708" t="s">
        <v>14</v>
      </c>
      <c r="U30" s="709" t="e">
        <f t="shared" si="13"/>
        <v>#N/A</v>
      </c>
      <c r="V30" s="708" t="s">
        <v>14</v>
      </c>
      <c r="W30" s="709" t="e">
        <f t="shared" si="14"/>
        <v>#N/A</v>
      </c>
      <c r="X30" s="710"/>
      <c r="Y30" s="373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9"/>
      <c r="Q31" s="1351" t="str">
        <f t="shared" si="11"/>
        <v>建筑结构</v>
      </c>
      <c r="R31" s="705" t="s">
        <v>14</v>
      </c>
      <c r="S31" s="706">
        <f t="shared" si="12"/>
        <v>100</v>
      </c>
      <c r="T31" s="705" t="s">
        <v>14</v>
      </c>
      <c r="U31" s="706">
        <f t="shared" si="13"/>
        <v>100</v>
      </c>
      <c r="V31" s="705" t="s">
        <v>14</v>
      </c>
      <c r="W31" s="706">
        <f t="shared" si="14"/>
        <v>100</v>
      </c>
      <c r="X31" s="1354"/>
      <c r="Y31" s="373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9"/>
      <c r="Q32" s="1351" t="str">
        <f t="shared" si="11"/>
        <v>公共部分装修</v>
      </c>
      <c r="R32" s="705" t="s">
        <v>14</v>
      </c>
      <c r="S32" s="706">
        <f t="shared" si="12"/>
        <v>100</v>
      </c>
      <c r="T32" s="705" t="s">
        <v>14</v>
      </c>
      <c r="U32" s="706">
        <f t="shared" si="13"/>
        <v>100</v>
      </c>
      <c r="V32" s="705" t="s">
        <v>14</v>
      </c>
      <c r="W32" s="706">
        <f t="shared" si="14"/>
        <v>100</v>
      </c>
      <c r="X32" s="1354"/>
      <c r="Y32" s="373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9"/>
      <c r="Q33" s="1351" t="str">
        <f t="shared" si="11"/>
        <v>成新度</v>
      </c>
      <c r="R33" s="705" t="s">
        <v>14</v>
      </c>
      <c r="S33" s="706" t="e">
        <f t="shared" si="12"/>
        <v>#N/A</v>
      </c>
      <c r="T33" s="705" t="s">
        <v>14</v>
      </c>
      <c r="U33" s="706" t="e">
        <f t="shared" si="13"/>
        <v>#N/A</v>
      </c>
      <c r="V33" s="705" t="s">
        <v>14</v>
      </c>
      <c r="W33" s="706" t="e">
        <f t="shared" si="14"/>
        <v>#N/A</v>
      </c>
      <c r="X33" s="1354"/>
      <c r="Y33" s="373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9"/>
      <c r="Q34" s="1342" t="str">
        <f t="shared" si="11"/>
        <v>物业管理</v>
      </c>
      <c r="R34" s="701" t="s">
        <v>14</v>
      </c>
      <c r="S34" s="702">
        <f t="shared" si="12"/>
        <v>100</v>
      </c>
      <c r="T34" s="701" t="s">
        <v>14</v>
      </c>
      <c r="U34" s="702">
        <f t="shared" si="13"/>
        <v>100</v>
      </c>
      <c r="V34" s="701" t="s">
        <v>14</v>
      </c>
      <c r="W34" s="702">
        <f t="shared" si="14"/>
        <v>100</v>
      </c>
      <c r="X34" s="703"/>
      <c r="Y34" s="373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9" t="s">
        <v>1696</v>
      </c>
      <c r="Q35" s="1351" t="str">
        <f t="shared" si="11"/>
        <v>市政基础设施</v>
      </c>
      <c r="R35" s="705" t="s">
        <v>14</v>
      </c>
      <c r="S35" s="706">
        <f t="shared" si="12"/>
        <v>100</v>
      </c>
      <c r="T35" s="705" t="s">
        <v>14</v>
      </c>
      <c r="U35" s="706">
        <f t="shared" si="13"/>
        <v>100</v>
      </c>
      <c r="V35" s="705" t="s">
        <v>14</v>
      </c>
      <c r="W35" s="706">
        <f t="shared" si="14"/>
        <v>100</v>
      </c>
      <c r="X35" s="1354"/>
      <c r="Y35" s="373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9"/>
      <c r="Q36" s="1351" t="str">
        <f t="shared" si="11"/>
        <v>内部装修</v>
      </c>
      <c r="R36" s="705" t="s">
        <v>14</v>
      </c>
      <c r="S36" s="706">
        <f t="shared" si="12"/>
        <v>100</v>
      </c>
      <c r="T36" s="705" t="s">
        <v>14</v>
      </c>
      <c r="U36" s="706">
        <f t="shared" si="13"/>
        <v>100</v>
      </c>
      <c r="V36" s="705" t="s">
        <v>14</v>
      </c>
      <c r="W36" s="706">
        <f t="shared" si="14"/>
        <v>100</v>
      </c>
      <c r="X36" s="1354"/>
      <c r="Y36" s="373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9"/>
      <c r="Q37" s="1351" t="str">
        <f t="shared" si="11"/>
        <v>内部装修状况</v>
      </c>
      <c r="R37" s="705" t="s">
        <v>14</v>
      </c>
      <c r="S37" s="706">
        <f t="shared" si="12"/>
        <v>100</v>
      </c>
      <c r="T37" s="705" t="s">
        <v>14</v>
      </c>
      <c r="U37" s="706">
        <f t="shared" si="13"/>
        <v>100</v>
      </c>
      <c r="V37" s="705" t="s">
        <v>14</v>
      </c>
      <c r="W37" s="706">
        <f t="shared" si="14"/>
        <v>100</v>
      </c>
      <c r="X37" s="1354"/>
      <c r="Y37" s="373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9"/>
      <c r="Q38" s="707">
        <f t="shared" si="11"/>
        <v>111</v>
      </c>
      <c r="R38" s="708" t="s">
        <v>14</v>
      </c>
      <c r="S38" s="709">
        <f t="shared" si="12"/>
        <v>100</v>
      </c>
      <c r="T38" s="708" t="s">
        <v>14</v>
      </c>
      <c r="U38" s="709">
        <f t="shared" si="13"/>
        <v>100</v>
      </c>
      <c r="V38" s="708" t="s">
        <v>14</v>
      </c>
      <c r="W38" s="709">
        <f t="shared" si="14"/>
        <v>100</v>
      </c>
      <c r="X38" s="710"/>
      <c r="Y38" s="373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9"/>
      <c r="Q39" s="1351">
        <f t="shared" si="11"/>
        <v>111</v>
      </c>
      <c r="R39" s="705" t="s">
        <v>14</v>
      </c>
      <c r="S39" s="706">
        <f t="shared" si="12"/>
        <v>100</v>
      </c>
      <c r="T39" s="705" t="s">
        <v>14</v>
      </c>
      <c r="U39" s="706">
        <f t="shared" si="13"/>
        <v>100</v>
      </c>
      <c r="V39" s="705" t="s">
        <v>14</v>
      </c>
      <c r="W39" s="706">
        <f t="shared" si="14"/>
        <v>100</v>
      </c>
      <c r="X39" s="1354"/>
      <c r="Y39" s="3739"/>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7"/>
      <c r="Q40" s="1351">
        <f t="shared" si="11"/>
        <v>111</v>
      </c>
      <c r="R40" s="705" t="s">
        <v>14</v>
      </c>
      <c r="S40" s="706">
        <f t="shared" si="12"/>
        <v>100</v>
      </c>
      <c r="T40" s="705" t="s">
        <v>14</v>
      </c>
      <c r="U40" s="706">
        <f t="shared" si="13"/>
        <v>100</v>
      </c>
      <c r="V40" s="705" t="s">
        <v>14</v>
      </c>
      <c r="W40" s="706">
        <f t="shared" si="14"/>
        <v>100</v>
      </c>
      <c r="X40" s="1354"/>
      <c r="Y40" s="377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21" t="str">
        <f>A41</f>
        <v>成交单价（元/平方米）</v>
      </c>
      <c r="Q41" s="3721"/>
      <c r="R41" s="3773">
        <f>E41</f>
        <v>0</v>
      </c>
      <c r="S41" s="3773"/>
      <c r="T41" s="3773">
        <f>G41</f>
        <v>0</v>
      </c>
      <c r="U41" s="3773"/>
      <c r="V41" s="3773">
        <f>I41</f>
        <v>0</v>
      </c>
      <c r="W41" s="3773"/>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21" t="str">
        <f>A42</f>
        <v>比较价值（元/平方米）</v>
      </c>
      <c r="Q42" s="3721"/>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72" t="e">
        <f>IF(F1="售价",ROUND(IF(D42="简单平均",AVERAGE(R42:V42),R42*F42+T42*H42+V42*J42),0),ROUND(IF(D42="简单平均",AVERAGE(R42:V42),R42*F42+T42*H42+V42*J42),1))</f>
        <v>#DIV/0!</v>
      </c>
      <c r="S43" s="3772"/>
      <c r="T43" s="3772"/>
      <c r="U43" s="3772"/>
      <c r="V43" s="3772"/>
      <c r="W43" s="3772"/>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2023-6</v>
      </c>
      <c r="D52" s="1184">
        <f>EDATE(C52,-1)</f>
        <v>45047</v>
      </c>
      <c r="E52" s="1184">
        <f t="shared" ref="E52:O52" si="16">EDATE(D52,-1)</f>
        <v>45017</v>
      </c>
      <c r="F52" s="1184">
        <f t="shared" si="16"/>
        <v>44986</v>
      </c>
      <c r="G52" s="1184">
        <f t="shared" si="16"/>
        <v>44958</v>
      </c>
      <c r="H52" s="1184">
        <f t="shared" si="16"/>
        <v>44927</v>
      </c>
      <c r="I52" s="1184">
        <f t="shared" si="16"/>
        <v>44896</v>
      </c>
      <c r="J52" s="1184">
        <f t="shared" si="16"/>
        <v>44866</v>
      </c>
      <c r="K52" s="1184">
        <f t="shared" si="16"/>
        <v>44835</v>
      </c>
      <c r="L52" s="1184">
        <f t="shared" si="16"/>
        <v>44805</v>
      </c>
      <c r="M52" s="1184">
        <f t="shared" si="16"/>
        <v>44774</v>
      </c>
      <c r="N52" s="1184">
        <f t="shared" si="16"/>
        <v>44743</v>
      </c>
      <c r="O52" s="1184">
        <f t="shared" si="16"/>
        <v>44713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46" t="s">
        <v>694</v>
      </c>
      <c r="C6" s="1074">
        <f ca="1">ROUND(F6*F8*F7*(1-F9)/10000,0)</f>
        <v>0</v>
      </c>
      <c r="D6" s="155" t="s">
        <v>2109</v>
      </c>
      <c r="E6" s="302" t="s">
        <v>696</v>
      </c>
      <c r="F6" s="303">
        <f ca="1">INDIRECT("'数据-取费表'!u"&amp;$G$1)</f>
        <v>0</v>
      </c>
      <c r="G6" s="1383"/>
      <c r="H6" s="1069" t="s">
        <v>398</v>
      </c>
      <c r="I6" s="3746" t="s">
        <v>694</v>
      </c>
      <c r="J6" s="301">
        <f ca="1">ROUND(M6*M8*M7*(1-M9)/10000,0)</f>
        <v>0</v>
      </c>
      <c r="K6" s="155" t="s">
        <v>2108</v>
      </c>
      <c r="L6" s="302" t="s">
        <v>696</v>
      </c>
      <c r="M6" s="303">
        <f ca="1">INDIRECT("'数据-取费表'!z"&amp;$G$1)</f>
        <v>0</v>
      </c>
    </row>
    <row r="7" spans="1:37" ht="18" customHeight="1">
      <c r="A7" s="1073"/>
      <c r="B7" s="3747"/>
      <c r="C7" s="1075"/>
      <c r="D7" s="307"/>
      <c r="E7" s="1076" t="s">
        <v>697</v>
      </c>
      <c r="F7" s="303">
        <f ca="1">IF(INDIRECT("'数据-取费表'!ah"&amp;$G$1)="",INDIRECT("'数据-取费表'!k"&amp;$G$1),INDIRECT("'数据-取费表'!ah"&amp;$G$1))</f>
        <v>0</v>
      </c>
      <c r="G7" s="1383"/>
      <c r="H7" s="304"/>
      <c r="I7" s="3747"/>
      <c r="J7" s="306"/>
      <c r="K7" s="307"/>
      <c r="L7" s="302" t="s">
        <v>697</v>
      </c>
      <c r="M7" s="303">
        <f ca="1">F7</f>
        <v>0</v>
      </c>
    </row>
    <row r="8" spans="1:37" ht="18" customHeight="1">
      <c r="A8" s="304"/>
      <c r="B8" s="3747"/>
      <c r="C8" s="306"/>
      <c r="D8" s="307"/>
      <c r="E8" s="302" t="s">
        <v>698</v>
      </c>
      <c r="F8" s="303">
        <f ca="1">INDIRECT("'数据-取费表'!ai"&amp;$G$1)</f>
        <v>0</v>
      </c>
      <c r="G8" s="1383"/>
      <c r="H8" s="304"/>
      <c r="I8" s="3747"/>
      <c r="J8" s="306"/>
      <c r="K8" s="307"/>
      <c r="L8" s="302" t="s">
        <v>698</v>
      </c>
      <c r="M8" s="303">
        <f ca="1">INDIRECT("'数据-取费表'!ai"&amp;$G$1)</f>
        <v>0</v>
      </c>
    </row>
    <row r="9" spans="1:37" ht="18" customHeight="1">
      <c r="A9" s="304"/>
      <c r="B9" s="3748"/>
      <c r="C9" s="306"/>
      <c r="D9" s="307"/>
      <c r="E9" s="302" t="s">
        <v>699</v>
      </c>
      <c r="F9" s="312">
        <f ca="1">INDIRECT("'数据-取费表'!w"&amp;$G$1)</f>
        <v>0</v>
      </c>
      <c r="G9" s="1383"/>
      <c r="H9" s="304"/>
      <c r="I9" s="3748"/>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49" t="s">
        <v>837</v>
      </c>
      <c r="L53" s="3750"/>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7" sqref="N3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9" t="s">
        <v>1771</v>
      </c>
      <c r="S4" s="3710"/>
      <c r="T4" s="3709" t="s">
        <v>1772</v>
      </c>
      <c r="U4" s="3710"/>
      <c r="V4" s="3734" t="s">
        <v>1773</v>
      </c>
      <c r="W4" s="3734"/>
      <c r="X4" s="1354"/>
      <c r="Y4" s="3709" t="s">
        <v>1775</v>
      </c>
      <c r="Z4" s="3710"/>
      <c r="AA4" s="3704" t="s">
        <v>1771</v>
      </c>
      <c r="AB4" s="3705" t="s">
        <v>1772</v>
      </c>
      <c r="AC4" s="3704" t="s">
        <v>1773</v>
      </c>
    </row>
    <row r="5" spans="1:29" ht="15">
      <c r="A5" s="358"/>
      <c r="B5" s="359"/>
      <c r="C5" s="3715" t="s">
        <v>1673</v>
      </c>
      <c r="D5" s="3716"/>
      <c r="E5" s="3713" t="str">
        <f>车位案例!A2</f>
        <v>路劲御和府</v>
      </c>
      <c r="F5" s="3714"/>
      <c r="G5" s="3715" t="str">
        <f>车位案例!A28</f>
        <v>公园都会</v>
      </c>
      <c r="H5" s="3716"/>
      <c r="I5" s="3715" t="str">
        <f>车位案例!A53</f>
        <v>和锦华宸</v>
      </c>
      <c r="J5" s="3716"/>
      <c r="K5" s="559"/>
      <c r="L5" s="2711"/>
      <c r="M5" s="2712"/>
      <c r="N5" s="2712"/>
      <c r="O5" s="2712"/>
      <c r="P5" s="3728"/>
      <c r="Q5" s="3729"/>
      <c r="R5" s="3711"/>
      <c r="S5" s="3712"/>
      <c r="T5" s="3711"/>
      <c r="U5" s="3712"/>
      <c r="V5" s="3734"/>
      <c r="W5" s="3734"/>
      <c r="X5" s="1354"/>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30"/>
      <c r="Q6" s="3731"/>
      <c r="R6" s="3711"/>
      <c r="S6" s="3712"/>
      <c r="T6" s="3732"/>
      <c r="U6" s="3733"/>
      <c r="V6" s="3734"/>
      <c r="W6" s="3734"/>
      <c r="X6" s="1354"/>
      <c r="Y6" s="3732"/>
      <c r="Z6" s="3733"/>
      <c r="AA6" s="3706"/>
      <c r="AB6" s="3706"/>
      <c r="AC6" s="3706"/>
    </row>
    <row r="7" spans="1:29" s="108" customFormat="1" ht="15.75" thickBot="1">
      <c r="A7" s="362" t="s">
        <v>1679</v>
      </c>
      <c r="B7" s="363"/>
      <c r="C7" s="364">
        <f>'数据-取费表'!B2</f>
        <v>45103</v>
      </c>
      <c r="D7" s="365">
        <v>100</v>
      </c>
      <c r="E7" s="366">
        <f>C7</f>
        <v>45103</v>
      </c>
      <c r="F7" s="367">
        <f>SUMIF(48:48,YEAR(E7)&amp;"-"&amp;MONTH(E7),49:49)</f>
        <v>100</v>
      </c>
      <c r="G7" s="366">
        <f>C7</f>
        <v>45103</v>
      </c>
      <c r="H7" s="365">
        <f>SUMIF(48:48,YEAR(G7)&amp;"-"&amp;MONTH(G7),49:49)</f>
        <v>100</v>
      </c>
      <c r="I7" s="366">
        <f>C7</f>
        <v>45103</v>
      </c>
      <c r="J7" s="365">
        <f>SUMIF(48:48,YEAR(I7)&amp;"-"&amp;MONTH(I7),49:49)</f>
        <v>100</v>
      </c>
      <c r="K7" s="560"/>
      <c r="L7" s="2713"/>
      <c r="M7" s="2714"/>
      <c r="N7" s="2714"/>
      <c r="O7" s="2714"/>
      <c r="P7" s="3707" t="s">
        <v>1680</v>
      </c>
      <c r="Q7" s="3735"/>
      <c r="R7" s="701" t="s">
        <v>14</v>
      </c>
      <c r="S7" s="702">
        <f t="shared" ref="S7:S14" si="0">F7</f>
        <v>100</v>
      </c>
      <c r="T7" s="701" t="s">
        <v>14</v>
      </c>
      <c r="U7" s="702">
        <f t="shared" ref="U7:U14" si="1">H7</f>
        <v>100</v>
      </c>
      <c r="V7" s="701" t="s">
        <v>14</v>
      </c>
      <c r="W7" s="702">
        <f t="shared" ref="W7:W14" si="2">J7</f>
        <v>100</v>
      </c>
      <c r="X7" s="703"/>
      <c r="Y7" s="3707" t="s">
        <v>1680</v>
      </c>
      <c r="Z7" s="3708"/>
      <c r="AA7" s="704">
        <f>D7/F7</f>
        <v>1</v>
      </c>
      <c r="AB7" s="704">
        <f>D7/H7</f>
        <v>1</v>
      </c>
      <c r="AC7" s="704">
        <f>D7/J7</f>
        <v>1</v>
      </c>
    </row>
    <row r="8" spans="1:29" s="108" customFormat="1" ht="15.7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21" t="s">
        <v>1686</v>
      </c>
      <c r="Q9" s="1342"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21"/>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21"/>
      <c r="Q11" s="1342">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21"/>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21"/>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6" t="s">
        <v>1691</v>
      </c>
      <c r="Q14" s="1351" t="str">
        <f t="shared" si="6"/>
        <v>交通便捷度</v>
      </c>
      <c r="R14" s="705" t="s">
        <v>14</v>
      </c>
      <c r="S14" s="706">
        <f t="shared" si="0"/>
        <v>100</v>
      </c>
      <c r="T14" s="705" t="s">
        <v>14</v>
      </c>
      <c r="U14" s="706">
        <f t="shared" si="1"/>
        <v>100</v>
      </c>
      <c r="V14" s="705" t="s">
        <v>14</v>
      </c>
      <c r="W14" s="706">
        <f t="shared" si="2"/>
        <v>100</v>
      </c>
      <c r="X14" s="1354"/>
      <c r="Y14" s="3736"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37"/>
      <c r="Q15" s="1351"/>
      <c r="R15" s="705"/>
      <c r="S15" s="706"/>
      <c r="T15" s="705"/>
      <c r="U15" s="706"/>
      <c r="V15" s="705"/>
      <c r="W15" s="706"/>
      <c r="X15" s="1354"/>
      <c r="Y15" s="3737"/>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7"/>
      <c r="Q16" s="1351" t="str">
        <f>B16</f>
        <v>公共配套设施</v>
      </c>
      <c r="R16" s="705" t="s">
        <v>14</v>
      </c>
      <c r="S16" s="706">
        <f>F16</f>
        <v>100</v>
      </c>
      <c r="T16" s="705" t="s">
        <v>14</v>
      </c>
      <c r="U16" s="706">
        <f>H16</f>
        <v>100</v>
      </c>
      <c r="V16" s="705" t="s">
        <v>14</v>
      </c>
      <c r="W16" s="706">
        <f>J16</f>
        <v>100</v>
      </c>
      <c r="X16" s="1354"/>
      <c r="Y16" s="3737"/>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37"/>
      <c r="Q17" s="1351"/>
      <c r="R17" s="705"/>
      <c r="S17" s="706"/>
      <c r="T17" s="705"/>
      <c r="U17" s="706"/>
      <c r="V17" s="705"/>
      <c r="W17" s="706"/>
      <c r="X17" s="1354"/>
      <c r="Y17" s="3737"/>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7"/>
      <c r="Q18" s="1351" t="str">
        <f>B18</f>
        <v>基础设施水平</v>
      </c>
      <c r="R18" s="705" t="s">
        <v>14</v>
      </c>
      <c r="S18" s="706">
        <f>F18</f>
        <v>100</v>
      </c>
      <c r="T18" s="705" t="s">
        <v>14</v>
      </c>
      <c r="U18" s="706">
        <f>H18</f>
        <v>100</v>
      </c>
      <c r="V18" s="705" t="s">
        <v>14</v>
      </c>
      <c r="W18" s="706">
        <f>J18</f>
        <v>100</v>
      </c>
      <c r="X18" s="1354"/>
      <c r="Y18" s="3737"/>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37"/>
      <c r="Q19" s="1351"/>
      <c r="R19" s="705"/>
      <c r="S19" s="706"/>
      <c r="T19" s="705"/>
      <c r="U19" s="706"/>
      <c r="V19" s="705"/>
      <c r="W19" s="706"/>
      <c r="X19" s="1354"/>
      <c r="Y19" s="3737"/>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7"/>
      <c r="Q20" s="1351" t="str">
        <f>B20</f>
        <v>自然及人文环境</v>
      </c>
      <c r="R20" s="705" t="s">
        <v>14</v>
      </c>
      <c r="S20" s="706">
        <f>F20</f>
        <v>100</v>
      </c>
      <c r="T20" s="705" t="s">
        <v>14</v>
      </c>
      <c r="U20" s="706">
        <f>H20</f>
        <v>100</v>
      </c>
      <c r="V20" s="705" t="s">
        <v>14</v>
      </c>
      <c r="W20" s="706">
        <f>J20</f>
        <v>100</v>
      </c>
      <c r="X20" s="1354"/>
      <c r="Y20" s="3737"/>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37"/>
      <c r="Q21" s="1351"/>
      <c r="R21" s="705"/>
      <c r="S21" s="706"/>
      <c r="T21" s="705"/>
      <c r="U21" s="706"/>
      <c r="V21" s="705"/>
      <c r="W21" s="706"/>
      <c r="X21" s="1354"/>
      <c r="Y21" s="373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7"/>
      <c r="Q22" s="1351" t="str">
        <f>B22</f>
        <v>楼层</v>
      </c>
      <c r="R22" s="705" t="s">
        <v>14</v>
      </c>
      <c r="S22" s="706">
        <f>F22</f>
        <v>100</v>
      </c>
      <c r="T22" s="705" t="s">
        <v>14</v>
      </c>
      <c r="U22" s="706">
        <f>H22</f>
        <v>100</v>
      </c>
      <c r="V22" s="705" t="s">
        <v>14</v>
      </c>
      <c r="W22" s="706">
        <f>J22</f>
        <v>100</v>
      </c>
      <c r="X22" s="1354"/>
      <c r="Y22" s="373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7"/>
      <c r="Q23" s="1351">
        <f>B23</f>
        <v>111</v>
      </c>
      <c r="R23" s="705" t="s">
        <v>14</v>
      </c>
      <c r="S23" s="706">
        <f>F23</f>
        <v>100</v>
      </c>
      <c r="T23" s="705" t="s">
        <v>14</v>
      </c>
      <c r="U23" s="706">
        <f>H23</f>
        <v>100</v>
      </c>
      <c r="V23" s="705" t="s">
        <v>14</v>
      </c>
      <c r="W23" s="706">
        <f>J23</f>
        <v>100</v>
      </c>
      <c r="X23" s="1354"/>
      <c r="Y23" s="373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7"/>
      <c r="Q24" s="1351">
        <f t="shared" ref="Q24:Q36" si="11">B24</f>
        <v>111</v>
      </c>
      <c r="R24" s="705" t="s">
        <v>14</v>
      </c>
      <c r="S24" s="706">
        <f>F24</f>
        <v>100</v>
      </c>
      <c r="T24" s="705" t="s">
        <v>14</v>
      </c>
      <c r="U24" s="706">
        <f>H24</f>
        <v>100</v>
      </c>
      <c r="V24" s="705" t="s">
        <v>14</v>
      </c>
      <c r="W24" s="706">
        <f>J24</f>
        <v>100</v>
      </c>
      <c r="X24" s="1354"/>
      <c r="Y24" s="373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7"/>
      <c r="Q25" s="1342">
        <f t="shared" si="11"/>
        <v>111</v>
      </c>
      <c r="R25" s="701" t="s">
        <v>14</v>
      </c>
      <c r="S25" s="702">
        <f>F25</f>
        <v>100</v>
      </c>
      <c r="T25" s="701" t="s">
        <v>14</v>
      </c>
      <c r="U25" s="702">
        <f>H25</f>
        <v>100</v>
      </c>
      <c r="V25" s="701" t="s">
        <v>14</v>
      </c>
      <c r="W25" s="702">
        <f>J25</f>
        <v>100</v>
      </c>
      <c r="X25" s="703"/>
      <c r="Y25" s="3737"/>
      <c r="Z25" s="52">
        <f>Q25</f>
        <v>111</v>
      </c>
      <c r="AA25" s="1352">
        <f>D25/F25</f>
        <v>1</v>
      </c>
      <c r="AB25" s="1352">
        <f>D25/H25</f>
        <v>1</v>
      </c>
      <c r="AC25" s="1352">
        <f>D25/J25</f>
        <v>1</v>
      </c>
    </row>
    <row r="26" spans="1:29" ht="28.5">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38"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39"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9"/>
      <c r="Q27" s="707" t="str">
        <f t="shared" si="11"/>
        <v>项目停车位配比</v>
      </c>
      <c r="R27" s="708" t="s">
        <v>14</v>
      </c>
      <c r="S27" s="709">
        <f t="shared" si="12"/>
        <v>100</v>
      </c>
      <c r="T27" s="708" t="s">
        <v>14</v>
      </c>
      <c r="U27" s="709">
        <f t="shared" si="13"/>
        <v>100</v>
      </c>
      <c r="V27" s="708" t="s">
        <v>14</v>
      </c>
      <c r="W27" s="709">
        <f t="shared" si="14"/>
        <v>100</v>
      </c>
      <c r="X27" s="710"/>
      <c r="Y27" s="373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9"/>
      <c r="Q28" s="1351" t="str">
        <f t="shared" si="11"/>
        <v>公共部分装修</v>
      </c>
      <c r="R28" s="705" t="s">
        <v>14</v>
      </c>
      <c r="S28" s="706">
        <f t="shared" si="12"/>
        <v>100</v>
      </c>
      <c r="T28" s="705" t="s">
        <v>14</v>
      </c>
      <c r="U28" s="706">
        <f t="shared" si="13"/>
        <v>100</v>
      </c>
      <c r="V28" s="705" t="s">
        <v>14</v>
      </c>
      <c r="W28" s="706">
        <f t="shared" si="14"/>
        <v>100</v>
      </c>
      <c r="X28" s="1354"/>
      <c r="Y28" s="3739"/>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9"/>
      <c r="Q29" s="1351" t="str">
        <f t="shared" si="11"/>
        <v>成新率</v>
      </c>
      <c r="R29" s="705" t="s">
        <v>14</v>
      </c>
      <c r="S29" s="706">
        <f t="shared" si="12"/>
        <v>100</v>
      </c>
      <c r="T29" s="705" t="s">
        <v>14</v>
      </c>
      <c r="U29" s="706">
        <f t="shared" si="13"/>
        <v>100</v>
      </c>
      <c r="V29" s="705" t="s">
        <v>14</v>
      </c>
      <c r="W29" s="706">
        <f t="shared" si="14"/>
        <v>100</v>
      </c>
      <c r="X29" s="1354"/>
      <c r="Y29" s="3739"/>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9"/>
      <c r="Q30" s="1351" t="str">
        <f t="shared" si="11"/>
        <v>物业等级</v>
      </c>
      <c r="R30" s="705" t="s">
        <v>14</v>
      </c>
      <c r="S30" s="706">
        <f t="shared" si="12"/>
        <v>100</v>
      </c>
      <c r="T30" s="705" t="s">
        <v>14</v>
      </c>
      <c r="U30" s="706">
        <f t="shared" si="13"/>
        <v>100</v>
      </c>
      <c r="V30" s="705" t="s">
        <v>14</v>
      </c>
      <c r="W30" s="706">
        <f t="shared" si="14"/>
        <v>100</v>
      </c>
      <c r="X30" s="1354"/>
      <c r="Y30" s="3739"/>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9"/>
      <c r="Q31" s="1342" t="str">
        <f t="shared" si="11"/>
        <v>停车位面积</v>
      </c>
      <c r="R31" s="701" t="s">
        <v>14</v>
      </c>
      <c r="S31" s="702">
        <f t="shared" si="12"/>
        <v>100</v>
      </c>
      <c r="T31" s="701" t="s">
        <v>14</v>
      </c>
      <c r="U31" s="702">
        <f t="shared" si="13"/>
        <v>100</v>
      </c>
      <c r="V31" s="701" t="s">
        <v>14</v>
      </c>
      <c r="W31" s="702">
        <f t="shared" si="14"/>
        <v>100</v>
      </c>
      <c r="X31" s="703"/>
      <c r="Y31" s="3739"/>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9" t="s">
        <v>1696</v>
      </c>
      <c r="Q32" s="1351" t="str">
        <f t="shared" si="11"/>
        <v>车位类型</v>
      </c>
      <c r="R32" s="705" t="s">
        <v>14</v>
      </c>
      <c r="S32" s="706">
        <f t="shared" si="12"/>
        <v>100</v>
      </c>
      <c r="T32" s="705" t="s">
        <v>14</v>
      </c>
      <c r="U32" s="706">
        <f t="shared" si="13"/>
        <v>100</v>
      </c>
      <c r="V32" s="705" t="s">
        <v>14</v>
      </c>
      <c r="W32" s="706">
        <f t="shared" si="14"/>
        <v>100</v>
      </c>
      <c r="X32" s="1354"/>
      <c r="Y32" s="373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9"/>
      <c r="Q33" s="1351" t="str">
        <f t="shared" si="11"/>
        <v>是否直接入户</v>
      </c>
      <c r="R33" s="705" t="s">
        <v>14</v>
      </c>
      <c r="S33" s="706">
        <f t="shared" si="12"/>
        <v>100</v>
      </c>
      <c r="T33" s="705" t="s">
        <v>14</v>
      </c>
      <c r="U33" s="706">
        <f t="shared" si="13"/>
        <v>100</v>
      </c>
      <c r="V33" s="705" t="s">
        <v>14</v>
      </c>
      <c r="W33" s="706">
        <f t="shared" si="14"/>
        <v>100</v>
      </c>
      <c r="X33" s="1354"/>
      <c r="Y33" s="373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9"/>
      <c r="Q34" s="1351">
        <f t="shared" si="11"/>
        <v>111</v>
      </c>
      <c r="R34" s="705" t="s">
        <v>14</v>
      </c>
      <c r="S34" s="706">
        <f t="shared" si="12"/>
        <v>100</v>
      </c>
      <c r="T34" s="705" t="s">
        <v>14</v>
      </c>
      <c r="U34" s="706">
        <f t="shared" si="13"/>
        <v>100</v>
      </c>
      <c r="V34" s="705" t="s">
        <v>14</v>
      </c>
      <c r="W34" s="706">
        <f t="shared" si="14"/>
        <v>100</v>
      </c>
      <c r="X34" s="1354"/>
      <c r="Y34" s="373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9"/>
      <c r="Q35" s="707">
        <f t="shared" si="11"/>
        <v>111</v>
      </c>
      <c r="R35" s="708" t="s">
        <v>14</v>
      </c>
      <c r="S35" s="709">
        <f t="shared" si="12"/>
        <v>100</v>
      </c>
      <c r="T35" s="708" t="s">
        <v>14</v>
      </c>
      <c r="U35" s="709">
        <f t="shared" si="13"/>
        <v>100</v>
      </c>
      <c r="V35" s="708" t="s">
        <v>14</v>
      </c>
      <c r="W35" s="709">
        <f t="shared" si="14"/>
        <v>100</v>
      </c>
      <c r="X35" s="710"/>
      <c r="Y35" s="373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9"/>
      <c r="Q36" s="1351">
        <f t="shared" si="11"/>
        <v>111</v>
      </c>
      <c r="R36" s="705" t="s">
        <v>14</v>
      </c>
      <c r="S36" s="706">
        <f t="shared" si="12"/>
        <v>100</v>
      </c>
      <c r="T36" s="705" t="s">
        <v>14</v>
      </c>
      <c r="U36" s="706">
        <f t="shared" si="13"/>
        <v>100</v>
      </c>
      <c r="V36" s="705" t="s">
        <v>14</v>
      </c>
      <c r="W36" s="706">
        <f t="shared" si="14"/>
        <v>100</v>
      </c>
      <c r="X36" s="1354"/>
      <c r="Y36" s="3739"/>
      <c r="Z36" s="1355">
        <f t="shared" si="15"/>
        <v>111</v>
      </c>
      <c r="AA36" s="1352">
        <f t="shared" si="3"/>
        <v>1</v>
      </c>
      <c r="AB36" s="1352">
        <f t="shared" si="4"/>
        <v>1</v>
      </c>
      <c r="AC36" s="1352">
        <f t="shared" si="5"/>
        <v>1</v>
      </c>
    </row>
    <row r="37" spans="1:29" ht="15">
      <c r="A37" s="430" t="s">
        <v>1844</v>
      </c>
      <c r="B37" s="1969" t="s">
        <v>5000</v>
      </c>
      <c r="C37" s="1154" t="s">
        <v>0</v>
      </c>
      <c r="D37" s="1155"/>
      <c r="E37" s="1156">
        <v>181236</v>
      </c>
      <c r="F37" s="1157"/>
      <c r="G37" s="1158">
        <v>180000</v>
      </c>
      <c r="H37" s="1159"/>
      <c r="I37" s="1156">
        <v>161677</v>
      </c>
      <c r="J37" s="1159"/>
      <c r="K37" s="568"/>
      <c r="L37" s="2720"/>
      <c r="M37" s="2721"/>
      <c r="N37" s="2712"/>
      <c r="O37" s="2721"/>
      <c r="P37" s="3721" t="str">
        <f>A37</f>
        <v>成交单价</v>
      </c>
      <c r="Q37" s="3721"/>
      <c r="R37" s="3773">
        <f>E37</f>
        <v>181236</v>
      </c>
      <c r="S37" s="3773"/>
      <c r="T37" s="3773">
        <f>G37</f>
        <v>180000</v>
      </c>
      <c r="U37" s="3773"/>
      <c r="V37" s="3773">
        <f>I37</f>
        <v>161677</v>
      </c>
      <c r="W37" s="3773"/>
      <c r="X37" s="690"/>
      <c r="Y37" s="712"/>
      <c r="Z37" s="690"/>
      <c r="AA37" s="690"/>
      <c r="AB37" s="690"/>
      <c r="AC37" s="690"/>
    </row>
    <row r="38" spans="1:29" ht="15.7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21" t="str">
        <f>A38</f>
        <v>比较价值（元/平方米）</v>
      </c>
      <c r="Q38" s="3721"/>
      <c r="R38" s="3773">
        <f>IF(F1="售价",ROUND(PRODUCT(R37,AA7:AA36),0),ROUND(PRODUCT(R37,AA7:AA36),1))</f>
        <v>181236</v>
      </c>
      <c r="S38" s="3773"/>
      <c r="T38" s="3773">
        <f>IF(F1="售价",ROUND(PRODUCT(T37,AB7:AB36),0),ROUND(PRODUCT(T37,AB7:AB36),1))</f>
        <v>180000</v>
      </c>
      <c r="U38" s="3773"/>
      <c r="V38" s="3773">
        <f>IF(F1="售价",ROUND(PRODUCT(V37,AC7:AC36),0),ROUND(PRODUCT(V37,AC7:AC36),1))</f>
        <v>161677</v>
      </c>
      <c r="W38" s="3773"/>
      <c r="X38" s="690"/>
      <c r="Y38" s="690"/>
      <c r="Z38" s="690"/>
      <c r="AA38" s="690"/>
      <c r="AB38" s="690"/>
      <c r="AC38" s="690"/>
    </row>
    <row r="39" spans="1:29" ht="15.75" thickBot="1">
      <c r="A39" s="441" t="s">
        <v>1846</v>
      </c>
      <c r="B39" s="442"/>
      <c r="C39" s="1163">
        <f>R39</f>
        <v>174304</v>
      </c>
      <c r="D39" s="1163"/>
      <c r="E39" s="1163"/>
      <c r="F39" s="1163"/>
      <c r="G39" s="1163"/>
      <c r="H39" s="1163"/>
      <c r="I39" s="1163"/>
      <c r="J39" s="1163"/>
      <c r="K39" s="569"/>
      <c r="L39" s="2720"/>
      <c r="M39" s="2721"/>
      <c r="N39" s="2721"/>
      <c r="O39" s="2721"/>
      <c r="P39" s="3741" t="str">
        <f>A39</f>
        <v>估价对象XX用房的比较价值（楼面单价，元/平方米）</v>
      </c>
      <c r="Q39" s="3742"/>
      <c r="R39" s="3795">
        <f>IF(F1="售价",ROUND(IF(D38="简单平均",AVERAGE(R38:W38),R38*F38+T38*H38+V38*J38),0),ROUND(IF(D38="简单平均",AVERAGE(R38:V38),R38*F38+T38*H38+V38*J38),1))</f>
        <v>174304</v>
      </c>
      <c r="S39" s="3795"/>
      <c r="T39" s="3795"/>
      <c r="U39" s="3795"/>
      <c r="V39" s="3795"/>
      <c r="W39" s="379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3" t="str">
        <f>YEAR(C7)&amp;"-"&amp;MONTH(C7)</f>
        <v>2023-6</v>
      </c>
      <c r="D48" s="1184">
        <f>EDATE(C48,-1)</f>
        <v>45047</v>
      </c>
      <c r="E48" s="1184">
        <f t="shared" ref="E48:O48" si="16">EDATE(D48,-1)</f>
        <v>45017</v>
      </c>
      <c r="F48" s="1184">
        <f t="shared" si="16"/>
        <v>44986</v>
      </c>
      <c r="G48" s="1184">
        <f t="shared" si="16"/>
        <v>44958</v>
      </c>
      <c r="H48" s="1184">
        <f t="shared" si="16"/>
        <v>44927</v>
      </c>
      <c r="I48" s="1184">
        <f t="shared" si="16"/>
        <v>44896</v>
      </c>
      <c r="J48" s="1184">
        <f t="shared" si="16"/>
        <v>44866</v>
      </c>
      <c r="K48" s="1184">
        <f t="shared" si="16"/>
        <v>44835</v>
      </c>
      <c r="L48" s="1184">
        <f t="shared" si="16"/>
        <v>44805</v>
      </c>
      <c r="M48" s="1184">
        <f t="shared" si="16"/>
        <v>44774</v>
      </c>
      <c r="N48" s="1184">
        <f t="shared" si="16"/>
        <v>44743</v>
      </c>
      <c r="O48" s="1184">
        <f t="shared" si="16"/>
        <v>44713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28" sqref="O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9" t="s">
        <v>1771</v>
      </c>
      <c r="S4" s="3710"/>
      <c r="T4" s="3709" t="s">
        <v>1772</v>
      </c>
      <c r="U4" s="3710"/>
      <c r="V4" s="3734" t="s">
        <v>1773</v>
      </c>
      <c r="W4" s="3734"/>
      <c r="X4" s="1354"/>
      <c r="Y4" s="3709" t="s">
        <v>1775</v>
      </c>
      <c r="Z4" s="3710"/>
      <c r="AA4" s="3704" t="s">
        <v>1771</v>
      </c>
      <c r="AB4" s="3705" t="s">
        <v>1772</v>
      </c>
      <c r="AC4" s="3704" t="s">
        <v>1773</v>
      </c>
    </row>
    <row r="5" spans="1:29" ht="15">
      <c r="A5" s="358"/>
      <c r="B5" s="359"/>
      <c r="C5" s="3715" t="s">
        <v>1673</v>
      </c>
      <c r="D5" s="3716"/>
      <c r="E5" s="3713" t="str">
        <f>仓储案例!A2</f>
        <v>和锦华宸</v>
      </c>
      <c r="F5" s="3714"/>
      <c r="G5" s="3715" t="str">
        <f>仓储案例!A21</f>
        <v>招商中建·顺义臻珑府</v>
      </c>
      <c r="H5" s="3716"/>
      <c r="I5" s="3715" t="str">
        <f>仓储案例!A37</f>
        <v>龙湖·御湖境</v>
      </c>
      <c r="J5" s="3716"/>
      <c r="K5" s="559"/>
      <c r="L5" s="2711"/>
      <c r="M5" s="2712"/>
      <c r="N5" s="2712"/>
      <c r="O5" s="2712"/>
      <c r="P5" s="3728"/>
      <c r="Q5" s="3729"/>
      <c r="R5" s="3711"/>
      <c r="S5" s="3712"/>
      <c r="T5" s="3711"/>
      <c r="U5" s="3712"/>
      <c r="V5" s="3734"/>
      <c r="W5" s="3734"/>
      <c r="X5" s="1354"/>
      <c r="Y5" s="3711"/>
      <c r="Z5" s="3712"/>
      <c r="AA5" s="3705"/>
      <c r="AB5" s="3705"/>
      <c r="AC5" s="3705"/>
    </row>
    <row r="6" spans="1:29" ht="15.75" thickBot="1">
      <c r="A6" s="360"/>
      <c r="B6" s="361"/>
      <c r="C6" s="3717" t="s">
        <v>1677</v>
      </c>
      <c r="D6" s="3718"/>
      <c r="E6" s="3719" t="s">
        <v>1677</v>
      </c>
      <c r="F6" s="3720"/>
      <c r="G6" s="3717" t="s">
        <v>1677</v>
      </c>
      <c r="H6" s="3718"/>
      <c r="I6" s="3717" t="s">
        <v>1677</v>
      </c>
      <c r="J6" s="3718"/>
      <c r="K6" s="559" t="s">
        <v>1678</v>
      </c>
      <c r="L6" s="2711"/>
      <c r="M6" s="2712"/>
      <c r="N6" s="2712"/>
      <c r="O6" s="2712"/>
      <c r="P6" s="3730"/>
      <c r="Q6" s="3731"/>
      <c r="R6" s="3711"/>
      <c r="S6" s="3712"/>
      <c r="T6" s="3732"/>
      <c r="U6" s="3733"/>
      <c r="V6" s="3734"/>
      <c r="W6" s="3734"/>
      <c r="X6" s="1354"/>
      <c r="Y6" s="3732"/>
      <c r="Z6" s="3733"/>
      <c r="AA6" s="3706"/>
      <c r="AB6" s="3706"/>
      <c r="AC6" s="3706"/>
    </row>
    <row r="7" spans="1:29" s="108" customFormat="1" ht="15.75" thickBot="1">
      <c r="A7" s="362" t="s">
        <v>1679</v>
      </c>
      <c r="B7" s="363"/>
      <c r="C7" s="364">
        <f>'数据-取费表'!B2</f>
        <v>45103</v>
      </c>
      <c r="D7" s="365">
        <v>100</v>
      </c>
      <c r="E7" s="366">
        <f>C7</f>
        <v>45103</v>
      </c>
      <c r="F7" s="367">
        <f>SUMIF(46:46,YEAR(E7)&amp;"-"&amp;MONTH(E7),47:47)</f>
        <v>100</v>
      </c>
      <c r="G7" s="1970">
        <f>C7</f>
        <v>45103</v>
      </c>
      <c r="H7" s="365">
        <f>SUMIF(46:46,YEAR(G7)&amp;"-"&amp;MONTH(G7),47:47)</f>
        <v>100</v>
      </c>
      <c r="I7" s="366">
        <f>C7</f>
        <v>45103</v>
      </c>
      <c r="J7" s="365">
        <f>SUMIF(46:46,YEAR(I7)&amp;"-"&amp;MONTH(I7),47:47)</f>
        <v>100</v>
      </c>
      <c r="K7" s="560"/>
      <c r="L7" s="2713"/>
      <c r="M7" s="2714"/>
      <c r="N7" s="2714"/>
      <c r="O7" s="2714"/>
      <c r="P7" s="3707" t="s">
        <v>1680</v>
      </c>
      <c r="Q7" s="3735"/>
      <c r="R7" s="701" t="s">
        <v>14</v>
      </c>
      <c r="S7" s="702">
        <f t="shared" ref="S7:S14" si="0">F7</f>
        <v>100</v>
      </c>
      <c r="T7" s="701" t="s">
        <v>14</v>
      </c>
      <c r="U7" s="702">
        <f t="shared" ref="U7:U14" si="1">H7</f>
        <v>100</v>
      </c>
      <c r="V7" s="701" t="s">
        <v>14</v>
      </c>
      <c r="W7" s="702">
        <f t="shared" ref="W7:W14" si="2">J7</f>
        <v>100</v>
      </c>
      <c r="X7" s="703"/>
      <c r="Y7" s="3707" t="s">
        <v>1680</v>
      </c>
      <c r="Z7" s="3708"/>
      <c r="AA7" s="704">
        <f>D7/F7</f>
        <v>1</v>
      </c>
      <c r="AB7" s="704">
        <f>D7/H7</f>
        <v>1</v>
      </c>
      <c r="AC7" s="704">
        <f>D7/J7</f>
        <v>1</v>
      </c>
    </row>
    <row r="8" spans="1:29" s="108" customFormat="1" ht="15.7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21" t="s">
        <v>1686</v>
      </c>
      <c r="Q9" s="1342"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21"/>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21"/>
      <c r="Q11" s="1342">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21"/>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21"/>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6" t="s">
        <v>1691</v>
      </c>
      <c r="Q14" s="1351" t="str">
        <f t="shared" si="6"/>
        <v>交通便捷度</v>
      </c>
      <c r="R14" s="705" t="s">
        <v>14</v>
      </c>
      <c r="S14" s="706">
        <f t="shared" si="0"/>
        <v>100</v>
      </c>
      <c r="T14" s="705" t="s">
        <v>14</v>
      </c>
      <c r="U14" s="706">
        <f t="shared" si="1"/>
        <v>100</v>
      </c>
      <c r="V14" s="705" t="s">
        <v>14</v>
      </c>
      <c r="W14" s="706">
        <f t="shared" si="2"/>
        <v>100</v>
      </c>
      <c r="X14" s="1354"/>
      <c r="Y14" s="3736"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37"/>
      <c r="Q15" s="1351"/>
      <c r="R15" s="705"/>
      <c r="S15" s="706"/>
      <c r="T15" s="705"/>
      <c r="U15" s="706"/>
      <c r="V15" s="705"/>
      <c r="W15" s="706"/>
      <c r="X15" s="1354"/>
      <c r="Y15" s="3737"/>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7"/>
      <c r="Q16" s="1351" t="str">
        <f>B16</f>
        <v>公共配套设施</v>
      </c>
      <c r="R16" s="705" t="s">
        <v>14</v>
      </c>
      <c r="S16" s="706">
        <f>F16</f>
        <v>100</v>
      </c>
      <c r="T16" s="705" t="s">
        <v>14</v>
      </c>
      <c r="U16" s="706">
        <f>H16</f>
        <v>100</v>
      </c>
      <c r="V16" s="705" t="s">
        <v>14</v>
      </c>
      <c r="W16" s="706">
        <f>J16</f>
        <v>100</v>
      </c>
      <c r="X16" s="1354"/>
      <c r="Y16" s="3737"/>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37"/>
      <c r="Q17" s="1351"/>
      <c r="R17" s="705"/>
      <c r="S17" s="706"/>
      <c r="T17" s="705"/>
      <c r="U17" s="706"/>
      <c r="V17" s="705"/>
      <c r="W17" s="706"/>
      <c r="X17" s="1354"/>
      <c r="Y17" s="3737"/>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7"/>
      <c r="Q18" s="1351" t="str">
        <f>B18</f>
        <v>基础设施水平</v>
      </c>
      <c r="R18" s="705" t="s">
        <v>14</v>
      </c>
      <c r="S18" s="706">
        <f>F18</f>
        <v>100</v>
      </c>
      <c r="T18" s="705" t="s">
        <v>14</v>
      </c>
      <c r="U18" s="706">
        <f>H18</f>
        <v>100</v>
      </c>
      <c r="V18" s="705" t="s">
        <v>14</v>
      </c>
      <c r="W18" s="706">
        <f>J18</f>
        <v>100</v>
      </c>
      <c r="X18" s="1354"/>
      <c r="Y18" s="3737"/>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37"/>
      <c r="Q19" s="1351"/>
      <c r="R19" s="705"/>
      <c r="S19" s="706"/>
      <c r="T19" s="705"/>
      <c r="U19" s="706"/>
      <c r="V19" s="705"/>
      <c r="W19" s="706"/>
      <c r="X19" s="1354"/>
      <c r="Y19" s="3737"/>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7"/>
      <c r="Q20" s="1351" t="str">
        <f>B20</f>
        <v>自然及人文环境</v>
      </c>
      <c r="R20" s="705" t="s">
        <v>14</v>
      </c>
      <c r="S20" s="706">
        <f>F20</f>
        <v>100</v>
      </c>
      <c r="T20" s="705" t="s">
        <v>14</v>
      </c>
      <c r="U20" s="706">
        <f>H20</f>
        <v>100</v>
      </c>
      <c r="V20" s="705" t="s">
        <v>14</v>
      </c>
      <c r="W20" s="706">
        <f>J20</f>
        <v>100</v>
      </c>
      <c r="X20" s="1354"/>
      <c r="Y20" s="3737"/>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37"/>
      <c r="Q21" s="1351"/>
      <c r="R21" s="705"/>
      <c r="S21" s="706"/>
      <c r="T21" s="705"/>
      <c r="U21" s="706"/>
      <c r="V21" s="705"/>
      <c r="W21" s="706"/>
      <c r="X21" s="1354"/>
      <c r="Y21" s="373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7"/>
      <c r="Q22" s="1351" t="str">
        <f>B22</f>
        <v>楼层</v>
      </c>
      <c r="R22" s="705" t="s">
        <v>14</v>
      </c>
      <c r="S22" s="706">
        <f>F22</f>
        <v>100</v>
      </c>
      <c r="T22" s="705" t="s">
        <v>14</v>
      </c>
      <c r="U22" s="706">
        <f>H22</f>
        <v>100</v>
      </c>
      <c r="V22" s="705" t="s">
        <v>14</v>
      </c>
      <c r="W22" s="706">
        <f>J22</f>
        <v>100</v>
      </c>
      <c r="X22" s="1354"/>
      <c r="Y22" s="373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7"/>
      <c r="Q23" s="1351">
        <f>B23</f>
        <v>111</v>
      </c>
      <c r="R23" s="705" t="s">
        <v>14</v>
      </c>
      <c r="S23" s="706">
        <f>F23</f>
        <v>100</v>
      </c>
      <c r="T23" s="705" t="s">
        <v>14</v>
      </c>
      <c r="U23" s="706">
        <f>H23</f>
        <v>100</v>
      </c>
      <c r="V23" s="705" t="s">
        <v>14</v>
      </c>
      <c r="W23" s="706">
        <f>J23</f>
        <v>100</v>
      </c>
      <c r="X23" s="1354"/>
      <c r="Y23" s="373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7"/>
      <c r="Q24" s="1351">
        <f t="shared" ref="Q24:Q34" si="11">B24</f>
        <v>111</v>
      </c>
      <c r="R24" s="705" t="s">
        <v>14</v>
      </c>
      <c r="S24" s="706">
        <f>F24</f>
        <v>100</v>
      </c>
      <c r="T24" s="705" t="s">
        <v>14</v>
      </c>
      <c r="U24" s="706">
        <f>H24</f>
        <v>100</v>
      </c>
      <c r="V24" s="705" t="s">
        <v>14</v>
      </c>
      <c r="W24" s="706">
        <f>J24</f>
        <v>100</v>
      </c>
      <c r="X24" s="1354"/>
      <c r="Y24" s="3737"/>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7"/>
      <c r="Q25" s="1342">
        <f t="shared" si="11"/>
        <v>111</v>
      </c>
      <c r="R25" s="701" t="s">
        <v>14</v>
      </c>
      <c r="S25" s="702">
        <f>F25</f>
        <v>100</v>
      </c>
      <c r="T25" s="701" t="s">
        <v>14</v>
      </c>
      <c r="U25" s="702">
        <f>H25</f>
        <v>100</v>
      </c>
      <c r="V25" s="701" t="s">
        <v>14</v>
      </c>
      <c r="W25" s="702">
        <f>J25</f>
        <v>100</v>
      </c>
      <c r="X25" s="703"/>
      <c r="Y25" s="3737"/>
      <c r="Z25" s="52">
        <f>Q25</f>
        <v>111</v>
      </c>
      <c r="AA25" s="1352">
        <f>D25/F25</f>
        <v>1</v>
      </c>
      <c r="AB25" s="1352">
        <f>D25/H25</f>
        <v>1</v>
      </c>
      <c r="AC25" s="1352">
        <f>D25/J25</f>
        <v>1</v>
      </c>
    </row>
    <row r="26" spans="1:29" ht="28.5">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3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9"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9"/>
      <c r="Q27" s="707" t="str">
        <f t="shared" si="11"/>
        <v>成新率</v>
      </c>
      <c r="R27" s="708" t="s">
        <v>14</v>
      </c>
      <c r="S27" s="709">
        <f t="shared" si="12"/>
        <v>100</v>
      </c>
      <c r="T27" s="708" t="s">
        <v>14</v>
      </c>
      <c r="U27" s="709">
        <f t="shared" si="13"/>
        <v>100</v>
      </c>
      <c r="V27" s="708" t="s">
        <v>14</v>
      </c>
      <c r="W27" s="709">
        <f t="shared" si="14"/>
        <v>100</v>
      </c>
      <c r="X27" s="710"/>
      <c r="Y27" s="3739"/>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9"/>
      <c r="Q28" s="1351" t="str">
        <f t="shared" si="11"/>
        <v>物业等级</v>
      </c>
      <c r="R28" s="705" t="s">
        <v>14</v>
      </c>
      <c r="S28" s="706">
        <f t="shared" si="12"/>
        <v>100</v>
      </c>
      <c r="T28" s="705" t="s">
        <v>14</v>
      </c>
      <c r="U28" s="706">
        <f t="shared" si="13"/>
        <v>100</v>
      </c>
      <c r="V28" s="705" t="s">
        <v>14</v>
      </c>
      <c r="W28" s="706">
        <f t="shared" si="14"/>
        <v>100</v>
      </c>
      <c r="X28" s="1354"/>
      <c r="Y28" s="373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9"/>
      <c r="Q29" s="1351" t="str">
        <f t="shared" si="11"/>
        <v>有无电梯</v>
      </c>
      <c r="R29" s="705" t="s">
        <v>14</v>
      </c>
      <c r="S29" s="706">
        <f t="shared" si="12"/>
        <v>100</v>
      </c>
      <c r="T29" s="705" t="s">
        <v>14</v>
      </c>
      <c r="U29" s="706">
        <f t="shared" si="13"/>
        <v>100</v>
      </c>
      <c r="V29" s="705" t="s">
        <v>14</v>
      </c>
      <c r="W29" s="706">
        <f t="shared" si="14"/>
        <v>100</v>
      </c>
      <c r="X29" s="1354"/>
      <c r="Y29" s="3739"/>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9"/>
      <c r="Q30" s="1351" t="str">
        <f t="shared" si="11"/>
        <v>建筑面积</v>
      </c>
      <c r="R30" s="705" t="s">
        <v>14</v>
      </c>
      <c r="S30" s="706">
        <f t="shared" si="12"/>
        <v>100</v>
      </c>
      <c r="T30" s="705" t="s">
        <v>14</v>
      </c>
      <c r="U30" s="706">
        <f t="shared" si="13"/>
        <v>100</v>
      </c>
      <c r="V30" s="705" t="s">
        <v>14</v>
      </c>
      <c r="W30" s="706">
        <f t="shared" si="14"/>
        <v>100</v>
      </c>
      <c r="X30" s="1354"/>
      <c r="Y30" s="3739"/>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9"/>
      <c r="Q31" s="1342" t="str">
        <f t="shared" si="11"/>
        <v>是否封闭</v>
      </c>
      <c r="R31" s="701" t="s">
        <v>14</v>
      </c>
      <c r="S31" s="702">
        <f t="shared" si="12"/>
        <v>100</v>
      </c>
      <c r="T31" s="701" t="s">
        <v>14</v>
      </c>
      <c r="U31" s="702">
        <f t="shared" si="13"/>
        <v>100</v>
      </c>
      <c r="V31" s="701" t="s">
        <v>14</v>
      </c>
      <c r="W31" s="702">
        <f t="shared" si="14"/>
        <v>100</v>
      </c>
      <c r="X31" s="703"/>
      <c r="Y31" s="3739"/>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9" t="s">
        <v>1696</v>
      </c>
      <c r="Q32" s="1351">
        <f t="shared" si="11"/>
        <v>111</v>
      </c>
      <c r="R32" s="705" t="s">
        <v>14</v>
      </c>
      <c r="S32" s="706">
        <f t="shared" si="12"/>
        <v>100</v>
      </c>
      <c r="T32" s="705" t="s">
        <v>14</v>
      </c>
      <c r="U32" s="706">
        <f t="shared" si="13"/>
        <v>100</v>
      </c>
      <c r="V32" s="705" t="s">
        <v>14</v>
      </c>
      <c r="W32" s="706">
        <f t="shared" si="14"/>
        <v>100</v>
      </c>
      <c r="X32" s="1354"/>
      <c r="Y32" s="3739"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9"/>
      <c r="Q33" s="1351">
        <f t="shared" si="11"/>
        <v>111</v>
      </c>
      <c r="R33" s="705" t="s">
        <v>14</v>
      </c>
      <c r="S33" s="706">
        <f t="shared" si="12"/>
        <v>100</v>
      </c>
      <c r="T33" s="705" t="s">
        <v>14</v>
      </c>
      <c r="U33" s="706">
        <f t="shared" si="13"/>
        <v>100</v>
      </c>
      <c r="V33" s="705" t="s">
        <v>14</v>
      </c>
      <c r="W33" s="706">
        <f t="shared" si="14"/>
        <v>100</v>
      </c>
      <c r="X33" s="1354"/>
      <c r="Y33" s="3739"/>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9"/>
      <c r="Q34" s="1351">
        <f t="shared" si="11"/>
        <v>111</v>
      </c>
      <c r="R34" s="705" t="s">
        <v>14</v>
      </c>
      <c r="S34" s="706">
        <f t="shared" si="12"/>
        <v>100</v>
      </c>
      <c r="T34" s="705" t="s">
        <v>14</v>
      </c>
      <c r="U34" s="706">
        <f t="shared" si="13"/>
        <v>100</v>
      </c>
      <c r="V34" s="705" t="s">
        <v>14</v>
      </c>
      <c r="W34" s="706">
        <f t="shared" si="14"/>
        <v>100</v>
      </c>
      <c r="X34" s="1354"/>
      <c r="Y34" s="3739"/>
      <c r="Z34" s="1355">
        <f t="shared" si="15"/>
        <v>111</v>
      </c>
      <c r="AA34" s="1352">
        <f t="shared" si="3"/>
        <v>1</v>
      </c>
      <c r="AB34" s="1352">
        <f t="shared" si="4"/>
        <v>1</v>
      </c>
      <c r="AC34" s="1352">
        <f t="shared" si="5"/>
        <v>1</v>
      </c>
    </row>
    <row r="35" spans="1:30" ht="15">
      <c r="A35" s="430" t="s">
        <v>1708</v>
      </c>
      <c r="B35" s="431"/>
      <c r="C35" s="1154" t="s">
        <v>0</v>
      </c>
      <c r="D35" s="1155"/>
      <c r="E35" s="1156">
        <v>14859</v>
      </c>
      <c r="F35" s="1157"/>
      <c r="G35" s="1158">
        <v>15000</v>
      </c>
      <c r="H35" s="1159"/>
      <c r="I35" s="1156">
        <v>11614</v>
      </c>
      <c r="J35" s="1159"/>
      <c r="K35" s="714"/>
      <c r="L35" s="2720"/>
      <c r="M35" s="2721"/>
      <c r="N35" s="2712"/>
      <c r="O35" s="2721"/>
      <c r="P35" s="3721" t="str">
        <f>A35</f>
        <v>成交单价（元/平方米）</v>
      </c>
      <c r="Q35" s="3721"/>
      <c r="R35" s="3773">
        <f>E35</f>
        <v>14859</v>
      </c>
      <c r="S35" s="3773"/>
      <c r="T35" s="3773">
        <f>G35</f>
        <v>15000</v>
      </c>
      <c r="U35" s="3773"/>
      <c r="V35" s="3773">
        <f>I35</f>
        <v>11614</v>
      </c>
      <c r="W35" s="3773"/>
      <c r="X35" s="690"/>
      <c r="Y35" s="712"/>
      <c r="Z35" s="690"/>
      <c r="AA35" s="690"/>
      <c r="AB35" s="690"/>
      <c r="AC35" s="690"/>
    </row>
    <row r="36" spans="1:30" ht="15.7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21" t="str">
        <f>A36</f>
        <v>比较价值（元/平方米）</v>
      </c>
      <c r="Q36" s="3721"/>
      <c r="R36" s="3773">
        <f>IF(F1="售价",ROUND(PRODUCT(R35,AA7:AA34),0),ROUND(PRODUCT(R35,AA7:AA34),1))</f>
        <v>14859</v>
      </c>
      <c r="S36" s="3773"/>
      <c r="T36" s="3773">
        <f>IF(F1="售价",ROUND(PRODUCT(T35,AB7:AB34),0),ROUND(PRODUCT(T35,AB7:AB34),1))</f>
        <v>15000</v>
      </c>
      <c r="U36" s="3773"/>
      <c r="V36" s="3773">
        <f>IF(F1="售价",ROUND(PRODUCT(V35,AC7:AC34),0),ROUND(PRODUCT(V35,AC7:AC34),1))</f>
        <v>11614</v>
      </c>
      <c r="W36" s="3773"/>
      <c r="X36" s="690"/>
      <c r="Y36" s="690"/>
      <c r="Z36" s="690"/>
      <c r="AA36" s="690"/>
      <c r="AB36" s="690"/>
      <c r="AC36" s="690"/>
    </row>
    <row r="37" spans="1:30" ht="15.75" thickBot="1">
      <c r="A37" s="441" t="s">
        <v>1794</v>
      </c>
      <c r="B37" s="442"/>
      <c r="C37" s="1163">
        <f>R37</f>
        <v>13824</v>
      </c>
      <c r="D37" s="1163"/>
      <c r="E37" s="1163"/>
      <c r="F37" s="1163"/>
      <c r="G37" s="1163"/>
      <c r="H37" s="1163"/>
      <c r="I37" s="1163"/>
      <c r="J37" s="1163"/>
      <c r="K37" s="715"/>
      <c r="L37" s="2720"/>
      <c r="M37" s="2721"/>
      <c r="N37" s="2721"/>
      <c r="O37" s="2721"/>
      <c r="P37" s="3741" t="str">
        <f>A37</f>
        <v>估价对象XX用房的比较价值（楼面单价，元/平方米）</v>
      </c>
      <c r="Q37" s="3742"/>
      <c r="R37" s="3795">
        <f>IF(F1="售价",ROUND(IF(D36="简单平均",AVERAGE(R36:W36),R36*F36+T36*H36+V36*J36),0),ROUND(IF(D36="简单平均",AVERAGE(R36:V36),R36*F36+T36*H36+V36*J36),1))</f>
        <v>13824</v>
      </c>
      <c r="S37" s="3795"/>
      <c r="T37" s="3795"/>
      <c r="U37" s="3795"/>
      <c r="V37" s="3795"/>
      <c r="W37" s="379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3" t="str">
        <f>YEAR(C7)&amp;"-"&amp;MONTH(C7)</f>
        <v>2023-6</v>
      </c>
      <c r="D46" s="1184">
        <f>EDATE(C46,-1)</f>
        <v>45047</v>
      </c>
      <c r="E46" s="1184">
        <f t="shared" ref="E46:O46" si="16">EDATE(D46,-1)</f>
        <v>45017</v>
      </c>
      <c r="F46" s="1184">
        <f t="shared" si="16"/>
        <v>44986</v>
      </c>
      <c r="G46" s="1184">
        <f t="shared" si="16"/>
        <v>44958</v>
      </c>
      <c r="H46" s="1184">
        <f t="shared" si="16"/>
        <v>44927</v>
      </c>
      <c r="I46" s="1184">
        <f t="shared" si="16"/>
        <v>44896</v>
      </c>
      <c r="J46" s="1184">
        <f t="shared" si="16"/>
        <v>44866</v>
      </c>
      <c r="K46" s="1184">
        <f t="shared" si="16"/>
        <v>44835</v>
      </c>
      <c r="L46" s="1184">
        <f t="shared" si="16"/>
        <v>44805</v>
      </c>
      <c r="M46" s="1184">
        <f t="shared" si="16"/>
        <v>44774</v>
      </c>
      <c r="N46" s="1184">
        <f t="shared" si="16"/>
        <v>44743</v>
      </c>
      <c r="O46" s="1184">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22" t="s">
        <v>1770</v>
      </c>
      <c r="D4" s="3723"/>
      <c r="E4" s="3724" t="s">
        <v>1771</v>
      </c>
      <c r="F4" s="3725"/>
      <c r="G4" s="3722" t="s">
        <v>1772</v>
      </c>
      <c r="H4" s="3723"/>
      <c r="I4" s="3722" t="s">
        <v>1773</v>
      </c>
      <c r="J4" s="3723"/>
      <c r="K4" s="559" t="s">
        <v>1774</v>
      </c>
      <c r="L4" s="2711"/>
      <c r="M4" s="2712"/>
      <c r="N4" s="2712"/>
      <c r="O4" s="2712"/>
      <c r="P4" s="3726" t="s">
        <v>1775</v>
      </c>
      <c r="Q4" s="3727"/>
      <c r="R4" s="3709" t="s">
        <v>1771</v>
      </c>
      <c r="S4" s="3710"/>
      <c r="T4" s="3709" t="s">
        <v>1772</v>
      </c>
      <c r="U4" s="3710"/>
      <c r="V4" s="3734" t="s">
        <v>1773</v>
      </c>
      <c r="W4" s="3734"/>
      <c r="X4" s="1354"/>
      <c r="Y4" s="3709" t="s">
        <v>1775</v>
      </c>
      <c r="Z4" s="3710"/>
      <c r="AA4" s="3704" t="s">
        <v>1771</v>
      </c>
      <c r="AB4" s="3705" t="s">
        <v>1772</v>
      </c>
      <c r="AC4" s="3704" t="s">
        <v>1773</v>
      </c>
    </row>
    <row r="5" spans="1:29" ht="15">
      <c r="A5" s="358"/>
      <c r="B5" s="359"/>
      <c r="C5" s="3715" t="s">
        <v>1673</v>
      </c>
      <c r="D5" s="3716"/>
      <c r="E5" s="3713" t="s">
        <v>1674</v>
      </c>
      <c r="F5" s="3714"/>
      <c r="G5" s="3715" t="s">
        <v>1675</v>
      </c>
      <c r="H5" s="3716"/>
      <c r="I5" s="3715" t="s">
        <v>1676</v>
      </c>
      <c r="J5" s="3716"/>
      <c r="K5" s="559"/>
      <c r="L5" s="2711"/>
      <c r="M5" s="2712"/>
      <c r="N5" s="2712"/>
      <c r="O5" s="2712"/>
      <c r="P5" s="3728"/>
      <c r="Q5" s="3729"/>
      <c r="R5" s="3711"/>
      <c r="S5" s="3712"/>
      <c r="T5" s="3711"/>
      <c r="U5" s="3712"/>
      <c r="V5" s="3734"/>
      <c r="W5" s="3734"/>
      <c r="X5" s="1354"/>
      <c r="Y5" s="3711"/>
      <c r="Z5" s="3712"/>
      <c r="AA5" s="3705"/>
      <c r="AB5" s="3705"/>
      <c r="AC5" s="3705"/>
    </row>
    <row r="6" spans="1:29" ht="15.75" thickBot="1">
      <c r="A6" s="360"/>
      <c r="B6" s="361"/>
      <c r="C6" s="3796" t="s">
        <v>1919</v>
      </c>
      <c r="D6" s="3797"/>
      <c r="E6" s="3798" t="s">
        <v>1919</v>
      </c>
      <c r="F6" s="3799"/>
      <c r="G6" s="3796" t="s">
        <v>1919</v>
      </c>
      <c r="H6" s="3797"/>
      <c r="I6" s="3796" t="s">
        <v>1919</v>
      </c>
      <c r="J6" s="3797"/>
      <c r="K6" s="559" t="s">
        <v>1678</v>
      </c>
      <c r="L6" s="2711"/>
      <c r="M6" s="2712"/>
      <c r="N6" s="2712"/>
      <c r="O6" s="2712"/>
      <c r="P6" s="3730"/>
      <c r="Q6" s="3731"/>
      <c r="R6" s="3711"/>
      <c r="S6" s="3712"/>
      <c r="T6" s="3732"/>
      <c r="U6" s="3733"/>
      <c r="V6" s="3734"/>
      <c r="W6" s="3734"/>
      <c r="X6" s="1354"/>
      <c r="Y6" s="3732"/>
      <c r="Z6" s="3733"/>
      <c r="AA6" s="3706"/>
      <c r="AB6" s="3706"/>
      <c r="AC6" s="3706"/>
    </row>
    <row r="7" spans="1:29" s="108" customFormat="1" ht="15.75" thickBot="1">
      <c r="A7" s="362" t="s">
        <v>1679</v>
      </c>
      <c r="B7" s="363"/>
      <c r="C7" s="364">
        <f>'数据-取费表'!B2</f>
        <v>45103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21" t="s">
        <v>1686</v>
      </c>
      <c r="Q9" s="1342"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21"/>
      <c r="Q10" s="1342"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21"/>
      <c r="Q11" s="1342"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21"/>
      <c r="Q12" s="1342">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21"/>
      <c r="Q13" s="1342">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21"/>
      <c r="Q14" s="1342">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6" t="s">
        <v>1691</v>
      </c>
      <c r="Q15" s="1351" t="str">
        <f t="shared" si="6"/>
        <v>产业集聚程度</v>
      </c>
      <c r="R15" s="705" t="s">
        <v>14</v>
      </c>
      <c r="S15" s="706">
        <f t="shared" si="0"/>
        <v>100</v>
      </c>
      <c r="T15" s="705" t="s">
        <v>14</v>
      </c>
      <c r="U15" s="706">
        <f t="shared" si="1"/>
        <v>100</v>
      </c>
      <c r="V15" s="705" t="s">
        <v>14</v>
      </c>
      <c r="W15" s="706">
        <f t="shared" si="2"/>
        <v>100</v>
      </c>
      <c r="X15" s="1354"/>
      <c r="Y15" s="3736"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37"/>
      <c r="Q16" s="1351"/>
      <c r="R16" s="705"/>
      <c r="S16" s="706"/>
      <c r="T16" s="705"/>
      <c r="U16" s="706"/>
      <c r="V16" s="705"/>
      <c r="W16" s="706"/>
      <c r="X16" s="1354"/>
      <c r="Y16" s="3737"/>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7"/>
      <c r="Q17" s="1351" t="str">
        <f>B17</f>
        <v>交通便捷度</v>
      </c>
      <c r="R17" s="705" t="s">
        <v>14</v>
      </c>
      <c r="S17" s="706">
        <f>F17</f>
        <v>100</v>
      </c>
      <c r="T17" s="705" t="s">
        <v>14</v>
      </c>
      <c r="U17" s="706">
        <f>H17</f>
        <v>100</v>
      </c>
      <c r="V17" s="705" t="s">
        <v>14</v>
      </c>
      <c r="W17" s="706">
        <f>J17</f>
        <v>100</v>
      </c>
      <c r="X17" s="1354"/>
      <c r="Y17" s="3737"/>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37"/>
      <c r="Q18" s="1351"/>
      <c r="R18" s="705"/>
      <c r="S18" s="706"/>
      <c r="T18" s="705"/>
      <c r="U18" s="706"/>
      <c r="V18" s="705"/>
      <c r="W18" s="706"/>
      <c r="X18" s="1354"/>
      <c r="Y18" s="3737"/>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7"/>
      <c r="Q19" s="1351" t="str">
        <f t="shared" ref="Q19:Q33" si="8">B19</f>
        <v>区域土地利用方向</v>
      </c>
      <c r="R19" s="705" t="s">
        <v>14</v>
      </c>
      <c r="S19" s="706">
        <f>F19</f>
        <v>100</v>
      </c>
      <c r="T19" s="705" t="s">
        <v>14</v>
      </c>
      <c r="U19" s="706">
        <f>H19</f>
        <v>100</v>
      </c>
      <c r="V19" s="705" t="s">
        <v>14</v>
      </c>
      <c r="W19" s="706">
        <f>J19</f>
        <v>100</v>
      </c>
      <c r="X19" s="1354"/>
      <c r="Y19" s="3737"/>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37"/>
      <c r="Q20" s="1351"/>
      <c r="R20" s="705"/>
      <c r="S20" s="706"/>
      <c r="T20" s="705"/>
      <c r="U20" s="706"/>
      <c r="V20" s="705"/>
      <c r="W20" s="706"/>
      <c r="X20" s="1354"/>
      <c r="Y20" s="3737"/>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7"/>
      <c r="Q21" s="1351" t="str">
        <f t="shared" si="8"/>
        <v>环境状况</v>
      </c>
      <c r="R21" s="705" t="s">
        <v>14</v>
      </c>
      <c r="S21" s="706">
        <f>F21</f>
        <v>100</v>
      </c>
      <c r="T21" s="705" t="s">
        <v>14</v>
      </c>
      <c r="U21" s="706">
        <f>H21</f>
        <v>100</v>
      </c>
      <c r="V21" s="705" t="s">
        <v>14</v>
      </c>
      <c r="W21" s="706">
        <f>J21</f>
        <v>100</v>
      </c>
      <c r="X21" s="1354"/>
      <c r="Y21" s="3737"/>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37"/>
      <c r="Q22" s="1351"/>
      <c r="R22" s="705"/>
      <c r="S22" s="706"/>
      <c r="T22" s="705"/>
      <c r="U22" s="706"/>
      <c r="V22" s="705"/>
      <c r="W22" s="706"/>
      <c r="X22" s="1354"/>
      <c r="Y22" s="3737"/>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7"/>
      <c r="Q23" s="1342" t="str">
        <f t="shared" si="8"/>
        <v>公共配套设施</v>
      </c>
      <c r="R23" s="701" t="s">
        <v>14</v>
      </c>
      <c r="S23" s="702">
        <f>F23</f>
        <v>100</v>
      </c>
      <c r="T23" s="701" t="s">
        <v>14</v>
      </c>
      <c r="U23" s="702">
        <f>H23</f>
        <v>100</v>
      </c>
      <c r="V23" s="701" t="s">
        <v>14</v>
      </c>
      <c r="W23" s="702">
        <f>J23</f>
        <v>100</v>
      </c>
      <c r="X23" s="703"/>
      <c r="Y23" s="3737"/>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37"/>
      <c r="Q24" s="1342"/>
      <c r="R24" s="701"/>
      <c r="S24" s="702"/>
      <c r="T24" s="701"/>
      <c r="U24" s="702"/>
      <c r="V24" s="701"/>
      <c r="W24" s="702"/>
      <c r="X24" s="703"/>
      <c r="Y24" s="3737"/>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7"/>
      <c r="Q25" s="1342" t="str">
        <f t="shared" ref="Q25" si="9">B25</f>
        <v>基础设施水平</v>
      </c>
      <c r="R25" s="701" t="s">
        <v>14</v>
      </c>
      <c r="S25" s="702">
        <f>F25</f>
        <v>100</v>
      </c>
      <c r="T25" s="701" t="s">
        <v>14</v>
      </c>
      <c r="U25" s="702">
        <f>H25</f>
        <v>100</v>
      </c>
      <c r="V25" s="701" t="s">
        <v>14</v>
      </c>
      <c r="W25" s="702">
        <f>J25</f>
        <v>100</v>
      </c>
      <c r="X25" s="703"/>
      <c r="Y25" s="3737"/>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37"/>
      <c r="Q26" s="1342"/>
      <c r="R26" s="701"/>
      <c r="S26" s="702"/>
      <c r="T26" s="701"/>
      <c r="U26" s="702"/>
      <c r="V26" s="701"/>
      <c r="W26" s="702"/>
      <c r="X26" s="703"/>
      <c r="Y26" s="373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7"/>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7"/>
      <c r="Q28" s="1351" t="str">
        <f t="shared" si="8"/>
        <v>毗邻道路的类型与等级</v>
      </c>
      <c r="R28" s="705" t="s">
        <v>14</v>
      </c>
      <c r="S28" s="706">
        <f t="shared" si="10"/>
        <v>100</v>
      </c>
      <c r="T28" s="705" t="s">
        <v>14</v>
      </c>
      <c r="U28" s="706">
        <f t="shared" si="11"/>
        <v>100</v>
      </c>
      <c r="V28" s="705" t="s">
        <v>14</v>
      </c>
      <c r="W28" s="706">
        <f t="shared" si="12"/>
        <v>100</v>
      </c>
      <c r="X28" s="1354"/>
      <c r="Y28" s="3737"/>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37"/>
      <c r="Q29" s="1351"/>
      <c r="R29" s="705"/>
      <c r="S29" s="706"/>
      <c r="T29" s="705"/>
      <c r="U29" s="706"/>
      <c r="V29" s="705"/>
      <c r="W29" s="706"/>
      <c r="X29" s="1354"/>
      <c r="Y29" s="3737"/>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7"/>
      <c r="Q30" s="1351" t="str">
        <f t="shared" si="8"/>
        <v>土地级别</v>
      </c>
      <c r="R30" s="705" t="s">
        <v>14</v>
      </c>
      <c r="S30" s="706">
        <f t="shared" si="10"/>
        <v>100</v>
      </c>
      <c r="T30" s="705" t="s">
        <v>14</v>
      </c>
      <c r="U30" s="706">
        <f t="shared" si="11"/>
        <v>100</v>
      </c>
      <c r="V30" s="705" t="s">
        <v>14</v>
      </c>
      <c r="W30" s="706">
        <f t="shared" si="12"/>
        <v>100</v>
      </c>
      <c r="X30" s="1354"/>
      <c r="Y30" s="3737"/>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7"/>
      <c r="Q31" s="1351">
        <f t="shared" si="8"/>
        <v>111</v>
      </c>
      <c r="R31" s="705" t="s">
        <v>14</v>
      </c>
      <c r="S31" s="706">
        <f t="shared" si="10"/>
        <v>100</v>
      </c>
      <c r="T31" s="705" t="s">
        <v>14</v>
      </c>
      <c r="U31" s="706">
        <f t="shared" si="11"/>
        <v>100</v>
      </c>
      <c r="V31" s="705" t="s">
        <v>14</v>
      </c>
      <c r="W31" s="706">
        <f t="shared" si="12"/>
        <v>100</v>
      </c>
      <c r="X31" s="1354"/>
      <c r="Y31" s="3737"/>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8" t="s">
        <v>1696</v>
      </c>
      <c r="Q32" s="1351">
        <f t="shared" si="8"/>
        <v>111</v>
      </c>
      <c r="R32" s="705" t="s">
        <v>14</v>
      </c>
      <c r="S32" s="706">
        <f t="shared" si="10"/>
        <v>100</v>
      </c>
      <c r="T32" s="705" t="s">
        <v>14</v>
      </c>
      <c r="U32" s="706">
        <f t="shared" si="11"/>
        <v>100</v>
      </c>
      <c r="V32" s="705" t="s">
        <v>14</v>
      </c>
      <c r="W32" s="706">
        <f t="shared" si="12"/>
        <v>100</v>
      </c>
      <c r="X32" s="1354"/>
      <c r="Y32" s="3739"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9"/>
      <c r="Q33" s="1351">
        <f t="shared" si="8"/>
        <v>111</v>
      </c>
      <c r="R33" s="708" t="s">
        <v>14</v>
      </c>
      <c r="S33" s="709">
        <f t="shared" si="10"/>
        <v>100</v>
      </c>
      <c r="T33" s="708" t="s">
        <v>14</v>
      </c>
      <c r="U33" s="709">
        <f t="shared" si="11"/>
        <v>100</v>
      </c>
      <c r="V33" s="708" t="s">
        <v>14</v>
      </c>
      <c r="W33" s="709">
        <f t="shared" si="12"/>
        <v>100</v>
      </c>
      <c r="X33" s="710"/>
      <c r="Y33" s="373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9"/>
      <c r="Q34" s="1351" t="str">
        <f>B34</f>
        <v>宗地面积</v>
      </c>
      <c r="R34" s="705" t="s">
        <v>14</v>
      </c>
      <c r="S34" s="706" t="e">
        <f t="shared" si="10"/>
        <v>#N/A</v>
      </c>
      <c r="T34" s="705" t="s">
        <v>14</v>
      </c>
      <c r="U34" s="706" t="e">
        <f t="shared" si="11"/>
        <v>#N/A</v>
      </c>
      <c r="V34" s="705" t="s">
        <v>14</v>
      </c>
      <c r="W34" s="706" t="e">
        <f t="shared" si="12"/>
        <v>#N/A</v>
      </c>
      <c r="X34" s="1354"/>
      <c r="Y34" s="3739"/>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39"/>
      <c r="Q35" s="1351" t="str">
        <f t="shared" ref="Q35:Q40" si="14">B35</f>
        <v>宗地形状</v>
      </c>
      <c r="R35" s="705" t="s">
        <v>14</v>
      </c>
      <c r="S35" s="706">
        <f t="shared" si="10"/>
        <v>100</v>
      </c>
      <c r="T35" s="705" t="s">
        <v>14</v>
      </c>
      <c r="U35" s="706">
        <f t="shared" si="11"/>
        <v>100</v>
      </c>
      <c r="V35" s="705" t="s">
        <v>14</v>
      </c>
      <c r="W35" s="706">
        <f t="shared" si="12"/>
        <v>100</v>
      </c>
      <c r="X35" s="1354"/>
      <c r="Y35" s="3739"/>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9"/>
      <c r="Q36" s="1351" t="str">
        <f t="shared" si="14"/>
        <v>宗地开发程度</v>
      </c>
      <c r="R36" s="701" t="s">
        <v>14</v>
      </c>
      <c r="S36" s="702">
        <f t="shared" si="10"/>
        <v>100</v>
      </c>
      <c r="T36" s="701" t="s">
        <v>14</v>
      </c>
      <c r="U36" s="702">
        <f t="shared" si="11"/>
        <v>100</v>
      </c>
      <c r="V36" s="701" t="s">
        <v>14</v>
      </c>
      <c r="W36" s="702">
        <f t="shared" si="12"/>
        <v>100</v>
      </c>
      <c r="X36" s="703"/>
      <c r="Y36" s="3739"/>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39" t="s">
        <v>1696</v>
      </c>
      <c r="Q37" s="1351" t="str">
        <f t="shared" si="14"/>
        <v>工程地质条件</v>
      </c>
      <c r="R37" s="705" t="s">
        <v>14</v>
      </c>
      <c r="S37" s="706">
        <f t="shared" si="10"/>
        <v>100</v>
      </c>
      <c r="T37" s="705" t="s">
        <v>14</v>
      </c>
      <c r="U37" s="706">
        <f t="shared" si="11"/>
        <v>100</v>
      </c>
      <c r="V37" s="705" t="s">
        <v>14</v>
      </c>
      <c r="W37" s="706">
        <f t="shared" si="12"/>
        <v>100</v>
      </c>
      <c r="X37" s="1354"/>
      <c r="Y37" s="373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9"/>
      <c r="Q38" s="1351">
        <f t="shared" si="14"/>
        <v>111</v>
      </c>
      <c r="R38" s="705" t="s">
        <v>14</v>
      </c>
      <c r="S38" s="706">
        <f t="shared" si="10"/>
        <v>100</v>
      </c>
      <c r="T38" s="705" t="s">
        <v>14</v>
      </c>
      <c r="U38" s="706">
        <f t="shared" si="11"/>
        <v>100</v>
      </c>
      <c r="V38" s="705" t="s">
        <v>14</v>
      </c>
      <c r="W38" s="706">
        <f t="shared" si="12"/>
        <v>100</v>
      </c>
      <c r="X38" s="1354"/>
      <c r="Y38" s="373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9"/>
      <c r="Q39" s="1351">
        <f t="shared" si="14"/>
        <v>111</v>
      </c>
      <c r="R39" s="705" t="s">
        <v>14</v>
      </c>
      <c r="S39" s="706">
        <f t="shared" si="10"/>
        <v>100</v>
      </c>
      <c r="T39" s="705" t="s">
        <v>14</v>
      </c>
      <c r="U39" s="706">
        <f t="shared" si="11"/>
        <v>100</v>
      </c>
      <c r="V39" s="705" t="s">
        <v>14</v>
      </c>
      <c r="W39" s="706">
        <f t="shared" si="12"/>
        <v>100</v>
      </c>
      <c r="X39" s="1354"/>
      <c r="Y39" s="3739"/>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9"/>
      <c r="Q40" s="1351">
        <f t="shared" si="14"/>
        <v>111</v>
      </c>
      <c r="R40" s="708" t="s">
        <v>14</v>
      </c>
      <c r="S40" s="709">
        <f t="shared" si="10"/>
        <v>100</v>
      </c>
      <c r="T40" s="708" t="s">
        <v>14</v>
      </c>
      <c r="U40" s="709">
        <f t="shared" si="11"/>
        <v>100</v>
      </c>
      <c r="V40" s="708" t="s">
        <v>14</v>
      </c>
      <c r="W40" s="709">
        <f t="shared" si="12"/>
        <v>100</v>
      </c>
      <c r="X40" s="710"/>
      <c r="Y40" s="3739"/>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20"/>
      <c r="M41" s="2712"/>
      <c r="N41" s="2712"/>
      <c r="O41" s="2721"/>
      <c r="P41" s="3721" t="str">
        <f>A41</f>
        <v>成交单价</v>
      </c>
      <c r="Q41" s="3721"/>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21" t="str">
        <f>A42</f>
        <v>比较价值（元/平方米）</v>
      </c>
      <c r="Q42" s="3721"/>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41" t="str">
        <f>A43</f>
        <v>估价对象XX用房的比较价值（楼面单价，元/平方米）</v>
      </c>
      <c r="Q43" s="3742"/>
      <c r="R43" s="3743" t="e">
        <f>ROUND(IF(D42="简单平均",AVERAGE(R42:W42),R42*F42+T42*H42+V42*J42),0)</f>
        <v>#DIV/0!</v>
      </c>
      <c r="S43" s="3743"/>
      <c r="T43" s="3743"/>
      <c r="U43" s="3743"/>
      <c r="V43" s="3743"/>
      <c r="W43" s="374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22" t="s">
        <v>1887</v>
      </c>
      <c r="H50" s="3744"/>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42310.899999999994</v>
      </c>
      <c r="F51" s="639" t="e">
        <f t="shared" ref="F51:F60" si="15">ROUND(B51*E51/10000,0)</f>
        <v>#DIV/0!</v>
      </c>
      <c r="G51" s="3745"/>
      <c r="H51" s="372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22768.44</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3" t="s">
        <v>2084</v>
      </c>
      <c r="D1" s="3804"/>
      <c r="E1" s="3804"/>
      <c r="F1" s="3804"/>
      <c r="G1" s="3804"/>
      <c r="H1" s="3804"/>
      <c r="I1" s="3804"/>
      <c r="J1" s="3804"/>
      <c r="K1" s="3804"/>
      <c r="L1" s="3804"/>
      <c r="M1" s="3804"/>
      <c r="N1" s="3804"/>
      <c r="O1" s="3804"/>
      <c r="P1" s="3804"/>
      <c r="Q1" s="3804"/>
      <c r="R1" s="3804"/>
      <c r="S1" s="380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2"/>
      <c r="B4" s="3517" t="s">
        <v>917</v>
      </c>
      <c r="C4" s="3517"/>
      <c r="D4" s="3517"/>
      <c r="E4" s="1492"/>
    </row>
    <row r="5" spans="1:5" ht="16.5" thickTop="1">
      <c r="A5" s="1490"/>
      <c r="B5" s="3515" t="s">
        <v>909</v>
      </c>
      <c r="C5" s="1493" t="s">
        <v>910</v>
      </c>
      <c r="D5" s="850">
        <f ca="1">结果表!H101</f>
        <v>121726</v>
      </c>
      <c r="E5" s="1490"/>
    </row>
    <row r="6" spans="1:5" ht="15.75">
      <c r="A6" s="1490"/>
      <c r="B6" s="3515"/>
      <c r="C6" s="1493" t="s">
        <v>911</v>
      </c>
      <c r="D6" s="850" t="str">
        <f ca="1">NUMBERSTRING(INT(D5*10000),2)&amp;"元整"</f>
        <v>壹拾贰亿壹仟柒佰贰拾陆万元整</v>
      </c>
      <c r="E6" s="1490"/>
    </row>
    <row r="7" spans="1:5" ht="15.75">
      <c r="A7" s="1490"/>
      <c r="B7" s="3520"/>
      <c r="C7" s="1494" t="s">
        <v>912</v>
      </c>
      <c r="D7" s="851">
        <f ca="1">结果表!H102</f>
        <v>17412</v>
      </c>
      <c r="E7" s="1490"/>
    </row>
    <row r="8" spans="1:5" ht="15.75">
      <c r="A8" s="1490"/>
      <c r="B8" s="3521" t="str">
        <f>结果表!E103</f>
        <v>2.估价师知悉的法定优先受偿款</v>
      </c>
      <c r="C8" s="1495" t="s">
        <v>913</v>
      </c>
      <c r="D8" s="851">
        <f>结果表!H103</f>
        <v>0</v>
      </c>
      <c r="E8" s="1490"/>
    </row>
    <row r="9" spans="1:5" ht="15.75">
      <c r="A9" s="1490"/>
      <c r="B9" s="352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14" t="str">
        <f>结果表!E107</f>
        <v>3.房地产抵押价值</v>
      </c>
      <c r="C13" s="1498" t="s">
        <v>910</v>
      </c>
      <c r="D13" s="853">
        <f ca="1">结果表!H107</f>
        <v>121726</v>
      </c>
      <c r="E13" s="1490"/>
    </row>
    <row r="14" spans="1:5" ht="15.75">
      <c r="A14" s="1490"/>
      <c r="B14" s="3515"/>
      <c r="C14" s="1493" t="s">
        <v>911</v>
      </c>
      <c r="D14" s="850" t="str">
        <f ca="1">NUMBERSTRING(INT(D13*10000),2)&amp;"元整"</f>
        <v>壹拾贰亿壹仟柒佰贰拾陆万元整</v>
      </c>
      <c r="E14" s="1490"/>
    </row>
    <row r="15" spans="1:5" ht="15">
      <c r="A15" s="1490"/>
      <c r="B15" s="3520"/>
      <c r="C15" s="1494" t="s">
        <v>921</v>
      </c>
      <c r="D15" s="859">
        <f ca="1">结果表!H108</f>
        <v>17412</v>
      </c>
      <c r="E15" s="1490"/>
    </row>
    <row r="16" spans="1:5" ht="15">
      <c r="A16" s="1490"/>
      <c r="B16" s="3521" t="str">
        <f>结果表!E109</f>
        <v>——</v>
      </c>
      <c r="C16" s="1498" t="s">
        <v>922</v>
      </c>
      <c r="D16" s="1499" t="str">
        <f>结果表!H109</f>
        <v>——</v>
      </c>
      <c r="E16" s="1490"/>
    </row>
    <row r="17" spans="1:5" ht="15.75">
      <c r="A17" s="1490"/>
      <c r="B17" s="3522"/>
      <c r="C17" s="1493" t="s">
        <v>923</v>
      </c>
      <c r="D17" s="850" t="e">
        <f>NUMBERSTRING(INT(D16*10000),2)&amp;"元整"</f>
        <v>#VALUE!</v>
      </c>
      <c r="E17" s="1490"/>
    </row>
    <row r="18" spans="1:5" ht="15">
      <c r="A18" s="1490"/>
      <c r="B18" s="3523"/>
      <c r="C18" s="1494" t="s">
        <v>912</v>
      </c>
      <c r="D18" s="859" t="str">
        <f>结果表!H110</f>
        <v>——</v>
      </c>
      <c r="E18" s="1490"/>
    </row>
    <row r="19" spans="1:5" ht="15.75">
      <c r="A19" s="1490"/>
      <c r="B19" s="3514" t="str">
        <f>结果表!E111</f>
        <v>4.抵押净值</v>
      </c>
      <c r="C19" s="1498" t="s">
        <v>910</v>
      </c>
      <c r="D19" s="851">
        <f ca="1">结果表!H111</f>
        <v>115289</v>
      </c>
      <c r="E19" s="1490"/>
    </row>
    <row r="20" spans="1:5" ht="15.75">
      <c r="A20" s="1490"/>
      <c r="B20" s="3515"/>
      <c r="C20" s="1493" t="s">
        <v>923</v>
      </c>
      <c r="D20" s="850" t="str">
        <f ca="1">NUMBERSTRING(INT(D19*10000),2)&amp;"元整"</f>
        <v>壹拾壹亿伍仟贰佰捌拾玖万元整</v>
      </c>
      <c r="E20" s="1490"/>
    </row>
    <row r="21" spans="1:5" ht="15.75" thickBot="1">
      <c r="A21" s="1490"/>
      <c r="B21" s="3516"/>
      <c r="C21" s="1500" t="s">
        <v>921</v>
      </c>
      <c r="D21" s="860">
        <f ca="1">结果表!H112</f>
        <v>16491</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9"/>
      <c r="G1" s="2789"/>
      <c r="H1" s="2789"/>
      <c r="I1" s="2789"/>
      <c r="J1" s="2789"/>
      <c r="K1" s="2789"/>
      <c r="L1" s="2789"/>
      <c r="M1" s="2789"/>
      <c r="N1" s="2789"/>
      <c r="O1" s="2789"/>
      <c r="P1" s="2789"/>
    </row>
    <row r="2" spans="1:16" ht="15.75">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75">
      <c r="A3" s="2141" t="s">
        <v>2076</v>
      </c>
      <c r="B3" s="2598" t="e">
        <f ca="1">ROUND(B2*10000/E2,0)</f>
        <v>#DIV/0!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813"/>
      <c r="B4" s="3814"/>
      <c r="C4" s="3814"/>
      <c r="D4" s="3815"/>
      <c r="E4" s="3815"/>
      <c r="F4" s="3815"/>
      <c r="G4" s="3815"/>
      <c r="H4" s="3815"/>
      <c r="I4" s="3815"/>
      <c r="J4" s="3816"/>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75"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10" t="s">
        <v>1960</v>
      </c>
      <c r="X8" s="381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12"/>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1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5"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4.25">
      <c r="A20" s="3817" t="s">
        <v>3259</v>
      </c>
      <c r="B20" s="167" t="s">
        <v>1994</v>
      </c>
      <c r="C20" s="3321" t="e">
        <f>ROUND(IF(F21="与级别开发程度一致",0,(G21-E21)/C21),0)</f>
        <v>#DIV/0!</v>
      </c>
      <c r="D20" s="3337" t="s">
        <v>1998</v>
      </c>
      <c r="E20" s="3338"/>
      <c r="F20" s="3823" t="s">
        <v>1995</v>
      </c>
      <c r="G20" s="3824"/>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5" thickBot="1">
      <c r="A21" s="3818"/>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7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45103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821"/>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22"/>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822"/>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36">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5.5">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5.5">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24">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25.5">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24.75"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36">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3"/>
      <c r="F91" s="1813"/>
      <c r="G91" s="3369"/>
      <c r="H91" s="3370"/>
      <c r="I91" s="3371"/>
      <c r="J91" s="3372"/>
      <c r="K91" s="3372"/>
      <c r="L91" s="3372"/>
      <c r="M91" s="3372"/>
      <c r="N91" s="3372"/>
    </row>
    <row r="92" spans="1:37" ht="24.75">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9" t="s">
        <v>3299</v>
      </c>
      <c r="B103" s="3819"/>
      <c r="C103" s="3819"/>
      <c r="D103" s="3819"/>
      <c r="E103" s="3819"/>
      <c r="F103" s="3819"/>
      <c r="G103" s="3819"/>
      <c r="H103" s="3819"/>
      <c r="I103" s="3819"/>
      <c r="J103" s="3819"/>
      <c r="K103" s="3386"/>
      <c r="L103" s="3386"/>
      <c r="M103" s="3386"/>
      <c r="N103" s="3386"/>
    </row>
    <row r="104" spans="1:14">
      <c r="A104" s="3820" t="s">
        <v>3300</v>
      </c>
      <c r="B104" s="3820" t="s">
        <v>3301</v>
      </c>
      <c r="C104" s="3387" t="s">
        <v>3302</v>
      </c>
      <c r="D104" s="3388"/>
      <c r="E104" s="3388"/>
      <c r="F104" s="3388"/>
      <c r="G104" s="3388"/>
      <c r="H104" s="3388"/>
      <c r="I104" s="3388"/>
      <c r="J104" s="3389"/>
      <c r="K104" s="3390"/>
      <c r="L104" s="3390"/>
      <c r="M104" s="3390"/>
      <c r="N104" s="3390"/>
    </row>
    <row r="105" spans="1:14">
      <c r="A105" s="3820"/>
      <c r="B105" s="3820"/>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806"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7"/>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8"/>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9" t="s">
        <v>3316</v>
      </c>
      <c r="B113" s="3809"/>
      <c r="C113" s="3809"/>
      <c r="D113" s="3809"/>
      <c r="E113" s="3809"/>
      <c r="F113" s="3809"/>
      <c r="G113" s="3809"/>
      <c r="H113" s="3809"/>
      <c r="I113" s="3809"/>
      <c r="J113" s="380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32" t="s">
        <v>2610</v>
      </c>
      <c r="B20" s="3825" t="s">
        <v>2631</v>
      </c>
      <c r="C20" s="3099" t="s">
        <v>2442</v>
      </c>
      <c r="D20" s="3100"/>
      <c r="E20" s="3101">
        <v>1</v>
      </c>
      <c r="F20" s="3102" t="s">
        <v>2443</v>
      </c>
      <c r="G20" s="3102"/>
    </row>
    <row r="21" spans="1:13" ht="19.5" customHeight="1">
      <c r="A21" s="3833"/>
      <c r="B21" s="3826"/>
      <c r="C21" s="3103" t="s">
        <v>2444</v>
      </c>
      <c r="D21" s="3104"/>
      <c r="E21" s="3105">
        <v>1</v>
      </c>
      <c r="F21" s="3102" t="s">
        <v>2445</v>
      </c>
      <c r="G21" s="3102"/>
    </row>
    <row r="22" spans="1:13" ht="19.5" customHeight="1">
      <c r="A22" s="3833"/>
      <c r="B22" s="3826"/>
      <c r="C22" s="3103" t="s">
        <v>2446</v>
      </c>
      <c r="D22" s="3104"/>
      <c r="E22" s="3105">
        <v>0.9</v>
      </c>
      <c r="F22" s="3102" t="s">
        <v>2447</v>
      </c>
      <c r="G22" s="3102"/>
    </row>
    <row r="23" spans="1:13" ht="19.5" customHeight="1">
      <c r="A23" s="3833"/>
      <c r="B23" s="3826"/>
      <c r="C23" s="3103" t="s">
        <v>2448</v>
      </c>
      <c r="D23" s="3104"/>
      <c r="E23" s="3105">
        <v>0.9</v>
      </c>
      <c r="F23" s="3102" t="s">
        <v>2449</v>
      </c>
      <c r="G23" s="3102"/>
    </row>
    <row r="24" spans="1:13" ht="19.5" customHeight="1">
      <c r="A24" s="3833"/>
      <c r="B24" s="3826"/>
      <c r="C24" s="3103" t="s">
        <v>2450</v>
      </c>
      <c r="D24" s="3104"/>
      <c r="E24" s="3105">
        <v>0.8</v>
      </c>
      <c r="F24" s="3102" t="s">
        <v>2451</v>
      </c>
      <c r="G24" s="3102"/>
    </row>
    <row r="25" spans="1:13" ht="19.5" customHeight="1" thickBot="1">
      <c r="A25" s="3834"/>
      <c r="B25" s="3827"/>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8" t="s">
        <v>2634</v>
      </c>
      <c r="B27" s="3825" t="s">
        <v>2615</v>
      </c>
      <c r="C27" s="3099" t="s">
        <v>2455</v>
      </c>
      <c r="D27" s="3100"/>
      <c r="E27" s="3101">
        <v>1</v>
      </c>
      <c r="F27" s="3102" t="s">
        <v>2456</v>
      </c>
      <c r="G27" s="3102"/>
    </row>
    <row r="28" spans="1:13" ht="19.5" customHeight="1">
      <c r="A28" s="3829"/>
      <c r="B28" s="3826"/>
      <c r="C28" s="3103" t="s">
        <v>2457</v>
      </c>
      <c r="D28" s="3104"/>
      <c r="E28" s="3105">
        <v>1</v>
      </c>
      <c r="F28" s="3102" t="s">
        <v>2458</v>
      </c>
      <c r="G28" s="3102"/>
    </row>
    <row r="29" spans="1:13" ht="19.5" customHeight="1">
      <c r="A29" s="3829"/>
      <c r="B29" s="3826"/>
      <c r="C29" s="3103" t="s">
        <v>2459</v>
      </c>
      <c r="D29" s="3104"/>
      <c r="E29" s="3105">
        <v>0.8</v>
      </c>
      <c r="F29" s="3102" t="s">
        <v>2460</v>
      </c>
      <c r="G29" s="3102"/>
    </row>
    <row r="30" spans="1:13" ht="19.5" customHeight="1">
      <c r="A30" s="3829"/>
      <c r="B30" s="3826"/>
      <c r="C30" s="3103" t="s">
        <v>2461</v>
      </c>
      <c r="D30" s="3104"/>
      <c r="E30" s="3105">
        <v>0.8</v>
      </c>
      <c r="F30" s="3102" t="s">
        <v>2462</v>
      </c>
      <c r="G30" s="3102"/>
    </row>
    <row r="31" spans="1:13" ht="19.5" customHeight="1">
      <c r="A31" s="3829"/>
      <c r="B31" s="3826"/>
      <c r="C31" s="3103" t="s">
        <v>2463</v>
      </c>
      <c r="D31" s="3104"/>
      <c r="E31" s="3105">
        <v>0.8</v>
      </c>
      <c r="F31" s="3102" t="s">
        <v>2464</v>
      </c>
      <c r="G31" s="3102"/>
    </row>
    <row r="32" spans="1:13" ht="19.5" customHeight="1">
      <c r="A32" s="3829"/>
      <c r="B32" s="3826"/>
      <c r="C32" s="3103" t="s">
        <v>2465</v>
      </c>
      <c r="D32" s="3104"/>
      <c r="E32" s="3105">
        <v>0.7</v>
      </c>
      <c r="F32" s="3102" t="s">
        <v>2466</v>
      </c>
      <c r="G32" s="3102"/>
    </row>
    <row r="33" spans="1:7" ht="19.5" customHeight="1">
      <c r="A33" s="3829"/>
      <c r="B33" s="3826"/>
      <c r="C33" s="3103" t="s">
        <v>2467</v>
      </c>
      <c r="D33" s="3104"/>
      <c r="E33" s="3105">
        <v>0.8</v>
      </c>
      <c r="F33" s="3102" t="s">
        <v>2468</v>
      </c>
      <c r="G33" s="3102"/>
    </row>
    <row r="34" spans="1:7" ht="19.5" customHeight="1">
      <c r="A34" s="3829"/>
      <c r="B34" s="3826"/>
      <c r="C34" s="3103" t="s">
        <v>2469</v>
      </c>
      <c r="D34" s="3104"/>
      <c r="E34" s="3105">
        <v>0.6</v>
      </c>
      <c r="F34" s="3102" t="s">
        <v>2470</v>
      </c>
      <c r="G34" s="3102"/>
    </row>
    <row r="35" spans="1:7" ht="19.5" customHeight="1">
      <c r="A35" s="3829"/>
      <c r="B35" s="3826"/>
      <c r="C35" s="3103" t="s">
        <v>2471</v>
      </c>
      <c r="D35" s="3104"/>
      <c r="E35" s="3105">
        <v>0.2</v>
      </c>
      <c r="F35" s="3102" t="s">
        <v>2472</v>
      </c>
      <c r="G35" s="3102"/>
    </row>
    <row r="36" spans="1:7" ht="19.5" customHeight="1">
      <c r="A36" s="3829"/>
      <c r="B36" s="3826"/>
      <c r="C36" s="3103" t="s">
        <v>2473</v>
      </c>
      <c r="D36" s="3104"/>
      <c r="E36" s="3105">
        <v>0.2</v>
      </c>
      <c r="F36" s="3102" t="s">
        <v>2474</v>
      </c>
      <c r="G36" s="3102"/>
    </row>
    <row r="37" spans="1:7" ht="19.5" customHeight="1">
      <c r="A37" s="3829"/>
      <c r="B37" s="3831" t="s">
        <v>2635</v>
      </c>
      <c r="C37" s="3103" t="s">
        <v>2475</v>
      </c>
      <c r="D37" s="3104"/>
      <c r="E37" s="3105">
        <v>0.6</v>
      </c>
      <c r="F37" s="3102" t="s">
        <v>2476</v>
      </c>
      <c r="G37" s="3102"/>
    </row>
    <row r="38" spans="1:7" ht="19.5" customHeight="1">
      <c r="A38" s="3829"/>
      <c r="B38" s="3826"/>
      <c r="C38" s="3103" t="s">
        <v>2477</v>
      </c>
      <c r="D38" s="3104"/>
      <c r="E38" s="3105">
        <v>0.6</v>
      </c>
      <c r="F38" s="3102" t="s">
        <v>2478</v>
      </c>
      <c r="G38" s="3102"/>
    </row>
    <row r="39" spans="1:7" ht="19.5" customHeight="1" thickBot="1">
      <c r="A39" s="3830"/>
      <c r="B39" s="3827"/>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32" t="s">
        <v>2613</v>
      </c>
      <c r="B41" s="3825" t="s">
        <v>2637</v>
      </c>
      <c r="C41" s="3099" t="s">
        <v>2482</v>
      </c>
      <c r="D41" s="3100"/>
      <c r="E41" s="3101">
        <v>1</v>
      </c>
      <c r="F41" s="3102" t="s">
        <v>2483</v>
      </c>
      <c r="G41" s="3102"/>
    </row>
    <row r="42" spans="1:7" ht="19.5" customHeight="1">
      <c r="A42" s="3833"/>
      <c r="B42" s="3826"/>
      <c r="C42" s="3103" t="s">
        <v>2484</v>
      </c>
      <c r="D42" s="3104"/>
      <c r="E42" s="3105">
        <v>1</v>
      </c>
      <c r="F42" s="3102" t="s">
        <v>2485</v>
      </c>
      <c r="G42" s="3102"/>
    </row>
    <row r="43" spans="1:7" ht="19.5" customHeight="1">
      <c r="A43" s="3833"/>
      <c r="B43" s="3835"/>
      <c r="C43" s="3103" t="s">
        <v>2486</v>
      </c>
      <c r="D43" s="3104"/>
      <c r="E43" s="3105">
        <v>1.5</v>
      </c>
      <c r="F43" s="3102" t="s">
        <v>2487</v>
      </c>
      <c r="G43" s="3102"/>
    </row>
    <row r="44" spans="1:7" ht="19.5" customHeight="1">
      <c r="A44" s="3833"/>
      <c r="B44" s="3114" t="s">
        <v>2638</v>
      </c>
      <c r="C44" s="3103" t="s">
        <v>2639</v>
      </c>
      <c r="D44" s="3104"/>
      <c r="E44" s="3105">
        <v>2</v>
      </c>
      <c r="F44" s="3102" t="s">
        <v>2488</v>
      </c>
      <c r="G44" s="3102"/>
    </row>
    <row r="45" spans="1:7" ht="19.5" customHeight="1">
      <c r="A45" s="3833"/>
      <c r="B45" s="3831" t="s">
        <v>2640</v>
      </c>
      <c r="C45" s="3103" t="s">
        <v>2489</v>
      </c>
      <c r="D45" s="3104"/>
      <c r="E45" s="3105">
        <v>1</v>
      </c>
      <c r="F45" s="3102" t="s">
        <v>2490</v>
      </c>
      <c r="G45" s="3102"/>
    </row>
    <row r="46" spans="1:7" ht="19.5" customHeight="1">
      <c r="A46" s="3833"/>
      <c r="B46" s="3826"/>
      <c r="C46" s="3103" t="s">
        <v>2491</v>
      </c>
      <c r="D46" s="3104"/>
      <c r="E46" s="3105">
        <v>1</v>
      </c>
      <c r="F46" s="3102" t="s">
        <v>2492</v>
      </c>
      <c r="G46" s="3102"/>
    </row>
    <row r="47" spans="1:7" ht="19.5" customHeight="1">
      <c r="A47" s="3833"/>
      <c r="B47" s="3826"/>
      <c r="C47" s="3103" t="s">
        <v>2493</v>
      </c>
      <c r="D47" s="3104"/>
      <c r="E47" s="3105">
        <v>1</v>
      </c>
      <c r="F47" s="3102" t="s">
        <v>2494</v>
      </c>
      <c r="G47" s="3102"/>
    </row>
    <row r="48" spans="1:7" ht="19.5" customHeight="1">
      <c r="A48" s="3833"/>
      <c r="B48" s="3826"/>
      <c r="C48" s="3103" t="s">
        <v>2495</v>
      </c>
      <c r="D48" s="3104"/>
      <c r="E48" s="3105">
        <v>1</v>
      </c>
      <c r="F48" s="3102" t="s">
        <v>2496</v>
      </c>
      <c r="G48" s="3102"/>
    </row>
    <row r="49" spans="1:7" ht="19.5" customHeight="1">
      <c r="A49" s="3833"/>
      <c r="B49" s="3826"/>
      <c r="C49" s="3103" t="s">
        <v>2497</v>
      </c>
      <c r="D49" s="3104"/>
      <c r="E49" s="3105">
        <v>1</v>
      </c>
      <c r="F49" s="3102" t="s">
        <v>2498</v>
      </c>
      <c r="G49" s="3102"/>
    </row>
    <row r="50" spans="1:7" ht="19.5" customHeight="1">
      <c r="A50" s="3833"/>
      <c r="B50" s="3826"/>
      <c r="C50" s="3103" t="s">
        <v>2499</v>
      </c>
      <c r="D50" s="3104"/>
      <c r="E50" s="3105">
        <v>1</v>
      </c>
      <c r="F50" s="3102" t="s">
        <v>2500</v>
      </c>
      <c r="G50" s="3102"/>
    </row>
    <row r="51" spans="1:7" ht="19.5" customHeight="1" thickBot="1">
      <c r="A51" s="3834"/>
      <c r="B51" s="3827"/>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3.5">
      <c r="A72" s="3114"/>
      <c r="B72" s="3114"/>
      <c r="C72" s="3114" t="s">
        <v>2653</v>
      </c>
      <c r="D72" s="3114"/>
      <c r="E72" s="3114" t="s">
        <v>2624</v>
      </c>
      <c r="F72" s="3114" t="s">
        <v>2624</v>
      </c>
    </row>
    <row r="73" spans="1:7" ht="13.5">
      <c r="A73" s="3114">
        <v>1</v>
      </c>
      <c r="B73" s="3831" t="s">
        <v>2654</v>
      </c>
      <c r="C73" s="3088" t="s">
        <v>2655</v>
      </c>
      <c r="D73" s="3088" t="s">
        <v>2656</v>
      </c>
      <c r="E73" s="3114">
        <v>0.2</v>
      </c>
      <c r="F73" s="3114">
        <v>25</v>
      </c>
    </row>
    <row r="74" spans="1:7" ht="24">
      <c r="A74" s="3114">
        <v>2</v>
      </c>
      <c r="B74" s="3826"/>
      <c r="C74" s="3088" t="s">
        <v>2657</v>
      </c>
      <c r="D74" s="3088" t="s">
        <v>2658</v>
      </c>
      <c r="E74" s="3114">
        <v>0.2</v>
      </c>
      <c r="F74" s="3114">
        <v>25</v>
      </c>
    </row>
    <row r="75" spans="1:7" ht="24">
      <c r="A75" s="3114">
        <v>3</v>
      </c>
      <c r="B75" s="3826"/>
      <c r="C75" s="3088" t="s">
        <v>2659</v>
      </c>
      <c r="D75" s="3088" t="s">
        <v>2660</v>
      </c>
      <c r="E75" s="3114">
        <v>0.2</v>
      </c>
      <c r="F75" s="3114">
        <v>25</v>
      </c>
    </row>
    <row r="76" spans="1:7" ht="13.5">
      <c r="A76" s="3114">
        <v>4</v>
      </c>
      <c r="B76" s="3826"/>
      <c r="C76" s="3088" t="s">
        <v>2661</v>
      </c>
      <c r="D76" s="3088" t="s">
        <v>2662</v>
      </c>
      <c r="E76" s="3114">
        <v>0.15</v>
      </c>
      <c r="F76" s="3114">
        <v>20</v>
      </c>
    </row>
    <row r="77" spans="1:7" ht="24">
      <c r="A77" s="3114">
        <v>5</v>
      </c>
      <c r="B77" s="3826"/>
      <c r="C77" s="3088" t="s">
        <v>2663</v>
      </c>
      <c r="D77" s="3088" t="s">
        <v>2664</v>
      </c>
      <c r="E77" s="3114">
        <v>0.15</v>
      </c>
      <c r="F77" s="3114">
        <v>20</v>
      </c>
    </row>
    <row r="78" spans="1:7" ht="24">
      <c r="A78" s="3114">
        <v>6</v>
      </c>
      <c r="B78" s="3826"/>
      <c r="C78" s="3088" t="s">
        <v>2665</v>
      </c>
      <c r="D78" s="3088" t="s">
        <v>2666</v>
      </c>
      <c r="E78" s="3114">
        <v>0.15</v>
      </c>
      <c r="F78" s="3114">
        <v>20</v>
      </c>
    </row>
    <row r="79" spans="1:7" ht="24">
      <c r="A79" s="3114">
        <v>7</v>
      </c>
      <c r="B79" s="3826"/>
      <c r="C79" s="3088" t="s">
        <v>2667</v>
      </c>
      <c r="D79" s="3088" t="s">
        <v>2668</v>
      </c>
      <c r="E79" s="3114">
        <v>0.15</v>
      </c>
      <c r="F79" s="3114">
        <v>20</v>
      </c>
    </row>
    <row r="80" spans="1:7" ht="24">
      <c r="A80" s="3114">
        <v>8</v>
      </c>
      <c r="B80" s="3826"/>
      <c r="C80" s="3088" t="s">
        <v>2669</v>
      </c>
      <c r="D80" s="3088" t="s">
        <v>2670</v>
      </c>
      <c r="E80" s="3114">
        <v>0.1</v>
      </c>
      <c r="F80" s="3114">
        <v>15</v>
      </c>
    </row>
    <row r="81" spans="1:6" ht="24">
      <c r="A81" s="3114">
        <v>9</v>
      </c>
      <c r="B81" s="3826"/>
      <c r="C81" s="3088" t="s">
        <v>2671</v>
      </c>
      <c r="D81" s="3088" t="s">
        <v>2672</v>
      </c>
      <c r="E81" s="3114">
        <v>0.1</v>
      </c>
      <c r="F81" s="3114">
        <v>15</v>
      </c>
    </row>
    <row r="82" spans="1:6" ht="24">
      <c r="A82" s="3114">
        <v>10</v>
      </c>
      <c r="B82" s="3826"/>
      <c r="C82" s="3088" t="s">
        <v>2673</v>
      </c>
      <c r="D82" s="3088" t="s">
        <v>2674</v>
      </c>
      <c r="E82" s="3114">
        <v>0.1</v>
      </c>
      <c r="F82" s="3114">
        <v>15</v>
      </c>
    </row>
    <row r="83" spans="1:6" ht="24">
      <c r="A83" s="3114">
        <v>11</v>
      </c>
      <c r="B83" s="3826"/>
      <c r="C83" s="3088" t="s">
        <v>2675</v>
      </c>
      <c r="D83" s="3088" t="s">
        <v>2676</v>
      </c>
      <c r="E83" s="3114">
        <v>0.1</v>
      </c>
      <c r="F83" s="3114">
        <v>15</v>
      </c>
    </row>
    <row r="84" spans="1:6" ht="24">
      <c r="A84" s="3114">
        <v>12</v>
      </c>
      <c r="B84" s="3826"/>
      <c r="C84" s="3088" t="s">
        <v>2677</v>
      </c>
      <c r="D84" s="3088" t="s">
        <v>2678</v>
      </c>
      <c r="E84" s="3114">
        <v>0.1</v>
      </c>
      <c r="F84" s="3114">
        <v>15</v>
      </c>
    </row>
    <row r="85" spans="1:6" ht="13.5">
      <c r="A85" s="3114">
        <v>13</v>
      </c>
      <c r="B85" s="3826"/>
      <c r="C85" s="3088" t="s">
        <v>2679</v>
      </c>
      <c r="D85" s="3088" t="s">
        <v>2680</v>
      </c>
      <c r="E85" s="3114">
        <v>0.1</v>
      </c>
      <c r="F85" s="3114">
        <v>15</v>
      </c>
    </row>
    <row r="86" spans="1:6" ht="13.5">
      <c r="A86" s="3114">
        <v>14</v>
      </c>
      <c r="B86" s="3826"/>
      <c r="C86" s="3088" t="s">
        <v>2681</v>
      </c>
      <c r="D86" s="3088" t="s">
        <v>2682</v>
      </c>
      <c r="E86" s="3114">
        <v>0.1</v>
      </c>
      <c r="F86" s="3114">
        <v>15</v>
      </c>
    </row>
    <row r="87" spans="1:6" ht="13.5">
      <c r="A87" s="3114">
        <v>15</v>
      </c>
      <c r="B87" s="3826"/>
      <c r="C87" s="3088" t="s">
        <v>2683</v>
      </c>
      <c r="D87" s="3088" t="s">
        <v>2684</v>
      </c>
      <c r="E87" s="3114">
        <v>0.1</v>
      </c>
      <c r="F87" s="3114">
        <v>15</v>
      </c>
    </row>
    <row r="88" spans="1:6" ht="24">
      <c r="A88" s="3114">
        <v>16</v>
      </c>
      <c r="B88" s="3826"/>
      <c r="C88" s="3088" t="s">
        <v>2685</v>
      </c>
      <c r="D88" s="3088" t="s">
        <v>2686</v>
      </c>
      <c r="E88" s="3114">
        <v>0.1</v>
      </c>
      <c r="F88" s="3114">
        <v>15</v>
      </c>
    </row>
    <row r="89" spans="1:6" ht="24">
      <c r="A89" s="3114">
        <v>17</v>
      </c>
      <c r="B89" s="3835"/>
      <c r="C89" s="3088" t="s">
        <v>2687</v>
      </c>
      <c r="D89" s="3088" t="s">
        <v>2688</v>
      </c>
      <c r="E89" s="3114">
        <v>0.1</v>
      </c>
      <c r="F89" s="3114">
        <v>15</v>
      </c>
    </row>
    <row r="90" spans="1:6" ht="13.5">
      <c r="A90" s="3114">
        <v>18</v>
      </c>
      <c r="B90" s="3831" t="s">
        <v>2689</v>
      </c>
      <c r="C90" s="3088" t="s">
        <v>2690</v>
      </c>
      <c r="D90" s="3088" t="s">
        <v>2691</v>
      </c>
      <c r="E90" s="3114">
        <v>0.2</v>
      </c>
      <c r="F90" s="3114">
        <v>25</v>
      </c>
    </row>
    <row r="91" spans="1:6" ht="24">
      <c r="A91" s="3114">
        <v>19</v>
      </c>
      <c r="B91" s="3826"/>
      <c r="C91" s="3088" t="s">
        <v>2692</v>
      </c>
      <c r="D91" s="3088" t="s">
        <v>2693</v>
      </c>
      <c r="E91" s="3114">
        <v>0.2</v>
      </c>
      <c r="F91" s="3114">
        <v>25</v>
      </c>
    </row>
    <row r="92" spans="1:6" ht="13.5">
      <c r="A92" s="3114">
        <v>20</v>
      </c>
      <c r="B92" s="3826"/>
      <c r="C92" s="3088" t="s">
        <v>2694</v>
      </c>
      <c r="D92" s="3088" t="s">
        <v>2695</v>
      </c>
      <c r="E92" s="3114">
        <v>0.15</v>
      </c>
      <c r="F92" s="3114">
        <v>20</v>
      </c>
    </row>
    <row r="93" spans="1:6" ht="13.5">
      <c r="A93" s="3114">
        <v>21</v>
      </c>
      <c r="B93" s="3826"/>
      <c r="C93" s="3088" t="s">
        <v>2696</v>
      </c>
      <c r="D93" s="3088" t="s">
        <v>2697</v>
      </c>
      <c r="E93" s="3114">
        <v>0.15</v>
      </c>
      <c r="F93" s="3114">
        <v>20</v>
      </c>
    </row>
    <row r="94" spans="1:6" ht="13.5">
      <c r="A94" s="3114">
        <v>22</v>
      </c>
      <c r="B94" s="3826"/>
      <c r="C94" s="3088" t="s">
        <v>2698</v>
      </c>
      <c r="D94" s="3088" t="s">
        <v>2699</v>
      </c>
      <c r="E94" s="3114">
        <v>0.15</v>
      </c>
      <c r="F94" s="3114">
        <v>20</v>
      </c>
    </row>
    <row r="95" spans="1:6" ht="36">
      <c r="A95" s="3114">
        <v>23</v>
      </c>
      <c r="B95" s="3826"/>
      <c r="C95" s="3088" t="s">
        <v>2700</v>
      </c>
      <c r="D95" s="3088" t="s">
        <v>2701</v>
      </c>
      <c r="E95" s="3114">
        <v>0.15</v>
      </c>
      <c r="F95" s="3114">
        <v>20</v>
      </c>
    </row>
    <row r="96" spans="1:6" ht="13.5">
      <c r="A96" s="3114">
        <v>24</v>
      </c>
      <c r="B96" s="3826"/>
      <c r="C96" s="3088" t="s">
        <v>2702</v>
      </c>
      <c r="D96" s="3088" t="s">
        <v>2703</v>
      </c>
      <c r="E96" s="3114">
        <v>0.1</v>
      </c>
      <c r="F96" s="3114">
        <v>15</v>
      </c>
    </row>
    <row r="97" spans="1:6" ht="13.5">
      <c r="A97" s="3114">
        <v>25</v>
      </c>
      <c r="B97" s="3826"/>
      <c r="C97" s="3088" t="s">
        <v>2704</v>
      </c>
      <c r="D97" s="3088" t="s">
        <v>2705</v>
      </c>
      <c r="E97" s="3114">
        <v>0.1</v>
      </c>
      <c r="F97" s="3114">
        <v>15</v>
      </c>
    </row>
    <row r="98" spans="1:6" ht="24">
      <c r="A98" s="3114">
        <v>26</v>
      </c>
      <c r="B98" s="3826"/>
      <c r="C98" s="3088" t="s">
        <v>2706</v>
      </c>
      <c r="D98" s="3088" t="s">
        <v>2707</v>
      </c>
      <c r="E98" s="3114">
        <v>0.1</v>
      </c>
      <c r="F98" s="3114">
        <v>15</v>
      </c>
    </row>
    <row r="99" spans="1:6" ht="24">
      <c r="A99" s="3114">
        <v>27</v>
      </c>
      <c r="B99" s="3826"/>
      <c r="C99" s="3088" t="s">
        <v>2708</v>
      </c>
      <c r="D99" s="3088" t="s">
        <v>2709</v>
      </c>
      <c r="E99" s="3114">
        <v>0.1</v>
      </c>
      <c r="F99" s="3114">
        <v>15</v>
      </c>
    </row>
    <row r="100" spans="1:6" ht="13.5">
      <c r="A100" s="3114">
        <v>28</v>
      </c>
      <c r="B100" s="3826"/>
      <c r="C100" s="3088" t="s">
        <v>2710</v>
      </c>
      <c r="D100" s="3088" t="s">
        <v>2711</v>
      </c>
      <c r="E100" s="3114">
        <v>0.1</v>
      </c>
      <c r="F100" s="3114">
        <v>15</v>
      </c>
    </row>
    <row r="101" spans="1:6" ht="13.5">
      <c r="A101" s="3114">
        <v>29</v>
      </c>
      <c r="B101" s="3826"/>
      <c r="C101" s="3088" t="s">
        <v>2712</v>
      </c>
      <c r="D101" s="3088" t="s">
        <v>2713</v>
      </c>
      <c r="E101" s="3114">
        <v>0.1</v>
      </c>
      <c r="F101" s="3114">
        <v>15</v>
      </c>
    </row>
    <row r="102" spans="1:6" ht="13.5">
      <c r="A102" s="3114">
        <v>30</v>
      </c>
      <c r="B102" s="3826"/>
      <c r="C102" s="3088" t="s">
        <v>2714</v>
      </c>
      <c r="D102" s="3088" t="s">
        <v>2715</v>
      </c>
      <c r="E102" s="3114">
        <v>0.1</v>
      </c>
      <c r="F102" s="3114">
        <v>15</v>
      </c>
    </row>
    <row r="103" spans="1:6" ht="24">
      <c r="A103" s="3114">
        <v>31</v>
      </c>
      <c r="B103" s="3826"/>
      <c r="C103" s="3088" t="s">
        <v>2716</v>
      </c>
      <c r="D103" s="3088" t="s">
        <v>2717</v>
      </c>
      <c r="E103" s="3114">
        <v>0.1</v>
      </c>
      <c r="F103" s="3114">
        <v>15</v>
      </c>
    </row>
    <row r="104" spans="1:6" ht="24">
      <c r="A104" s="3114">
        <v>32</v>
      </c>
      <c r="B104" s="3826"/>
      <c r="C104" s="3088" t="s">
        <v>2718</v>
      </c>
      <c r="D104" s="3088" t="s">
        <v>2719</v>
      </c>
      <c r="E104" s="3114">
        <v>0.1</v>
      </c>
      <c r="F104" s="3114">
        <v>15</v>
      </c>
    </row>
    <row r="105" spans="1:6" ht="24">
      <c r="A105" s="3114">
        <v>33</v>
      </c>
      <c r="B105" s="3826"/>
      <c r="C105" s="3088" t="s">
        <v>2720</v>
      </c>
      <c r="D105" s="3088" t="s">
        <v>2721</v>
      </c>
      <c r="E105" s="3114">
        <v>0.1</v>
      </c>
      <c r="F105" s="3114">
        <v>15</v>
      </c>
    </row>
    <row r="106" spans="1:6" ht="24">
      <c r="A106" s="3114">
        <v>34</v>
      </c>
      <c r="B106" s="3835"/>
      <c r="C106" s="3088" t="s">
        <v>2722</v>
      </c>
      <c r="D106" s="3088" t="s">
        <v>2723</v>
      </c>
      <c r="E106" s="3114">
        <v>0.1</v>
      </c>
      <c r="F106" s="3114">
        <v>15</v>
      </c>
    </row>
    <row r="107" spans="1:6" ht="24">
      <c r="A107" s="3114">
        <v>35</v>
      </c>
      <c r="B107" s="3831" t="s">
        <v>2724</v>
      </c>
      <c r="C107" s="3114" t="s">
        <v>2725</v>
      </c>
      <c r="D107" s="3088" t="s">
        <v>2726</v>
      </c>
      <c r="E107" s="3114">
        <v>0.15</v>
      </c>
      <c r="F107" s="3114">
        <v>20</v>
      </c>
    </row>
    <row r="108" spans="1:6" ht="13.5">
      <c r="A108" s="3114">
        <v>36</v>
      </c>
      <c r="B108" s="3826"/>
      <c r="C108" s="3114" t="s">
        <v>2727</v>
      </c>
      <c r="D108" s="3088" t="s">
        <v>2728</v>
      </c>
      <c r="E108" s="3114">
        <v>0.15</v>
      </c>
      <c r="F108" s="3114">
        <v>20</v>
      </c>
    </row>
    <row r="109" spans="1:6" ht="13.5">
      <c r="A109" s="3114">
        <v>37</v>
      </c>
      <c r="B109" s="3826"/>
      <c r="C109" s="3114" t="s">
        <v>2729</v>
      </c>
      <c r="D109" s="3088" t="s">
        <v>2730</v>
      </c>
      <c r="E109" s="3114">
        <v>0.15</v>
      </c>
      <c r="F109" s="3114">
        <v>20</v>
      </c>
    </row>
    <row r="110" spans="1:6" ht="13.5">
      <c r="A110" s="3114">
        <v>38</v>
      </c>
      <c r="B110" s="3826"/>
      <c r="C110" s="3114" t="s">
        <v>2731</v>
      </c>
      <c r="D110" s="3088" t="s">
        <v>2732</v>
      </c>
      <c r="E110" s="3114">
        <v>0.1</v>
      </c>
      <c r="F110" s="3114">
        <v>15</v>
      </c>
    </row>
    <row r="111" spans="1:6" ht="24">
      <c r="A111" s="3114">
        <v>39</v>
      </c>
      <c r="B111" s="3826"/>
      <c r="C111" s="3114" t="s">
        <v>2733</v>
      </c>
      <c r="D111" s="3088" t="s">
        <v>2734</v>
      </c>
      <c r="E111" s="3114">
        <v>0.1</v>
      </c>
      <c r="F111" s="3114">
        <v>15</v>
      </c>
    </row>
    <row r="112" spans="1:6" ht="24">
      <c r="A112" s="3114">
        <v>40</v>
      </c>
      <c r="B112" s="3835"/>
      <c r="C112" s="3114" t="s">
        <v>2735</v>
      </c>
      <c r="D112" s="3088" t="s">
        <v>2736</v>
      </c>
      <c r="E112" s="3114">
        <v>0.1</v>
      </c>
      <c r="F112" s="3114">
        <v>15</v>
      </c>
    </row>
    <row r="113" spans="1:6" ht="13.5">
      <c r="A113" s="3114">
        <v>41</v>
      </c>
      <c r="B113" s="3836" t="s">
        <v>2737</v>
      </c>
      <c r="C113" s="3114" t="s">
        <v>2738</v>
      </c>
      <c r="D113" s="3088" t="s">
        <v>2739</v>
      </c>
      <c r="E113" s="3114">
        <v>0.1</v>
      </c>
      <c r="F113" s="3114">
        <v>15</v>
      </c>
    </row>
    <row r="114" spans="1:6" ht="13.5">
      <c r="A114" s="3114">
        <v>42</v>
      </c>
      <c r="B114" s="3836"/>
      <c r="C114" s="3114" t="s">
        <v>2740</v>
      </c>
      <c r="D114" s="3088" t="s">
        <v>2741</v>
      </c>
      <c r="E114" s="3114">
        <v>0.1</v>
      </c>
      <c r="F114" s="3114">
        <v>15</v>
      </c>
    </row>
    <row r="115" spans="1:6" ht="24">
      <c r="A115" s="3114">
        <v>43</v>
      </c>
      <c r="B115" s="3836"/>
      <c r="C115" s="3114" t="s">
        <v>2742</v>
      </c>
      <c r="D115" s="3088" t="s">
        <v>2743</v>
      </c>
      <c r="E115" s="3114">
        <v>0.1</v>
      </c>
      <c r="F115" s="3114">
        <v>15</v>
      </c>
    </row>
    <row r="116" spans="1:6" ht="13.5">
      <c r="A116" s="3114">
        <v>44</v>
      </c>
      <c r="B116" s="3831" t="s">
        <v>2744</v>
      </c>
      <c r="C116" s="3114" t="s">
        <v>2745</v>
      </c>
      <c r="D116" s="3088" t="s">
        <v>2746</v>
      </c>
      <c r="E116" s="3114">
        <v>0.1</v>
      </c>
      <c r="F116" s="3114">
        <v>15</v>
      </c>
    </row>
    <row r="117" spans="1:6" ht="24">
      <c r="A117" s="3114">
        <v>45</v>
      </c>
      <c r="B117" s="3835"/>
      <c r="C117" s="3088" t="s">
        <v>2747</v>
      </c>
      <c r="D117" s="3088" t="s">
        <v>2748</v>
      </c>
      <c r="E117" s="3114">
        <v>0.1</v>
      </c>
      <c r="F117" s="3114">
        <v>15</v>
      </c>
    </row>
    <row r="118" spans="1:6" ht="24">
      <c r="A118" s="3114">
        <v>46</v>
      </c>
      <c r="B118" s="3831" t="s">
        <v>2749</v>
      </c>
      <c r="C118" s="3114" t="s">
        <v>2750</v>
      </c>
      <c r="D118" s="3088" t="s">
        <v>2751</v>
      </c>
      <c r="E118" s="3114">
        <v>0.1</v>
      </c>
      <c r="F118" s="3114">
        <v>15</v>
      </c>
    </row>
    <row r="119" spans="1:6" ht="24">
      <c r="A119" s="3114">
        <v>47</v>
      </c>
      <c r="B119" s="3835"/>
      <c r="C119" s="3114" t="s">
        <v>2752</v>
      </c>
      <c r="D119" s="3088" t="s">
        <v>2753</v>
      </c>
      <c r="E119" s="3114">
        <v>0.1</v>
      </c>
      <c r="F119" s="3114">
        <v>15</v>
      </c>
    </row>
    <row r="120" spans="1:6" ht="13.5">
      <c r="A120" s="3114">
        <v>48</v>
      </c>
      <c r="B120" s="3831" t="s">
        <v>2754</v>
      </c>
      <c r="C120" s="3114" t="s">
        <v>2755</v>
      </c>
      <c r="D120" s="3088" t="s">
        <v>2756</v>
      </c>
      <c r="E120" s="3114">
        <v>0.1</v>
      </c>
      <c r="F120" s="3114">
        <v>15</v>
      </c>
    </row>
    <row r="121" spans="1:6" ht="13.5">
      <c r="A121" s="3114">
        <v>49</v>
      </c>
      <c r="B121" s="3835"/>
      <c r="C121" s="3114" t="s">
        <v>2757</v>
      </c>
      <c r="D121" s="3088" t="s">
        <v>2758</v>
      </c>
      <c r="E121" s="3114">
        <v>0.1</v>
      </c>
      <c r="F121" s="3114">
        <v>15</v>
      </c>
    </row>
    <row r="122" spans="1:6" ht="24">
      <c r="A122" s="3114">
        <v>50</v>
      </c>
      <c r="B122" s="3836" t="s">
        <v>2759</v>
      </c>
      <c r="C122" s="3114" t="s">
        <v>2760</v>
      </c>
      <c r="D122" s="3088" t="s">
        <v>2761</v>
      </c>
      <c r="E122" s="3114">
        <v>0.1</v>
      </c>
      <c r="F122" s="3114">
        <v>15</v>
      </c>
    </row>
    <row r="123" spans="1:6" ht="24">
      <c r="A123" s="3114">
        <v>51</v>
      </c>
      <c r="B123" s="3836"/>
      <c r="C123" s="3114" t="s">
        <v>2762</v>
      </c>
      <c r="D123" s="3088" t="s">
        <v>2763</v>
      </c>
      <c r="E123" s="3114">
        <v>0.1</v>
      </c>
      <c r="F123" s="3114">
        <v>15</v>
      </c>
    </row>
    <row r="124" spans="1:6" ht="24">
      <c r="A124" s="3114">
        <v>52</v>
      </c>
      <c r="B124" s="3836" t="s">
        <v>2764</v>
      </c>
      <c r="C124" s="3114" t="s">
        <v>2765</v>
      </c>
      <c r="D124" s="3088" t="s">
        <v>2766</v>
      </c>
      <c r="E124" s="3114">
        <v>0.1</v>
      </c>
      <c r="F124" s="3114">
        <v>15</v>
      </c>
    </row>
    <row r="125" spans="1:6" ht="24">
      <c r="A125" s="3114">
        <v>53</v>
      </c>
      <c r="B125" s="3836"/>
      <c r="C125" s="3114" t="s">
        <v>2767</v>
      </c>
      <c r="D125" s="3088" t="s">
        <v>2768</v>
      </c>
      <c r="E125" s="3114">
        <v>0.1</v>
      </c>
      <c r="F125" s="3114">
        <v>15</v>
      </c>
    </row>
    <row r="126" spans="1:6" ht="13.5">
      <c r="A126" s="3114">
        <v>54</v>
      </c>
      <c r="B126" s="3114" t="s">
        <v>2769</v>
      </c>
      <c r="C126" s="3114" t="s">
        <v>2770</v>
      </c>
      <c r="D126" s="3088" t="s">
        <v>2771</v>
      </c>
      <c r="E126" s="3114">
        <v>0.1</v>
      </c>
      <c r="F126" s="3114">
        <v>15</v>
      </c>
    </row>
    <row r="127" spans="1:6" ht="13.5">
      <c r="A127" s="3114">
        <v>55</v>
      </c>
      <c r="B127" s="3836" t="s">
        <v>2772</v>
      </c>
      <c r="C127" s="3114" t="s">
        <v>2773</v>
      </c>
      <c r="D127" s="3088" t="s">
        <v>2774</v>
      </c>
      <c r="E127" s="3114">
        <v>0.1</v>
      </c>
      <c r="F127" s="3114">
        <v>15</v>
      </c>
    </row>
    <row r="128" spans="1:6" ht="13.5">
      <c r="A128" s="3114">
        <v>56</v>
      </c>
      <c r="B128" s="3836"/>
      <c r="C128" s="3114" t="s">
        <v>2775</v>
      </c>
      <c r="D128" s="3088" t="s">
        <v>2776</v>
      </c>
      <c r="E128" s="3114">
        <v>0.1</v>
      </c>
      <c r="F128" s="3114">
        <v>15</v>
      </c>
    </row>
    <row r="129" spans="1:6" ht="24">
      <c r="A129" s="3114">
        <v>57</v>
      </c>
      <c r="B129" s="3836"/>
      <c r="C129" s="3114" t="s">
        <v>2777</v>
      </c>
      <c r="D129" s="3088" t="s">
        <v>2778</v>
      </c>
      <c r="E129" s="3114">
        <v>0.1</v>
      </c>
      <c r="F129" s="3114">
        <v>15</v>
      </c>
    </row>
    <row r="130" spans="1:6" ht="24">
      <c r="A130" s="3114">
        <v>58</v>
      </c>
      <c r="B130" s="3836" t="s">
        <v>2779</v>
      </c>
      <c r="C130" s="3114" t="s">
        <v>2780</v>
      </c>
      <c r="D130" s="3088" t="s">
        <v>2781</v>
      </c>
      <c r="E130" s="3114">
        <v>0.1</v>
      </c>
      <c r="F130" s="3114">
        <v>15</v>
      </c>
    </row>
    <row r="131" spans="1:6" ht="13.5">
      <c r="A131" s="3114">
        <v>59</v>
      </c>
      <c r="B131" s="3836"/>
      <c r="C131" s="3114" t="s">
        <v>2782</v>
      </c>
      <c r="D131" s="3088" t="s">
        <v>2783</v>
      </c>
      <c r="E131" s="3114">
        <v>0.1</v>
      </c>
      <c r="F131" s="3114">
        <v>15</v>
      </c>
    </row>
    <row r="132" spans="1:6" ht="13.5">
      <c r="A132" s="3114">
        <v>60</v>
      </c>
      <c r="B132" s="3831" t="s">
        <v>2784</v>
      </c>
      <c r="C132" s="3114" t="s">
        <v>2785</v>
      </c>
      <c r="D132" s="3088" t="s">
        <v>2786</v>
      </c>
      <c r="E132" s="3114">
        <v>0.1</v>
      </c>
      <c r="F132" s="3114">
        <v>15</v>
      </c>
    </row>
    <row r="133" spans="1:6" ht="13.5">
      <c r="A133" s="3114">
        <v>61</v>
      </c>
      <c r="B133" s="3835"/>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13.5">
      <c r="A135" s="3114">
        <v>63</v>
      </c>
      <c r="B135" s="3836" t="s">
        <v>2792</v>
      </c>
      <c r="C135" s="3114" t="s">
        <v>2793</v>
      </c>
      <c r="D135" s="3088" t="s">
        <v>2794</v>
      </c>
      <c r="E135" s="3114">
        <v>0.1</v>
      </c>
      <c r="F135" s="3114">
        <v>15</v>
      </c>
    </row>
    <row r="136" spans="1:6" ht="13.5">
      <c r="A136" s="3114">
        <v>64</v>
      </c>
      <c r="B136" s="3836"/>
      <c r="C136" s="3114" t="s">
        <v>2795</v>
      </c>
      <c r="D136" s="3088" t="s">
        <v>2796</v>
      </c>
      <c r="E136" s="3114">
        <v>0.1</v>
      </c>
      <c r="F136" s="3114">
        <v>15</v>
      </c>
    </row>
    <row r="137" spans="1:6" ht="13.5">
      <c r="A137" s="3114">
        <v>65</v>
      </c>
      <c r="B137" s="3114" t="s">
        <v>2797</v>
      </c>
      <c r="C137" s="3114" t="s">
        <v>2798</v>
      </c>
      <c r="D137" s="3088" t="s">
        <v>2799</v>
      </c>
      <c r="E137" s="3114">
        <v>0.1</v>
      </c>
      <c r="F137" s="3114">
        <v>15</v>
      </c>
    </row>
    <row r="138" spans="1:6" ht="13.5">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46184</v>
      </c>
      <c r="C2" s="2" t="s">
        <v>106</v>
      </c>
      <c r="D2" s="199"/>
      <c r="E2" s="199"/>
      <c r="F2" s="199"/>
      <c r="G2" s="199"/>
    </row>
    <row r="3" spans="1:7" s="200" customFormat="1" ht="18" customHeight="1" thickBot="1">
      <c r="A3" s="203" t="s">
        <v>58</v>
      </c>
      <c r="B3" s="204">
        <f ca="1">ROUND(B2*10000/'数据-汇总表'!E3,0)</f>
        <v>6606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42310.899999999994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699</v>
      </c>
      <c r="D19" s="849">
        <f>'数据-汇总表'!E3</f>
        <v>69908.279999999955</v>
      </c>
      <c r="E19" s="211">
        <f>'数据-取费表'!B31</f>
        <v>100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747</v>
      </c>
      <c r="D22" s="235">
        <f ca="1">C26</f>
        <v>2.9999999999999997E-4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716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1004</v>
      </c>
      <c r="D27" s="235">
        <f>C29</f>
        <v>8.9999999999999998E-4</v>
      </c>
      <c r="E27" s="236" t="s">
        <v>99</v>
      </c>
      <c r="F27" s="246">
        <f>'数据-取费表'!Q16</f>
        <v>0.11</v>
      </c>
      <c r="G27" s="247" t="s">
        <v>431</v>
      </c>
    </row>
    <row r="28" spans="1:7" s="214" customFormat="1" ht="13.5" customHeight="1">
      <c r="A28" s="780" t="s">
        <v>349</v>
      </c>
      <c r="B28" s="248" t="s">
        <v>424</v>
      </c>
      <c r="C28" s="249">
        <f>ROUND((C5+C19+C20)*F27*'数据-取费表'!B21/'数据-取费表'!B20,0)</f>
        <v>1004</v>
      </c>
      <c r="D28" s="235"/>
      <c r="E28" s="236"/>
      <c r="F28" s="246"/>
      <c r="G28" s="247"/>
    </row>
    <row r="29" spans="1:7" s="214" customFormat="1" ht="13.5" customHeight="1">
      <c r="A29" s="780" t="s">
        <v>347</v>
      </c>
      <c r="B29" s="248" t="s">
        <v>425</v>
      </c>
      <c r="C29" s="238">
        <f>ROUND(C21*F27*'数据-取费表'!B21/'数据-取费表'!B20,4)</f>
        <v>8.9999999999999998E-4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25351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15052</v>
      </c>
      <c r="D34" s="217"/>
      <c r="E34" s="220"/>
      <c r="F34" s="257">
        <f>IF('数据-取费表'!B24=0,1,'数据-取费表'!N16)</f>
        <v>0.42199999999999999</v>
      </c>
      <c r="G34" s="219" t="s">
        <v>89</v>
      </c>
    </row>
    <row r="35" spans="1:7" ht="13.5" customHeight="1">
      <c r="A35" s="780" t="s">
        <v>351</v>
      </c>
      <c r="B35" s="215" t="s">
        <v>33</v>
      </c>
      <c r="C35" s="220">
        <f>ROUND(C34*F35,0)</f>
        <v>452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442</v>
      </c>
      <c r="D36" s="220"/>
      <c r="E36" s="220"/>
      <c r="F36" s="259">
        <f>'数据-取费表'!B34</f>
        <v>0.05</v>
      </c>
      <c r="G36" s="260" t="s">
        <v>35</v>
      </c>
    </row>
    <row r="37" spans="1:7" s="258" customFormat="1" ht="13.5" customHeight="1">
      <c r="A37" s="780" t="s">
        <v>353</v>
      </c>
      <c r="B37" s="215" t="s">
        <v>91</v>
      </c>
      <c r="C37" s="249">
        <f>ROUND(E37*D37*F34/10000,0)</f>
        <v>590</v>
      </c>
      <c r="D37" s="217">
        <f>'数据-汇总表'!E3</f>
        <v>69908.279999999955</v>
      </c>
      <c r="E37" s="249">
        <f>'数据-取费表'!B35</f>
        <v>200</v>
      </c>
      <c r="F37" s="259"/>
      <c r="G37" s="261" t="s">
        <v>92</v>
      </c>
    </row>
    <row r="38" spans="1:7" ht="13.5" customHeight="1">
      <c r="A38" s="780" t="s">
        <v>354</v>
      </c>
      <c r="B38" s="215" t="s">
        <v>36</v>
      </c>
      <c r="C38" s="220">
        <f>ROUND(C34*F38,0)</f>
        <v>226</v>
      </c>
      <c r="D38" s="220"/>
      <c r="E38" s="220"/>
      <c r="F38" s="259">
        <f>'数据-取费表'!B36</f>
        <v>1.4999999999999999E-2</v>
      </c>
      <c r="G38" s="219" t="s">
        <v>90</v>
      </c>
    </row>
    <row r="39" spans="1:7" s="214" customFormat="1" ht="13.5" customHeight="1">
      <c r="A39" s="777" t="s">
        <v>338</v>
      </c>
      <c r="B39" s="210" t="s">
        <v>77</v>
      </c>
      <c r="C39" s="232">
        <f>ROUND(C33*F20,0)</f>
        <v>335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295</v>
      </c>
      <c r="D41" s="235">
        <f ca="1">C44</f>
        <v>2.9999999999999997E-4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289</v>
      </c>
      <c r="D42" s="238"/>
      <c r="E42" s="238"/>
      <c r="F42" s="239"/>
      <c r="G42" s="3701" t="s">
        <v>94</v>
      </c>
    </row>
    <row r="43" spans="1:7" ht="13.5" customHeight="1">
      <c r="A43" s="780" t="s">
        <v>347</v>
      </c>
      <c r="B43" s="215" t="s">
        <v>426</v>
      </c>
      <c r="C43" s="238">
        <f ca="1">ROUND(IF('数据-取费表'!B22&lt;=1,C39*F22*'数据-取费表'!B21/2,C39*(POWER((1+F22),'数据-取费表'!B21/2)-1)),0)</f>
        <v>6</v>
      </c>
      <c r="D43" s="238"/>
      <c r="E43" s="238"/>
      <c r="F43" s="239"/>
      <c r="G43" s="3702"/>
    </row>
    <row r="44" spans="1:7" ht="13.5" customHeight="1">
      <c r="A44" s="780" t="s">
        <v>348</v>
      </c>
      <c r="B44" s="215" t="s">
        <v>428</v>
      </c>
      <c r="C44" s="238">
        <f ca="1">ROUND(IF('数据-取费表'!B22&lt;=1,C40*F22*'数据-取费表'!B21/2,C40*(POWER((1+F22),'数据-取费表'!B21/2)-1)),4)</f>
        <v>2.9999999999999997E-4</v>
      </c>
      <c r="D44" s="238"/>
      <c r="E44" s="238"/>
      <c r="F44" s="239"/>
      <c r="G44" s="3703"/>
    </row>
    <row r="45" spans="1:7" s="214" customFormat="1" ht="13.5" customHeight="1">
      <c r="A45" s="777" t="s">
        <v>341</v>
      </c>
      <c r="B45" s="244" t="s">
        <v>85</v>
      </c>
      <c r="C45" s="245">
        <f>C46</f>
        <v>1881</v>
      </c>
      <c r="D45" s="235">
        <f>C47</f>
        <v>2.2000000000000001E-3</v>
      </c>
      <c r="E45" s="236" t="s">
        <v>102</v>
      </c>
      <c r="F45" s="246"/>
      <c r="G45" s="247" t="s">
        <v>434</v>
      </c>
    </row>
    <row r="46" spans="1:7" s="214" customFormat="1" ht="13.5" customHeight="1">
      <c r="A46" s="780" t="s">
        <v>349</v>
      </c>
      <c r="B46" s="248" t="s">
        <v>427</v>
      </c>
      <c r="C46" s="249">
        <f>ROUND((C33+C39)*F27,0)</f>
        <v>1881</v>
      </c>
      <c r="D46" s="263"/>
      <c r="E46" s="236"/>
      <c r="F46" s="246"/>
      <c r="G46" s="247"/>
    </row>
    <row r="47" spans="1:7" s="214" customFormat="1" ht="13.5" customHeight="1">
      <c r="A47" s="780" t="s">
        <v>347</v>
      </c>
      <c r="B47" s="248" t="s">
        <v>429</v>
      </c>
      <c r="C47" s="238">
        <f>ROUND(C40*F27,4)</f>
        <v>2.2000000000000001E-3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20833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20833</v>
      </c>
      <c r="D51" s="232"/>
      <c r="E51" s="232"/>
      <c r="F51" s="264"/>
      <c r="G51" s="234" t="s">
        <v>37</v>
      </c>
    </row>
    <row r="52" spans="1:7" s="208" customFormat="1" ht="16.5" thickBot="1">
      <c r="A52" s="265" t="s">
        <v>38</v>
      </c>
      <c r="B52" s="266"/>
      <c r="C52" s="267">
        <f ca="1">C31+C51</f>
        <v>46184</v>
      </c>
      <c r="D52" s="266"/>
      <c r="E52" s="266"/>
      <c r="F52" s="266"/>
      <c r="G52" s="268"/>
    </row>
    <row r="55" spans="1:7" ht="15">
      <c r="B55" s="270" t="s">
        <v>39</v>
      </c>
      <c r="C55" s="271"/>
    </row>
    <row r="56" spans="1:7">
      <c r="B56" s="273" t="s">
        <v>40</v>
      </c>
      <c r="C56" s="274">
        <f ca="1">ROUND(C51/C52,3)</f>
        <v>0.45100000000000001</v>
      </c>
    </row>
    <row r="57" spans="1:7">
      <c r="B57" s="273" t="s">
        <v>41</v>
      </c>
      <c r="C57" s="275">
        <f ca="1">1-C56</f>
        <v>0.54899999999999993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39" t="s">
        <v>2844</v>
      </c>
      <c r="B1" s="3839"/>
      <c r="C1" s="3839"/>
      <c r="D1" s="3839"/>
      <c r="E1" s="3839"/>
      <c r="F1" s="3839"/>
      <c r="G1" s="3840"/>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2"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37"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2" thickBot="1">
      <c r="A4" s="3838"/>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2"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2"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2"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2"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1" t="s">
        <v>3186</v>
      </c>
      <c r="B1" s="3841"/>
    </row>
    <row r="2" spans="1:7" ht="14.25" thickBot="1">
      <c r="A2" s="3251"/>
      <c r="B2" s="3251"/>
    </row>
    <row r="3" spans="1:7" ht="14.25" thickBot="1">
      <c r="A3" s="3251"/>
      <c r="B3" s="3251"/>
      <c r="C3" s="3252" t="s">
        <v>2814</v>
      </c>
      <c r="D3" s="3252" t="s">
        <v>2872</v>
      </c>
      <c r="E3" s="3252" t="s">
        <v>2816</v>
      </c>
      <c r="F3" s="3252" t="s">
        <v>2873</v>
      </c>
      <c r="G3" s="3252" t="s">
        <v>2634</v>
      </c>
    </row>
    <row r="4" spans="1:7" ht="14.2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4.2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4.2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4.2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4.2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4.2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4.2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4.2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4.2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4.2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4.2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842" t="s">
        <v>3237</v>
      </c>
      <c r="B1" s="3842"/>
      <c r="C1" s="3842"/>
      <c r="D1" s="3842"/>
      <c r="E1" s="3842"/>
      <c r="F1" s="3843"/>
    </row>
    <row r="2" spans="1:6" ht="15">
      <c r="A2" s="3287" t="s">
        <v>3238</v>
      </c>
      <c r="B2" s="3288"/>
      <c r="C2" s="3288"/>
      <c r="D2" s="3288"/>
      <c r="E2" s="3288"/>
      <c r="F2" s="3288"/>
    </row>
    <row r="3" spans="1:6" ht="15">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7">
        <f>基准地价修正!G23</f>
        <v>45103</v>
      </c>
      <c r="B1" s="3206" t="s">
        <v>2843</v>
      </c>
      <c r="C1" s="3207"/>
      <c r="D1" s="3207"/>
      <c r="E1" s="3207"/>
      <c r="F1" s="3207"/>
      <c r="G1" s="3207"/>
      <c r="H1" s="3207"/>
      <c r="I1" s="3207"/>
      <c r="J1" s="3161"/>
      <c r="K1" s="3207" t="s">
        <v>454</v>
      </c>
      <c r="L1" s="3207"/>
      <c r="M1" s="3207"/>
      <c r="N1" s="3207"/>
      <c r="O1" s="3207"/>
      <c r="P1" s="3207"/>
      <c r="Q1" s="3161"/>
      <c r="R1" s="3844" t="s">
        <v>456</v>
      </c>
      <c r="S1" s="3845"/>
      <c r="T1" s="3845"/>
      <c r="U1" s="3845"/>
      <c r="V1" s="3845"/>
      <c r="W1" s="3845"/>
      <c r="X1" s="3161"/>
      <c r="Y1" s="3844" t="s">
        <v>457</v>
      </c>
      <c r="Z1" s="3845"/>
      <c r="AA1" s="3845"/>
      <c r="AB1" s="3845"/>
      <c r="AC1" s="3845"/>
      <c r="AD1" s="3845"/>
    </row>
    <row r="2" spans="1:30" s="3139" customFormat="1" ht="14.2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2.75">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2828</v>
      </c>
    </row>
    <row r="20" spans="1:30" s="3005" customFormat="1"/>
    <row r="21" spans="1:30" s="3205" customFormat="1" ht="12.75">
      <c r="B21" s="3206" t="s">
        <v>2829</v>
      </c>
      <c r="C21" s="3207"/>
      <c r="D21" s="3207"/>
      <c r="E21" s="3207"/>
      <c r="F21" s="3207"/>
      <c r="G21" s="3207"/>
      <c r="H21" s="3207"/>
      <c r="I21" s="3207"/>
      <c r="J21" s="3161"/>
      <c r="K21" s="3207" t="s">
        <v>2830</v>
      </c>
      <c r="L21" s="3207"/>
      <c r="M21" s="3207"/>
      <c r="N21" s="3207"/>
      <c r="O21" s="3207"/>
      <c r="P21" s="3207"/>
      <c r="Q21" s="3161"/>
      <c r="R21" s="3844" t="s">
        <v>2831</v>
      </c>
      <c r="S21" s="3845"/>
      <c r="T21" s="3845"/>
      <c r="U21" s="3845"/>
      <c r="V21" s="3845"/>
      <c r="W21" s="3845"/>
      <c r="X21" s="3161"/>
      <c r="Y21" s="3844" t="s">
        <v>2832</v>
      </c>
      <c r="Z21" s="3845"/>
      <c r="AA21" s="3845"/>
      <c r="AB21" s="3845"/>
      <c r="AC21" s="3845"/>
      <c r="AD21" s="3845"/>
    </row>
    <row r="22" spans="1:30" s="3139" customFormat="1" ht="14.2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2.75">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5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4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4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4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5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4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4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4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4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4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4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4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4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4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5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4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5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4" t="s">
        <v>925</v>
      </c>
      <c r="E3" s="854" t="s">
        <v>931</v>
      </c>
      <c r="F3" s="854" t="s">
        <v>925</v>
      </c>
      <c r="G3" s="854" t="s">
        <v>926</v>
      </c>
      <c r="H3" s="854" t="s">
        <v>925</v>
      </c>
      <c r="I3" s="854" t="s">
        <v>926</v>
      </c>
    </row>
    <row r="4" spans="1:9" ht="15">
      <c r="A4" s="1504" t="str">
        <f>项目基本情况!S2</f>
        <v>北京市房地产</v>
      </c>
      <c r="B4" s="854">
        <f>项目基本情况!C17</f>
        <v>69908.279999999955</v>
      </c>
      <c r="C4" s="854">
        <f>项目基本情况!C18</f>
        <v>22768.44</v>
      </c>
      <c r="D4" s="854">
        <f ca="1">结果表!D118</f>
        <v>101033</v>
      </c>
      <c r="E4" s="854">
        <f ca="1">结果表!E118</f>
        <v>14452</v>
      </c>
      <c r="F4" s="854">
        <f ca="1">结果表!F118</f>
        <v>20693</v>
      </c>
      <c r="G4" s="854">
        <f ca="1">结果表!G118</f>
        <v>2960</v>
      </c>
      <c r="H4" s="854">
        <f ca="1">结果表!H118</f>
        <v>121726</v>
      </c>
      <c r="I4" s="854">
        <f ca="1">结果表!I118</f>
        <v>17412</v>
      </c>
    </row>
    <row r="5" spans="1:9" ht="30" customHeight="1">
      <c r="A5" s="3526" t="s">
        <v>927</v>
      </c>
      <c r="B5" s="3526"/>
      <c r="C5" s="3526"/>
      <c r="D5" s="3526" t="str">
        <f ca="1">结果表!D119</f>
        <v>壹拾亿壹仟零叁拾叁万元整</v>
      </c>
      <c r="E5" s="3526"/>
      <c r="F5" s="3526" t="str">
        <f ca="1">结果表!F119</f>
        <v>贰亿零陆佰玖拾叁万元整</v>
      </c>
      <c r="G5" s="3526"/>
      <c r="H5" s="3526" t="str">
        <f ca="1">结果表!H119</f>
        <v>壹拾贰亿壹仟柒佰贰拾陆万元整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121726</v>
      </c>
      <c r="E8" s="3527"/>
      <c r="F8" s="3527"/>
      <c r="G8" s="3527"/>
      <c r="H8" s="3527"/>
      <c r="I8" s="3527"/>
    </row>
    <row r="9" spans="1:9" ht="15">
      <c r="A9" s="3526" t="s">
        <v>927</v>
      </c>
      <c r="B9" s="3526"/>
      <c r="C9" s="3526"/>
      <c r="D9" s="3526" t="str">
        <f ca="1">结果表!D123</f>
        <v>壹拾贰亿壹仟柒佰贰拾陆万元整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抵押净值</v>
      </c>
      <c r="B12" s="3527"/>
      <c r="C12" s="3527"/>
      <c r="D12" s="3527">
        <f ca="1">结果表!D126</f>
        <v>115289</v>
      </c>
      <c r="E12" s="3527"/>
      <c r="F12" s="3527"/>
      <c r="G12" s="3527"/>
      <c r="H12" s="3527"/>
      <c r="I12" s="3527"/>
    </row>
    <row r="13" spans="1:9" ht="15.75" thickBot="1">
      <c r="A13" s="3531" t="s">
        <v>927</v>
      </c>
      <c r="B13" s="3531"/>
      <c r="C13" s="3531"/>
      <c r="D13" s="3531" t="str">
        <f ca="1">结果表!D127</f>
        <v>壹拾壹亿伍仟贰佰捌拾玖万元整</v>
      </c>
      <c r="E13" s="3531"/>
      <c r="F13" s="3531"/>
      <c r="G13" s="3531"/>
      <c r="H13" s="3531"/>
      <c r="I13" s="3531"/>
    </row>
    <row r="14" spans="1:9" ht="15" thickTop="1">
      <c r="A14" s="3532" t="s">
        <v>932</v>
      </c>
      <c r="B14" s="3532"/>
      <c r="C14" s="3532"/>
      <c r="D14" s="3532"/>
      <c r="E14" s="3532"/>
      <c r="F14" s="3532"/>
      <c r="G14" s="3532"/>
      <c r="H14" s="3532"/>
      <c r="I14" s="353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3.5"/>
  <sheetData>
    <row r="2" spans="1:1" ht="20.25">
      <c r="A2" s="3451" t="s">
        <v>3464</v>
      </c>
    </row>
    <row r="30" spans="1:1" ht="20.25">
      <c r="A30" s="3451" t="s">
        <v>3465</v>
      </c>
    </row>
    <row r="57" spans="1:1" ht="20.25">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workbookViewId="0">
      <selection activeCell="Q19" sqref="Q19"/>
    </sheetView>
  </sheetViews>
  <sheetFormatPr defaultRowHeight="13.5"/>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topLeftCell="A7" workbookViewId="0">
      <selection activeCell="Q35" sqref="Q35"/>
    </sheetView>
  </sheetViews>
  <sheetFormatPr defaultRowHeight="13.5"/>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3" t="s">
        <v>949</v>
      </c>
      <c r="B1" s="3533"/>
      <c r="C1" s="3533"/>
      <c r="D1" s="3533"/>
    </row>
    <row r="2" spans="1:4" ht="18">
      <c r="A2" s="3534" t="s">
        <v>933</v>
      </c>
      <c r="B2" s="3534"/>
      <c r="C2" s="3534"/>
      <c r="D2" s="3534"/>
    </row>
    <row r="3" spans="1:4" ht="18.75">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8">
      <c r="A6" s="3534" t="s">
        <v>939</v>
      </c>
      <c r="B6" s="3534"/>
      <c r="C6" s="3534"/>
      <c r="D6" s="353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7" t="s">
        <v>956</v>
      </c>
      <c r="B15" s="3542" t="s">
        <v>109</v>
      </c>
      <c r="C15" s="3543"/>
    </row>
    <row r="16" spans="1:7" ht="13.5">
      <c r="A16" s="3548"/>
      <c r="B16" s="3542" t="s">
        <v>42</v>
      </c>
      <c r="C16" s="3543"/>
    </row>
    <row r="17" spans="1:3" ht="13.5">
      <c r="A17" s="3548"/>
      <c r="B17" s="3545" t="s">
        <v>957</v>
      </c>
      <c r="C17" s="1531" t="s">
        <v>956</v>
      </c>
    </row>
    <row r="18" spans="1:3" ht="13.5">
      <c r="A18" s="3548"/>
      <c r="B18" s="3545"/>
      <c r="C18" s="1531" t="s">
        <v>958</v>
      </c>
    </row>
    <row r="19" spans="1:3" ht="13.5">
      <c r="A19" s="3548"/>
      <c r="B19" s="3545"/>
      <c r="C19" s="1531" t="s">
        <v>959</v>
      </c>
    </row>
    <row r="20" spans="1:3" ht="13.5">
      <c r="A20" s="3549"/>
      <c r="B20" s="3544" t="s">
        <v>960</v>
      </c>
      <c r="C20" s="3543"/>
    </row>
    <row r="21" spans="1:3" ht="13.5">
      <c r="A21" s="1532" t="s">
        <v>961</v>
      </c>
      <c r="B21" s="1533"/>
      <c r="C21" s="1534"/>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1" t="s">
        <v>967</v>
      </c>
    </row>
    <row r="26" spans="1:3" ht="13.5">
      <c r="A26" s="3546"/>
      <c r="B26" s="3545"/>
      <c r="C26" s="1531" t="s">
        <v>968</v>
      </c>
    </row>
    <row r="27" spans="1:3" ht="13.5">
      <c r="A27" s="3546"/>
      <c r="B27" s="3545"/>
      <c r="C27" s="1531" t="s">
        <v>969</v>
      </c>
    </row>
    <row r="28" spans="1:3" ht="13.5">
      <c r="A28" s="3546"/>
      <c r="B28" s="3545"/>
      <c r="C28" s="1531" t="s">
        <v>970</v>
      </c>
    </row>
    <row r="29" spans="1:3" ht="13.5">
      <c r="A29" s="3546"/>
      <c r="B29" s="3545"/>
      <c r="C29" s="1531" t="s">
        <v>971</v>
      </c>
    </row>
    <row r="30" spans="1:3" ht="13.5">
      <c r="A30" s="3546"/>
      <c r="B30" s="3545"/>
      <c r="C30" s="1531" t="s">
        <v>972</v>
      </c>
    </row>
    <row r="31" spans="1:3" ht="13.5">
      <c r="A31" s="3546"/>
      <c r="B31" s="3545"/>
      <c r="C31" s="1531" t="s">
        <v>973</v>
      </c>
    </row>
    <row r="32" spans="1:3" ht="13.5">
      <c r="A32" s="3546"/>
      <c r="B32" s="3545"/>
      <c r="C32" s="1531" t="s">
        <v>974</v>
      </c>
    </row>
    <row r="33" spans="1:3" ht="13.5">
      <c r="A33" s="3546"/>
      <c r="B33" s="354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45103</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39"/>
      <c r="E18" s="3552" t="s">
        <v>2162</v>
      </c>
      <c r="F18" s="3551"/>
      <c r="G18" s="3551"/>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2023-05-17T04:47:41Z</cp:lastPrinted>
  <dcterms:created xsi:type="dcterms:W3CDTF">2015-07-13T07:17:23Z</dcterms:created>
  <dcterms:modified xsi:type="dcterms:W3CDTF">2023-06-26T06:01:03Z</dcterms:modified>
</cp:coreProperties>
</file>