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商业" sheetId="70" r:id="rId31"/>
    <sheet name="剩余法-待开发" sheetId="12" r:id="rId32"/>
    <sheet name="不动产比较法-住宅" sheetId="21" state="hidden" r:id="rId33"/>
    <sheet name="不动产收益法仓储" sheetId="15" state="hidden" r:id="rId34"/>
    <sheet name="不动产收益法车库" sheetId="69"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1" r:id="rId43"/>
  </sheets>
  <externalReferences>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19" i="6" l="1"/>
  <c r="I40" i="39"/>
  <c r="G40" i="39"/>
  <c r="E40" i="39"/>
  <c r="I9" i="39"/>
  <c r="G9" i="39"/>
  <c r="E9" i="39"/>
  <c r="I7" i="39"/>
  <c r="G7" i="39"/>
  <c r="E7" i="39"/>
  <c r="L2" i="70"/>
  <c r="E48" i="39"/>
  <c r="L3" i="70"/>
  <c r="G48" i="39"/>
  <c r="L4" i="70"/>
  <c r="I48" i="39"/>
  <c r="L5" i="70"/>
  <c r="L6" i="70"/>
  <c r="L7" i="70"/>
  <c r="L8" i="70"/>
  <c r="L9" i="70"/>
  <c r="L10" i="70"/>
  <c r="L11" i="70"/>
  <c r="L12" i="70"/>
  <c r="L13" i="70"/>
  <c r="L14" i="70"/>
  <c r="L15" i="70"/>
  <c r="L16" i="70"/>
  <c r="D14" i="9"/>
  <c r="Q73" i="69"/>
  <c r="Q60" i="69"/>
  <c r="D60" i="69"/>
  <c r="Q59" i="69"/>
  <c r="K59" i="69"/>
  <c r="P75" i="69"/>
  <c r="F58" i="69"/>
  <c r="Q52" i="69"/>
  <c r="J50" i="69"/>
  <c r="M47" i="69"/>
  <c r="F33" i="69"/>
  <c r="F60" i="69"/>
  <c r="F31" i="69"/>
  <c r="F23" i="69"/>
  <c r="D23" i="69"/>
  <c r="F21" i="69"/>
  <c r="F20" i="69"/>
  <c r="M19" i="69"/>
  <c r="F18" i="69"/>
  <c r="M17" i="69"/>
  <c r="F17" i="69"/>
  <c r="F15" i="69"/>
  <c r="D24" i="69"/>
  <c r="D22" i="69"/>
  <c r="P62" i="69"/>
  <c r="B7" i="4"/>
  <c r="J50" i="15"/>
  <c r="D7" i="59"/>
  <c r="AH5" i="59"/>
  <c r="AG5" i="59"/>
  <c r="AE5" i="59"/>
  <c r="AF5" i="59"/>
  <c r="AD5" i="59"/>
  <c r="Q5" i="59"/>
  <c r="P5" i="59"/>
  <c r="O5" i="59"/>
  <c r="N5" i="59"/>
  <c r="I3" i="59"/>
  <c r="L3" i="59"/>
  <c r="AH3" i="59"/>
  <c r="K3" i="59"/>
  <c r="J3" i="59"/>
  <c r="AE3" i="59"/>
  <c r="AF3" i="59"/>
  <c r="AE6" i="59"/>
  <c r="AF6" i="59"/>
  <c r="AG6" i="59"/>
  <c r="AH6" i="59"/>
  <c r="AD6" i="59"/>
  <c r="Q6" i="59"/>
  <c r="F6" i="59"/>
  <c r="F5" i="59"/>
  <c r="P6" i="59"/>
  <c r="O6" i="59"/>
  <c r="N6" i="59"/>
  <c r="N7" i="59"/>
  <c r="Q7" i="59"/>
  <c r="P7" i="59"/>
  <c r="O7" i="59"/>
  <c r="K59" i="15"/>
  <c r="Q74" i="44"/>
  <c r="Q61" i="44"/>
  <c r="Q60" i="44"/>
  <c r="Q53" i="44"/>
  <c r="J51" i="44"/>
  <c r="J52" i="44"/>
  <c r="M48" i="44"/>
  <c r="A16" i="55"/>
  <c r="B67" i="63"/>
  <c r="A15" i="55"/>
  <c r="B66" i="63"/>
  <c r="A10" i="55"/>
  <c r="A9" i="55"/>
  <c r="A8" i="55"/>
  <c r="A6" i="54"/>
  <c r="A8" i="54"/>
  <c r="A7" i="54"/>
  <c r="A27" i="51"/>
  <c r="D5" i="46"/>
  <c r="Q8" i="59"/>
  <c r="O8" i="59"/>
  <c r="N9" i="59"/>
  <c r="O9" i="59"/>
  <c r="P9" i="59"/>
  <c r="Q9" i="59"/>
  <c r="N8" i="59"/>
  <c r="P8" i="59"/>
  <c r="K75" i="9"/>
  <c r="K6" i="4"/>
  <c r="O76" i="9"/>
  <c r="B22" i="31"/>
  <c r="E15" i="66"/>
  <c r="F15" i="66"/>
  <c r="E16" i="66"/>
  <c r="F16" i="66"/>
  <c r="E17" i="66"/>
  <c r="F17" i="66"/>
  <c r="E18" i="66"/>
  <c r="F18" i="66"/>
  <c r="E19" i="66"/>
  <c r="F19" i="66"/>
  <c r="E20" i="66"/>
  <c r="F20" i="66"/>
  <c r="E21" i="66"/>
  <c r="F21" i="66"/>
  <c r="E22" i="66"/>
  <c r="F22" i="66"/>
  <c r="E23" i="66"/>
  <c r="F23" i="66"/>
  <c r="B3" i="66"/>
  <c r="M19" i="46"/>
  <c r="B6" i="59"/>
  <c r="E6" i="59"/>
  <c r="V6" i="59"/>
  <c r="S6" i="59"/>
  <c r="AD3" i="59"/>
  <c r="AG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6" i="59"/>
  <c r="T6" i="59"/>
  <c r="C3" i="65"/>
  <c r="C1" i="65"/>
  <c r="B76" i="63"/>
  <c r="M5" i="54"/>
  <c r="A23" i="51"/>
  <c r="B17" i="63"/>
  <c r="Y12" i="46"/>
  <c r="AA9" i="46"/>
  <c r="AA10" i="46"/>
  <c r="AB9" i="46"/>
  <c r="AC9" i="46"/>
  <c r="AC10" i="46"/>
  <c r="AD9" i="46"/>
  <c r="AE9" i="46"/>
  <c r="AE10" i="46"/>
  <c r="AF9" i="46"/>
  <c r="AG9" i="46"/>
  <c r="AH9" i="46"/>
  <c r="AI9" i="46"/>
  <c r="AI10" i="46"/>
  <c r="AJ9" i="46"/>
  <c r="Z9" i="46"/>
  <c r="Z10" i="46"/>
  <c r="AJ10" i="46"/>
  <c r="AH10" i="46"/>
  <c r="AF10" i="46"/>
  <c r="AD10" i="46"/>
  <c r="AB10" i="46"/>
  <c r="Y10" i="46"/>
  <c r="AJ12" i="46"/>
  <c r="AH12" i="46"/>
  <c r="AF12" i="46"/>
  <c r="AD12" i="46"/>
  <c r="AB12" i="46"/>
  <c r="Z12" i="46"/>
  <c r="B73" i="63"/>
  <c r="A21" i="64"/>
  <c r="B75" i="63"/>
  <c r="A27" i="64"/>
  <c r="A15" i="64"/>
  <c r="A14" i="64"/>
  <c r="A11" i="64"/>
  <c r="A3" i="64"/>
  <c r="A45" i="9"/>
  <c r="A44" i="9"/>
  <c r="C57" i="10"/>
  <c r="A28" i="51"/>
  <c r="N4" i="63"/>
  <c r="C56" i="10"/>
  <c r="A26" i="51"/>
  <c r="B19" i="63"/>
  <c r="C55" i="10"/>
  <c r="C54" i="10"/>
  <c r="B49" i="63"/>
  <c r="B44" i="63"/>
  <c r="B40" i="63"/>
  <c r="B30" i="63"/>
  <c r="B27" i="63"/>
  <c r="B25" i="63"/>
  <c r="A11" i="51"/>
  <c r="B10" i="63"/>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A15" i="51"/>
  <c r="B12" i="63"/>
  <c r="A14" i="51"/>
  <c r="B11" i="63"/>
  <c r="A4" i="55"/>
  <c r="B57" i="63"/>
  <c r="B41" i="63"/>
  <c r="G5" i="54"/>
  <c r="B34" i="63"/>
  <c r="E5" i="54"/>
  <c r="B32" i="63"/>
  <c r="R2" i="54"/>
  <c r="B24" i="63"/>
  <c r="B49" i="50"/>
  <c r="B5" i="63"/>
  <c r="B40" i="50"/>
  <c r="B3" i="63"/>
  <c r="I19" i="46"/>
  <c r="Q10" i="59"/>
  <c r="P10" i="59"/>
  <c r="O10" i="59"/>
  <c r="N10" i="59"/>
  <c r="B10" i="59"/>
  <c r="D71" i="59"/>
  <c r="F70" i="59"/>
  <c r="F69" i="59"/>
  <c r="F68" i="59"/>
  <c r="E70" i="59"/>
  <c r="E69" i="59"/>
  <c r="E68" i="59"/>
  <c r="C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E50" i="59"/>
  <c r="C50" i="59"/>
  <c r="B50" i="59"/>
  <c r="N50" i="59"/>
  <c r="B49"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D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D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P19" i="59"/>
  <c r="AA19" i="59"/>
  <c r="O19" i="59"/>
  <c r="C20" i="59"/>
  <c r="N19" i="59"/>
  <c r="B20" i="59"/>
  <c r="B21" i="59"/>
  <c r="B22" i="59"/>
  <c r="S22" i="59"/>
  <c r="D19" i="59"/>
  <c r="Q18" i="59"/>
  <c r="P18" i="59"/>
  <c r="O18" i="59"/>
  <c r="N18" i="59"/>
  <c r="Q17" i="59"/>
  <c r="P17" i="59"/>
  <c r="O17" i="59"/>
  <c r="N17" i="59"/>
  <c r="Q16" i="59"/>
  <c r="P16" i="59"/>
  <c r="O16" i="59"/>
  <c r="N16" i="59"/>
  <c r="Q15" i="59"/>
  <c r="P15" i="59"/>
  <c r="E16" i="59"/>
  <c r="E17" i="59"/>
  <c r="E18" i="59"/>
  <c r="U18" i="59"/>
  <c r="O15" i="59"/>
  <c r="N15" i="59"/>
  <c r="D15" i="59"/>
  <c r="Q14" i="59"/>
  <c r="P14" i="59"/>
  <c r="O14" i="59"/>
  <c r="N14" i="59"/>
  <c r="Q13" i="59"/>
  <c r="P13" i="59"/>
  <c r="O13" i="59"/>
  <c r="N13" i="59"/>
  <c r="Q12" i="59"/>
  <c r="P12" i="59"/>
  <c r="O12" i="59"/>
  <c r="N12" i="59"/>
  <c r="Q11" i="59"/>
  <c r="P11" i="59"/>
  <c r="O11" i="59"/>
  <c r="C12" i="59"/>
  <c r="N11" i="59"/>
  <c r="B12" i="59"/>
  <c r="B13" i="59"/>
  <c r="B14" i="59"/>
  <c r="S14" i="59"/>
  <c r="D11" i="59"/>
  <c r="X8" i="59"/>
  <c r="X10" i="59"/>
  <c r="AA7" i="59"/>
  <c r="Y7" i="59"/>
  <c r="Z7" i="59"/>
  <c r="Y3" i="59"/>
  <c r="Z3" i="59"/>
  <c r="AB8" i="59"/>
  <c r="E12" i="59"/>
  <c r="E13" i="59"/>
  <c r="E14" i="59"/>
  <c r="U14" i="59"/>
  <c r="S50" i="59"/>
  <c r="AA21" i="59"/>
  <c r="F25" i="59"/>
  <c r="F26" i="59"/>
  <c r="V26" i="59"/>
  <c r="F41" i="59"/>
  <c r="F42" i="59"/>
  <c r="V42" i="59"/>
  <c r="C25" i="59"/>
  <c r="D24" i="59"/>
  <c r="C37" i="59"/>
  <c r="C38" i="59"/>
  <c r="D36" i="59"/>
  <c r="C41" i="59"/>
  <c r="D41" i="59"/>
  <c r="C45" i="59"/>
  <c r="C46" i="59"/>
  <c r="D44" i="59"/>
  <c r="N49" i="59"/>
  <c r="B48" i="59"/>
  <c r="N47" i="59"/>
  <c r="T50" i="59"/>
  <c r="D50" i="59"/>
  <c r="P50" i="59"/>
  <c r="Q50" i="59"/>
  <c r="C53" i="59"/>
  <c r="E53" i="59"/>
  <c r="E52" i="59"/>
  <c r="D54" i="59"/>
  <c r="C57" i="59"/>
  <c r="D58" i="59"/>
  <c r="C61" i="59"/>
  <c r="E61" i="59"/>
  <c r="E60" i="59"/>
  <c r="D62" i="59"/>
  <c r="C65" i="59"/>
  <c r="D65" i="59"/>
  <c r="U16" i="4"/>
  <c r="S16" i="4"/>
  <c r="Q16" i="4"/>
  <c r="O16" i="4"/>
  <c r="M16" i="4"/>
  <c r="K16" i="4"/>
  <c r="D61" i="59"/>
  <c r="C60" i="59"/>
  <c r="D60" i="59"/>
  <c r="D53" i="59"/>
  <c r="C52" i="59"/>
  <c r="D52" i="59"/>
  <c r="C64" i="59"/>
  <c r="D64" i="59"/>
  <c r="D57" i="59"/>
  <c r="C56" i="59"/>
  <c r="D56" i="59"/>
  <c r="N48" i="59"/>
  <c r="D45" i="59"/>
  <c r="C42" i="59"/>
  <c r="T42" i="59"/>
  <c r="C26" i="59"/>
  <c r="D25" i="59"/>
  <c r="T26" i="59"/>
  <c r="D2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Z21" i="33"/>
  <c r="Q21" i="33"/>
  <c r="C21" i="33"/>
  <c r="D83" i="33"/>
  <c r="E83" i="33"/>
  <c r="F83" i="33"/>
  <c r="G83" i="33"/>
  <c r="Q21" i="21"/>
  <c r="Z21" i="21"/>
  <c r="D83" i="21"/>
  <c r="E83" i="21"/>
  <c r="F21" i="21"/>
  <c r="AA21" i="21"/>
  <c r="C21" i="21"/>
  <c r="Q27" i="40"/>
  <c r="Z27" i="40"/>
  <c r="D96" i="40"/>
  <c r="E96" i="40"/>
  <c r="F96" i="40"/>
  <c r="F27" i="40"/>
  <c r="AA27" i="40"/>
  <c r="Q31" i="39"/>
  <c r="Z31" i="39"/>
  <c r="D105" i="39"/>
  <c r="E105" i="39"/>
  <c r="F105" i="39"/>
  <c r="F31" i="39"/>
  <c r="AA31" i="39"/>
  <c r="G20" i="20"/>
  <c r="B85" i="46"/>
  <c r="C22" i="20"/>
  <c r="B65" i="46"/>
  <c r="S18" i="36"/>
  <c r="S18" i="35"/>
  <c r="S21" i="37"/>
  <c r="E66" i="36"/>
  <c r="H18" i="35"/>
  <c r="J18" i="35"/>
  <c r="H21" i="37"/>
  <c r="J21" i="37"/>
  <c r="E84" i="34"/>
  <c r="F84" i="34"/>
  <c r="G84" i="34"/>
  <c r="J21" i="34"/>
  <c r="H21" i="34"/>
  <c r="F21" i="33"/>
  <c r="H21" i="33"/>
  <c r="J21" i="33"/>
  <c r="F83" i="21"/>
  <c r="H21" i="21"/>
  <c r="G83" i="21"/>
  <c r="J21" i="21"/>
  <c r="H27" i="40"/>
  <c r="H31" i="39"/>
  <c r="F23" i="15"/>
  <c r="D22" i="15"/>
  <c r="G17" i="11"/>
  <c r="F15" i="15"/>
  <c r="F17" i="15"/>
  <c r="F18" i="15"/>
  <c r="F20" i="15"/>
  <c r="F21" i="15"/>
  <c r="F33" i="15"/>
  <c r="F60" i="15"/>
  <c r="K2" i="4"/>
  <c r="K1" i="4"/>
  <c r="B1" i="4"/>
  <c r="B37" i="50"/>
  <c r="B2" i="63"/>
  <c r="C31" i="57"/>
  <c r="C32" i="57"/>
  <c r="I23" i="57"/>
  <c r="D20" i="57"/>
  <c r="I19" i="57"/>
  <c r="I18" i="57"/>
  <c r="I17" i="57"/>
  <c r="E15" i="57"/>
  <c r="I14" i="57"/>
  <c r="I13" i="57"/>
  <c r="I12" i="57"/>
  <c r="I9" i="57"/>
  <c r="I8" i="57"/>
  <c r="I7" i="57"/>
  <c r="I6" i="57"/>
  <c r="I5" i="57"/>
  <c r="I4" i="57"/>
  <c r="I3" i="57"/>
  <c r="I10" i="57"/>
  <c r="I21"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J55" i="46"/>
  <c r="D55" i="46"/>
  <c r="N86"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A12" i="1"/>
  <c r="R12" i="1"/>
  <c r="A13" i="1"/>
  <c r="B13" i="1"/>
  <c r="E13" i="1"/>
  <c r="A7" i="1"/>
  <c r="A8" i="1"/>
  <c r="A9" i="1"/>
  <c r="A10" i="1"/>
  <c r="R10" i="1"/>
  <c r="A11" i="1"/>
  <c r="A6" i="1"/>
  <c r="G1" i="69"/>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AZ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K145"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AA40" i="33"/>
  <c r="J41" i="33"/>
  <c r="AC41" i="33"/>
  <c r="D113" i="33"/>
  <c r="F37" i="33"/>
  <c r="AA37" i="33"/>
  <c r="D111" i="33"/>
  <c r="E111" i="33"/>
  <c r="F111" i="33"/>
  <c r="G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D97" i="39"/>
  <c r="D95" i="39"/>
  <c r="E95" i="39"/>
  <c r="F95" i="39"/>
  <c r="G95" i="39"/>
  <c r="D93" i="39"/>
  <c r="E93" i="39"/>
  <c r="F93" i="39"/>
  <c r="G93" i="39"/>
  <c r="D91" i="39"/>
  <c r="E91" i="39"/>
  <c r="F91" i="39"/>
  <c r="G91" i="39"/>
  <c r="B88" i="39"/>
  <c r="B86" i="39"/>
  <c r="B84" i="39"/>
  <c r="F1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B110" i="37"/>
  <c r="J39" i="37"/>
  <c r="AC39" i="37"/>
  <c r="B108" i="37"/>
  <c r="C23" i="37"/>
  <c r="C19" i="37"/>
  <c r="C17" i="37"/>
  <c r="C15" i="37"/>
  <c r="B112" i="37"/>
  <c r="D107" i="37"/>
  <c r="E107" i="37"/>
  <c r="F107" i="37"/>
  <c r="G107" i="37"/>
  <c r="D105" i="37"/>
  <c r="E105" i="37"/>
  <c r="F105" i="37"/>
  <c r="G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B82" i="37"/>
  <c r="J26" i="37"/>
  <c r="D79" i="37"/>
  <c r="E79" i="37"/>
  <c r="F79" i="37"/>
  <c r="G79" i="37"/>
  <c r="D75" i="37"/>
  <c r="E75" i="37"/>
  <c r="F75" i="37"/>
  <c r="G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8" i="33"/>
  <c r="W8" i="33"/>
  <c r="H8" i="33"/>
  <c r="AB8" i="33"/>
  <c r="F8" i="33"/>
  <c r="AA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E21" i="6"/>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E20" i="6"/>
  <c r="N5" i="3"/>
  <c r="O5" i="3"/>
  <c r="P5" i="3"/>
  <c r="Q5" i="3"/>
  <c r="R5" i="3"/>
  <c r="S5" i="3"/>
  <c r="T5" i="3"/>
  <c r="U5" i="3"/>
  <c r="V5" i="3"/>
  <c r="W5" i="3"/>
  <c r="X5" i="3"/>
  <c r="Y5" i="3"/>
  <c r="Z5" i="3"/>
  <c r="AA5" i="3"/>
  <c r="AB5" i="3"/>
  <c r="H570" i="3"/>
  <c r="G570" i="3"/>
  <c r="H571" i="3"/>
  <c r="G571" i="3"/>
  <c r="H572" i="3"/>
  <c r="G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S40"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W8" i="34"/>
  <c r="J28" i="34"/>
  <c r="W28" i="34"/>
  <c r="E113" i="33"/>
  <c r="F19" i="33"/>
  <c r="S19" i="33"/>
  <c r="J19" i="33"/>
  <c r="AC19" i="33"/>
  <c r="S10" i="21"/>
  <c r="W40" i="33"/>
  <c r="F125" i="21"/>
  <c r="G125" i="21"/>
  <c r="G86" i="40"/>
  <c r="AB30" i="36"/>
  <c r="AC34" i="36"/>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J36" i="37"/>
  <c r="AC36" i="37"/>
  <c r="AB28" i="36"/>
  <c r="AB31" i="21"/>
  <c r="S46" i="21"/>
  <c r="AC30" i="21"/>
  <c r="W30" i="21"/>
  <c r="AB30" i="21"/>
  <c r="AA28" i="21"/>
  <c r="W14" i="21"/>
  <c r="AC14" i="21"/>
  <c r="W42" i="21"/>
  <c r="S46" i="33"/>
  <c r="U36" i="37"/>
  <c r="AC13" i="36"/>
  <c r="AB45" i="33"/>
  <c r="AB31"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BA551" i="3"/>
  <c r="AZ551" i="3"/>
  <c r="BA545" i="3"/>
  <c r="AZ545" i="3"/>
  <c r="BA543" i="3"/>
  <c r="BA541" i="3"/>
  <c r="BA531" i="3"/>
  <c r="BA521" i="3"/>
  <c r="BA509" i="3"/>
  <c r="BA505" i="3"/>
  <c r="BA501" i="3"/>
  <c r="BA493" i="3"/>
  <c r="BA487" i="3"/>
  <c r="BA19" i="3"/>
  <c r="BA572" i="3"/>
  <c r="AZ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W23" i="37"/>
  <c r="F17" i="37"/>
  <c r="AA17" i="37"/>
  <c r="AB43" i="33"/>
  <c r="AC33" i="36"/>
  <c r="AC12" i="35"/>
  <c r="W23" i="35"/>
  <c r="AC23" i="37"/>
  <c r="U39" i="37"/>
  <c r="AC8" i="37"/>
  <c r="S25" i="37"/>
  <c r="AC36" i="34"/>
  <c r="AB8" i="34"/>
  <c r="AC37" i="33"/>
  <c r="AA13" i="33"/>
  <c r="AC45" i="33"/>
  <c r="U19" i="21"/>
  <c r="AC33" i="21"/>
  <c r="AA36" i="21"/>
  <c r="F43" i="33"/>
  <c r="AA43" i="33"/>
  <c r="AA23" i="37"/>
  <c r="AB44" i="33"/>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AZ54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BA303" i="3"/>
  <c r="BL303" i="3"/>
  <c r="AZ303" i="3"/>
  <c r="G304" i="3"/>
  <c r="BA305" i="3"/>
  <c r="G321" i="3"/>
  <c r="BL322" i="3"/>
  <c r="G323" i="3"/>
  <c r="BL324" i="3"/>
  <c r="BA326" i="3"/>
  <c r="BA327" i="3"/>
  <c r="BL327" i="3"/>
  <c r="AZ327" i="3"/>
  <c r="G328" i="3"/>
  <c r="BA329" i="3"/>
  <c r="G337" i="3"/>
  <c r="BL338" i="3"/>
  <c r="G339" i="3"/>
  <c r="BL340" i="3"/>
  <c r="BA342" i="3"/>
  <c r="BA343" i="3"/>
  <c r="BL343" i="3"/>
  <c r="AZ343" i="3"/>
  <c r="G344" i="3"/>
  <c r="BA345" i="3"/>
  <c r="G353" i="3"/>
  <c r="BL354" i="3"/>
  <c r="G355" i="3"/>
  <c r="BL356" i="3"/>
  <c r="G357" i="3"/>
  <c r="BL358" i="3"/>
  <c r="G359" i="3"/>
  <c r="BA360" i="3"/>
  <c r="BA361" i="3"/>
  <c r="BL361" i="3"/>
  <c r="G362" i="3"/>
  <c r="BA363" i="3"/>
  <c r="AZ363" i="3"/>
  <c r="G371" i="3"/>
  <c r="BL372" i="3"/>
  <c r="G373" i="3"/>
  <c r="BL374" i="3"/>
  <c r="BA376" i="3"/>
  <c r="AZ376" i="3"/>
  <c r="BA377" i="3"/>
  <c r="BL377" i="3"/>
  <c r="G378" i="3"/>
  <c r="BA379" i="3"/>
  <c r="BA114" i="3"/>
  <c r="BL115" i="3"/>
  <c r="AZ115" i="3"/>
  <c r="G116" i="3"/>
  <c r="BA118" i="3"/>
  <c r="BL119" i="3"/>
  <c r="G120" i="3"/>
  <c r="BA122" i="3"/>
  <c r="AZ122" i="3"/>
  <c r="BL123" i="3"/>
  <c r="G124" i="3"/>
  <c r="BA126" i="3"/>
  <c r="AZ126" i="3"/>
  <c r="BL127" i="3"/>
  <c r="G128" i="3"/>
  <c r="BA130" i="3"/>
  <c r="AZ130" i="3"/>
  <c r="BL131" i="3"/>
  <c r="AZ131" i="3"/>
  <c r="G132" i="3"/>
  <c r="BA134" i="3"/>
  <c r="AZ134" i="3"/>
  <c r="BL135" i="3"/>
  <c r="G136" i="3"/>
  <c r="BA138" i="3"/>
  <c r="AZ138" i="3"/>
  <c r="BL139" i="3"/>
  <c r="AZ139" i="3"/>
  <c r="G140" i="3"/>
  <c r="BA142" i="3"/>
  <c r="AZ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AZ170" i="3"/>
  <c r="G171" i="3"/>
  <c r="BA173" i="3"/>
  <c r="BL174" i="3"/>
  <c r="AZ174" i="3"/>
  <c r="G175" i="3"/>
  <c r="BA178" i="3"/>
  <c r="AZ178" i="3"/>
  <c r="BL179" i="3"/>
  <c r="G180" i="3"/>
  <c r="AZ35" i="3"/>
  <c r="AZ51" i="3"/>
  <c r="G537" i="3"/>
  <c r="BL181" i="3"/>
  <c r="G182" i="3"/>
  <c r="BA184" i="3"/>
  <c r="AZ184" i="3"/>
  <c r="BL185" i="3"/>
  <c r="AZ185" i="3"/>
  <c r="G186" i="3"/>
  <c r="BA188" i="3"/>
  <c r="BL189" i="3"/>
  <c r="G190" i="3"/>
  <c r="BA192" i="3"/>
  <c r="AZ192" i="3"/>
  <c r="BL193" i="3"/>
  <c r="G194" i="3"/>
  <c r="BA196" i="3"/>
  <c r="AZ196" i="3"/>
  <c r="BL197" i="3"/>
  <c r="G198" i="3"/>
  <c r="BA200" i="3"/>
  <c r="AZ200" i="3"/>
  <c r="BL201" i="3"/>
  <c r="AZ74" i="3"/>
  <c r="AZ201" i="3"/>
  <c r="AZ90" i="3"/>
  <c r="AZ102" i="3"/>
  <c r="G491" i="3"/>
  <c r="BA298" i="3"/>
  <c r="AZ298" i="3"/>
  <c r="BA299" i="3"/>
  <c r="BL299" i="3"/>
  <c r="G300" i="3"/>
  <c r="G303" i="3"/>
  <c r="BL304" i="3"/>
  <c r="BA306" i="3"/>
  <c r="AZ306" i="3"/>
  <c r="BA307" i="3"/>
  <c r="BL307" i="3"/>
  <c r="G308" i="3"/>
  <c r="G319" i="3"/>
  <c r="BL320" i="3"/>
  <c r="BA322" i="3"/>
  <c r="BA323" i="3"/>
  <c r="AZ323" i="3"/>
  <c r="BL323" i="3"/>
  <c r="G324" i="3"/>
  <c r="G327" i="3"/>
  <c r="BL328" i="3"/>
  <c r="BA330" i="3"/>
  <c r="BA331" i="3"/>
  <c r="AZ331" i="3"/>
  <c r="BL331" i="3"/>
  <c r="G332" i="3"/>
  <c r="G335" i="3"/>
  <c r="BL336" i="3"/>
  <c r="BA338" i="3"/>
  <c r="BA339" i="3"/>
  <c r="AZ339" i="3"/>
  <c r="BL339" i="3"/>
  <c r="G340" i="3"/>
  <c r="G343" i="3"/>
  <c r="BL344" i="3"/>
  <c r="BA346" i="3"/>
  <c r="AZ346" i="3"/>
  <c r="BA347" i="3"/>
  <c r="BL347" i="3"/>
  <c r="AZ347" i="3"/>
  <c r="G348" i="3"/>
  <c r="G351" i="3"/>
  <c r="BL352" i="3"/>
  <c r="BA354" i="3"/>
  <c r="AZ354" i="3"/>
  <c r="BA355" i="3"/>
  <c r="AZ355" i="3"/>
  <c r="BL355" i="3"/>
  <c r="G356" i="3"/>
  <c r="BA358" i="3"/>
  <c r="BA359" i="3"/>
  <c r="BL359" i="3"/>
  <c r="G360" i="3"/>
  <c r="G361" i="3"/>
  <c r="BL362" i="3"/>
  <c r="BA364" i="3"/>
  <c r="AZ364" i="3"/>
  <c r="BA365" i="3"/>
  <c r="AZ365" i="3"/>
  <c r="BL365" i="3"/>
  <c r="G366" i="3"/>
  <c r="G369" i="3"/>
  <c r="BL370" i="3"/>
  <c r="BA372" i="3"/>
  <c r="AZ372" i="3"/>
  <c r="BA373" i="3"/>
  <c r="BL373" i="3"/>
  <c r="AZ373" i="3"/>
  <c r="G374" i="3"/>
  <c r="G377" i="3"/>
  <c r="BL378" i="3"/>
  <c r="BA380" i="3"/>
  <c r="AZ380" i="3"/>
  <c r="BA381" i="3"/>
  <c r="BL381" i="3"/>
  <c r="G382" i="3"/>
  <c r="G385" i="3"/>
  <c r="AZ183" i="3"/>
  <c r="AZ199" i="3"/>
  <c r="AZ203" i="3"/>
  <c r="G523" i="3"/>
  <c r="BL297" i="3"/>
  <c r="G298" i="3"/>
  <c r="BA300" i="3"/>
  <c r="BL301" i="3"/>
  <c r="G302" i="3"/>
  <c r="BA304" i="3"/>
  <c r="AZ304" i="3"/>
  <c r="BL305" i="3"/>
  <c r="G306" i="3"/>
  <c r="BA308" i="3"/>
  <c r="BL309" i="3"/>
  <c r="G310" i="3"/>
  <c r="BA310" i="3"/>
  <c r="BL311" i="3"/>
  <c r="G312" i="3"/>
  <c r="BA312" i="3"/>
  <c r="BL313" i="3"/>
  <c r="G314" i="3"/>
  <c r="BA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c r="G350" i="3"/>
  <c r="BA352" i="3"/>
  <c r="AZ352" i="3"/>
  <c r="BL353" i="3"/>
  <c r="G354" i="3"/>
  <c r="BA356" i="3"/>
  <c r="BL357" i="3"/>
  <c r="AZ357" i="3"/>
  <c r="G358" i="3"/>
  <c r="BA362" i="3"/>
  <c r="AZ362" i="3"/>
  <c r="BL363" i="3"/>
  <c r="G364" i="3"/>
  <c r="BA366" i="3"/>
  <c r="AZ366" i="3"/>
  <c r="BL367" i="3"/>
  <c r="AZ213" i="3"/>
  <c r="AZ217" i="3"/>
  <c r="AZ245" i="3"/>
  <c r="AZ309" i="3"/>
  <c r="AZ333" i="3"/>
  <c r="G368" i="3"/>
  <c r="BA370" i="3"/>
  <c r="BL371" i="3"/>
  <c r="G372" i="3"/>
  <c r="BA374" i="3"/>
  <c r="AZ374" i="3"/>
  <c r="BL375" i="3"/>
  <c r="G376" i="3"/>
  <c r="BA378" i="3"/>
  <c r="AZ378" i="3"/>
  <c r="BL379" i="3"/>
  <c r="G380" i="3"/>
  <c r="BA382" i="3"/>
  <c r="BL383" i="3"/>
  <c r="G384" i="3"/>
  <c r="AZ249" i="3"/>
  <c r="AZ274" i="3"/>
  <c r="AZ278" i="3"/>
  <c r="AZ369" i="3"/>
  <c r="AZ390" i="3"/>
  <c r="AZ398" i="3"/>
  <c r="AZ414" i="3"/>
  <c r="AZ422" i="3"/>
  <c r="AZ450" i="3"/>
  <c r="AZ459" i="3"/>
  <c r="AZ463"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22" i="3"/>
  <c r="H13" i="39"/>
  <c r="AB13" i="39"/>
  <c r="F13" i="39"/>
  <c r="J13" i="39"/>
  <c r="AC13" i="39"/>
  <c r="AA36" i="35"/>
  <c r="H11" i="37"/>
  <c r="AB11" i="37"/>
  <c r="W37" i="37"/>
  <c r="AA30" i="33"/>
  <c r="S42" i="33"/>
  <c r="AB17" i="37"/>
  <c r="AZ508" i="3"/>
  <c r="AZ516" i="3"/>
  <c r="AZ524" i="3"/>
  <c r="AZ532" i="3"/>
  <c r="AZ546" i="3"/>
  <c r="AC29" i="33"/>
  <c r="AA45" i="33"/>
  <c r="AC11" i="36"/>
  <c r="AC10" i="36"/>
  <c r="AB45" i="34"/>
  <c r="AC14" i="37"/>
  <c r="AB35" i="35"/>
  <c r="S25" i="35"/>
  <c r="W44" i="33"/>
  <c r="AC30" i="33"/>
  <c r="W30" i="33"/>
  <c r="AC29" i="37"/>
  <c r="W32" i="36"/>
  <c r="AC32" i="36"/>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S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AC45" i="21"/>
  <c r="S14" i="21"/>
  <c r="AA44" i="34"/>
  <c r="AB29" i="35"/>
  <c r="U29" i="35"/>
  <c r="U43" i="34"/>
  <c r="AB43" i="34"/>
  <c r="AC34" i="37"/>
  <c r="S35" i="37"/>
  <c r="AA35" i="37"/>
  <c r="AB10" i="35"/>
  <c r="AA32" i="21"/>
  <c r="S32" i="21"/>
  <c r="U38" i="21"/>
  <c r="AB34" i="21"/>
  <c r="BL571" i="3"/>
  <c r="BA571" i="3"/>
  <c r="BL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S33" i="39"/>
  <c r="H33" i="39"/>
  <c r="U33" i="39"/>
  <c r="J33" i="39"/>
  <c r="AC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BL521" i="3"/>
  <c r="AZ521" i="3"/>
  <c r="BA519" i="3"/>
  <c r="AZ519" i="3"/>
  <c r="BL518" i="3"/>
  <c r="BA518" i="3"/>
  <c r="AZ518" i="3"/>
  <c r="BL517" i="3"/>
  <c r="BA517" i="3"/>
  <c r="BL515" i="3"/>
  <c r="BA515" i="3"/>
  <c r="BA514" i="3"/>
  <c r="AZ514" i="3"/>
  <c r="BL513" i="3"/>
  <c r="BA513" i="3"/>
  <c r="AZ513" i="3"/>
  <c r="BL512" i="3"/>
  <c r="AZ512" i="3"/>
  <c r="BA511" i="3"/>
  <c r="AZ511" i="3"/>
  <c r="BA510" i="3"/>
  <c r="AZ510" i="3"/>
  <c r="BL509" i="3"/>
  <c r="AZ509" i="3"/>
  <c r="BL507" i="3"/>
  <c r="BA507" i="3"/>
  <c r="BL506" i="3"/>
  <c r="BA506" i="3"/>
  <c r="BL505" i="3"/>
  <c r="AZ505" i="3"/>
  <c r="BL504" i="3"/>
  <c r="BA504" i="3"/>
  <c r="BA503" i="3"/>
  <c r="AZ503" i="3"/>
  <c r="BA500" i="3"/>
  <c r="AZ500" i="3"/>
  <c r="BL499" i="3"/>
  <c r="BA499" i="3"/>
  <c r="BL498" i="3"/>
  <c r="AZ498" i="3"/>
  <c r="BL497" i="3"/>
  <c r="BA497" i="3"/>
  <c r="BL496" i="3"/>
  <c r="BA496" i="3"/>
  <c r="BA495" i="3"/>
  <c r="AZ495" i="3"/>
  <c r="BL494" i="3"/>
  <c r="BA494" i="3"/>
  <c r="G494" i="3"/>
  <c r="BA491" i="3"/>
  <c r="AZ491" i="3"/>
  <c r="BL490" i="3"/>
  <c r="BA490" i="3"/>
  <c r="BL489" i="3"/>
  <c r="BA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U8" i="21"/>
  <c r="AB8" i="21"/>
  <c r="S34" i="21"/>
  <c r="AC36" i="21"/>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7" i="34"/>
  <c r="AB37" i="34"/>
  <c r="F15" i="39"/>
  <c r="AA15" i="39"/>
  <c r="H15" i="39"/>
  <c r="U15" i="39"/>
  <c r="J15" i="39"/>
  <c r="AC1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9" i="3"/>
  <c r="AZ403" i="3"/>
  <c r="AZ415" i="3"/>
  <c r="AZ454" i="3"/>
  <c r="B41" i="1"/>
  <c r="J42" i="40"/>
  <c r="AC42" i="40"/>
  <c r="J40" i="40"/>
  <c r="AC40" i="40"/>
  <c r="J34" i="40"/>
  <c r="AC34" i="40"/>
  <c r="H16" i="40"/>
  <c r="AB16" i="40"/>
  <c r="H14" i="40"/>
  <c r="U14" i="40"/>
  <c r="F32" i="40"/>
  <c r="AA32" i="40"/>
  <c r="AZ401" i="3"/>
  <c r="AZ452" i="3"/>
  <c r="M1" i="46"/>
  <c r="M6" i="46"/>
  <c r="M10" i="46"/>
  <c r="N2" i="46"/>
  <c r="N5" i="46"/>
  <c r="F58" i="46"/>
  <c r="F47" i="46"/>
  <c r="H49" i="46"/>
  <c r="N7" i="46"/>
  <c r="AZ456" i="3"/>
  <c r="AZ458" i="3"/>
  <c r="AZ461" i="3"/>
  <c r="AZ474" i="3"/>
  <c r="AZ212" i="3"/>
  <c r="AZ215" i="3"/>
  <c r="AZ244" i="3"/>
  <c r="AZ247" i="3"/>
  <c r="AZ276" i="3"/>
  <c r="AZ281" i="3"/>
  <c r="AZ137" i="3"/>
  <c r="M7" i="46"/>
  <c r="M11" i="46"/>
  <c r="N3" i="46"/>
  <c r="N6" i="46"/>
  <c r="N10" i="46"/>
  <c r="AZ164" i="3"/>
  <c r="AZ71" i="3"/>
  <c r="J13" i="40"/>
  <c r="W13" i="40"/>
  <c r="AB14" i="40"/>
  <c r="F72" i="9"/>
  <c r="S47" i="39"/>
  <c r="U37" i="34"/>
  <c r="AC41" i="40"/>
  <c r="W41" i="40"/>
  <c r="U41" i="40"/>
  <c r="J23" i="40"/>
  <c r="AC23" i="40"/>
  <c r="G92" i="40"/>
  <c r="F23" i="40"/>
  <c r="S23" i="40"/>
  <c r="AC15" i="40"/>
  <c r="W15" i="40"/>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AC13" i="33"/>
  <c r="U17" i="34"/>
  <c r="AA11" i="34"/>
  <c r="H15" i="33"/>
  <c r="U15" i="33"/>
  <c r="AA40" i="21"/>
  <c r="U17" i="21"/>
  <c r="S13" i="39"/>
  <c r="AA13" i="39"/>
  <c r="U16" i="40"/>
  <c r="W34" i="40"/>
  <c r="AB34" i="40"/>
  <c r="AB42" i="40"/>
  <c r="U42" i="40"/>
  <c r="AC16" i="40"/>
  <c r="W32" i="40"/>
  <c r="H25" i="40"/>
  <c r="AB25" i="40"/>
  <c r="F94" i="40"/>
  <c r="G94" i="40"/>
  <c r="W15" i="39"/>
  <c r="J37" i="34"/>
  <c r="AC37" i="34"/>
  <c r="S41" i="40"/>
  <c r="AB23" i="40"/>
  <c r="F97" i="39"/>
  <c r="H23" i="39"/>
  <c r="AB23" i="39"/>
  <c r="S16" i="39"/>
  <c r="S15" i="34"/>
  <c r="AA15" i="34"/>
  <c r="AA34" i="33"/>
  <c r="F106" i="33"/>
  <c r="G106" i="33"/>
  <c r="H106" i="33"/>
  <c r="I106" i="33"/>
  <c r="J106" i="33"/>
  <c r="K106" i="33"/>
  <c r="L106" i="33"/>
  <c r="M106" i="33"/>
  <c r="J34" i="33"/>
  <c r="AC34" i="33"/>
  <c r="U30" i="40"/>
  <c r="AA37" i="39"/>
  <c r="W29" i="35"/>
  <c r="AC39" i="39"/>
  <c r="W39" i="39"/>
  <c r="AA39" i="39"/>
  <c r="S39" i="39"/>
  <c r="AB46" i="39"/>
  <c r="AA33" i="39"/>
  <c r="S17" i="39"/>
  <c r="U11" i="36"/>
  <c r="F80" i="35"/>
  <c r="G80" i="35"/>
  <c r="H80" i="35"/>
  <c r="I80" i="35"/>
  <c r="J80" i="35"/>
  <c r="K80" i="35"/>
  <c r="L80" i="35"/>
  <c r="M80" i="35"/>
  <c r="W14" i="35"/>
  <c r="F90" i="34"/>
  <c r="G90" i="34"/>
  <c r="H90" i="34"/>
  <c r="I90" i="34"/>
  <c r="J90" i="34"/>
  <c r="K90" i="34"/>
  <c r="L90" i="34"/>
  <c r="M90" i="34"/>
  <c r="F27" i="34"/>
  <c r="S27" i="34"/>
  <c r="AC43" i="39"/>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H11" i="33"/>
  <c r="U11" i="33"/>
  <c r="H10" i="33"/>
  <c r="U10" i="33"/>
  <c r="I66" i="33"/>
  <c r="J10" i="33"/>
  <c r="AC10" i="33"/>
  <c r="U40" i="21"/>
  <c r="U11" i="37"/>
  <c r="U13" i="39"/>
  <c r="AC16" i="35"/>
  <c r="AC13" i="40"/>
  <c r="J11" i="34"/>
  <c r="W11" i="34"/>
  <c r="S17" i="34"/>
  <c r="F25" i="40"/>
  <c r="AA25" i="40"/>
  <c r="J11" i="33"/>
  <c r="W11" i="33"/>
  <c r="H33" i="37"/>
  <c r="AB33" i="37"/>
  <c r="AC15" i="34"/>
  <c r="U20" i="35"/>
  <c r="AB20" i="35"/>
  <c r="W23" i="40"/>
  <c r="D73" i="9"/>
  <c r="N73" i="9"/>
  <c r="AP11" i="1"/>
  <c r="B11" i="1"/>
  <c r="E11" i="1"/>
  <c r="K11" i="1"/>
  <c r="M11" i="1"/>
  <c r="B9" i="1"/>
  <c r="E9" i="1"/>
  <c r="K9" i="1"/>
  <c r="M9" i="1"/>
  <c r="B7" i="1"/>
  <c r="E7" i="1"/>
  <c r="C20" i="43"/>
  <c r="F6" i="1"/>
  <c r="AP6" i="1"/>
  <c r="G11" i="1"/>
  <c r="M22" i="44"/>
  <c r="F32" i="15"/>
  <c r="F59" i="15"/>
  <c r="F70"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AC12" i="33"/>
  <c r="AB11" i="33"/>
  <c r="S29" i="33"/>
  <c r="W31" i="33"/>
  <c r="W43" i="33"/>
  <c r="U46" i="33"/>
  <c r="W39" i="33"/>
  <c r="U35" i="33"/>
  <c r="AB34" i="33"/>
  <c r="W26" i="33"/>
  <c r="H25" i="33"/>
  <c r="AB25" i="33"/>
  <c r="J25" i="33"/>
  <c r="W25" i="33"/>
  <c r="F87" i="33"/>
  <c r="G87" i="33"/>
  <c r="H87" i="33"/>
  <c r="I87" i="33"/>
  <c r="J87" i="33"/>
  <c r="K87" i="33"/>
  <c r="L87" i="33"/>
  <c r="M87" i="33"/>
  <c r="F25" i="33"/>
  <c r="S25" i="33"/>
  <c r="F85" i="33"/>
  <c r="G85" i="33"/>
  <c r="J23" i="33"/>
  <c r="W23" i="33"/>
  <c r="F23" i="33"/>
  <c r="S23" i="33"/>
  <c r="H23" i="33"/>
  <c r="U23" i="33"/>
  <c r="F79" i="33"/>
  <c r="G79" i="33"/>
  <c r="F17" i="33"/>
  <c r="S17" i="33"/>
  <c r="J17" i="33"/>
  <c r="AC17" i="33"/>
  <c r="S14" i="33"/>
  <c r="AC21" i="33"/>
  <c r="W21" i="33"/>
  <c r="W14" i="33"/>
  <c r="AB21" i="33"/>
  <c r="U21" i="33"/>
  <c r="AA21" i="33"/>
  <c r="S21" i="33"/>
  <c r="AA44"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AA21" i="39"/>
  <c r="AC19" i="39"/>
  <c r="AC38" i="39"/>
  <c r="W29" i="39"/>
  <c r="U11" i="39"/>
  <c r="U41" i="39"/>
  <c r="AB38" i="39"/>
  <c r="U31" i="39"/>
  <c r="AB31" i="39"/>
  <c r="S38" i="39"/>
  <c r="M20" i="15"/>
  <c r="D96" i="9"/>
  <c r="F28" i="15"/>
  <c r="M18" i="15"/>
  <c r="A18" i="64"/>
  <c r="B74" i="63"/>
  <c r="C53" i="10"/>
  <c r="A25" i="64"/>
  <c r="A18" i="51"/>
  <c r="B14" i="63"/>
  <c r="BA16" i="3"/>
  <c r="BA17" i="3"/>
  <c r="AZ17" i="3"/>
  <c r="F3" i="35"/>
  <c r="K1" i="43"/>
  <c r="K1" i="12"/>
  <c r="G1" i="44"/>
  <c r="I4" i="6"/>
  <c r="G3" i="46"/>
  <c r="AF11" i="46"/>
  <c r="AF13" i="46"/>
  <c r="AZ15" i="3"/>
  <c r="BK5" i="3"/>
  <c r="BO5" i="3"/>
  <c r="BP5" i="3"/>
  <c r="BN5" i="3"/>
  <c r="BL18" i="3"/>
  <c r="AZ18" i="3"/>
  <c r="BC5" i="3"/>
  <c r="E8" i="6"/>
  <c r="E53" i="40"/>
  <c r="BD5" i="3"/>
  <c r="BR5" i="3"/>
  <c r="G28" i="6"/>
  <c r="BS5" i="3"/>
  <c r="BQ5" i="3"/>
  <c r="BL16" i="3"/>
  <c r="BM5" i="3"/>
  <c r="BA13" i="3"/>
  <c r="H48" i="46"/>
  <c r="H53" i="46"/>
  <c r="G28" i="12"/>
  <c r="G26" i="12"/>
  <c r="D24" i="44"/>
  <c r="D26" i="44"/>
  <c r="G23" i="43"/>
  <c r="H54" i="46"/>
  <c r="H55"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69" i="46"/>
  <c r="B67" i="46"/>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E46" i="36"/>
  <c r="F46" i="36"/>
  <c r="C59" i="34"/>
  <c r="D59" i="34"/>
  <c r="E59" i="34"/>
  <c r="C48" i="35"/>
  <c r="D48" i="35"/>
  <c r="C52" i="37"/>
  <c r="D52" i="37"/>
  <c r="F7" i="33"/>
  <c r="S7" i="33"/>
  <c r="J7" i="33"/>
  <c r="AC7" i="33"/>
  <c r="P24" i="46"/>
  <c r="B68" i="40"/>
  <c r="P25" i="46"/>
  <c r="B73" i="39"/>
  <c r="P23" i="46"/>
  <c r="P21" i="46"/>
  <c r="P22" i="46"/>
  <c r="H7" i="33"/>
  <c r="AB7" i="33"/>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G1" i="15"/>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AB14" i="33"/>
  <c r="S26" i="33"/>
  <c r="AB12" i="33"/>
  <c r="S39" i="21"/>
  <c r="AB25" i="21"/>
  <c r="AB45" i="21"/>
  <c r="W25" i="21"/>
  <c r="AA25" i="21"/>
  <c r="AA29" i="21"/>
  <c r="U27" i="21"/>
  <c r="W31" i="21"/>
  <c r="S27" i="21"/>
  <c r="AA15" i="21"/>
  <c r="AC27" i="21"/>
  <c r="W29" i="21"/>
  <c r="G96" i="40"/>
  <c r="J27" i="40"/>
  <c r="AC27" i="40"/>
  <c r="W37" i="40"/>
  <c r="S17" i="40"/>
  <c r="W30" i="40"/>
  <c r="S34" i="40"/>
  <c r="U17" i="40"/>
  <c r="U38" i="40"/>
  <c r="S40" i="40"/>
  <c r="S42" i="40"/>
  <c r="G105" i="39"/>
  <c r="J31" i="39"/>
  <c r="W31" i="39"/>
  <c r="S45" i="39"/>
  <c r="AB43" i="39"/>
  <c r="AC46" i="39"/>
  <c r="W42" i="39"/>
  <c r="W36" i="39"/>
  <c r="AC37" i="39"/>
  <c r="U14" i="39"/>
  <c r="S15" i="39"/>
  <c r="W45" i="39"/>
  <c r="S41" i="39"/>
  <c r="AA46" i="39"/>
  <c r="W10" i="39"/>
  <c r="W11" i="39"/>
  <c r="W40" i="39"/>
  <c r="S32" i="40"/>
  <c r="C27" i="39"/>
  <c r="C17" i="40"/>
  <c r="C19" i="40"/>
  <c r="C17" i="39"/>
  <c r="C19" i="39"/>
  <c r="C21" i="39"/>
  <c r="C23" i="40"/>
  <c r="B48" i="46"/>
  <c r="B51" i="46"/>
  <c r="B55" i="46"/>
  <c r="B59" i="46"/>
  <c r="B62" i="46"/>
  <c r="B66" i="46"/>
  <c r="B53" i="46"/>
  <c r="B64" i="46"/>
  <c r="D24" i="15"/>
  <c r="F29" i="6"/>
  <c r="F28" i="6"/>
  <c r="Y11" i="46"/>
  <c r="Y13" i="46"/>
  <c r="H101" i="46"/>
  <c r="H104" i="46"/>
  <c r="G22"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c r="E58" i="39"/>
  <c r="E5" i="6"/>
  <c r="D21" i="12"/>
  <c r="C21" i="12"/>
  <c r="AZ13" i="3"/>
  <c r="G29" i="6"/>
  <c r="G30" i="6"/>
  <c r="AZ16" i="3"/>
  <c r="H70" i="46"/>
  <c r="H72" i="46"/>
  <c r="A9" i="64"/>
  <c r="A9" i="51"/>
  <c r="B9" i="63"/>
  <c r="A25" i="51"/>
  <c r="B18" i="63"/>
  <c r="E52" i="37"/>
  <c r="F52" i="37"/>
  <c r="G52" i="37"/>
  <c r="G39" i="46"/>
  <c r="I39" i="46"/>
  <c r="G66" i="36"/>
  <c r="J18" i="36"/>
  <c r="AC18" i="36"/>
  <c r="AE6" i="1"/>
  <c r="W18" i="36"/>
  <c r="AG6" i="1"/>
  <c r="L20" i="6"/>
  <c r="S9" i="1"/>
  <c r="R9" i="1"/>
  <c r="C45" i="9"/>
  <c r="H14" i="66"/>
  <c r="B7" i="66"/>
  <c r="C44" i="9"/>
  <c r="G14" i="66"/>
  <c r="B6" i="66"/>
  <c r="K29" i="9"/>
  <c r="K30" i="9"/>
  <c r="N76" i="9"/>
  <c r="C46" i="9"/>
  <c r="K33" i="9"/>
  <c r="F33" i="44"/>
  <c r="F31" i="15"/>
  <c r="E9" i="67"/>
  <c r="M6" i="15"/>
  <c r="L48" i="44"/>
  <c r="F10" i="44"/>
  <c r="F13" i="67"/>
  <c r="M28" i="44"/>
  <c r="F42" i="15"/>
  <c r="F37" i="15"/>
  <c r="F13" i="15"/>
  <c r="F10" i="67"/>
  <c r="M22" i="15"/>
  <c r="F13" i="69"/>
  <c r="B14" i="67"/>
  <c r="F43" i="44"/>
  <c r="J36" i="69"/>
  <c r="B11" i="67"/>
  <c r="B8" i="67"/>
  <c r="F11" i="67"/>
  <c r="F9" i="67"/>
  <c r="E14" i="67"/>
  <c r="M25" i="44"/>
  <c r="M26" i="15"/>
  <c r="M22" i="69"/>
  <c r="F36" i="69"/>
  <c r="M6" i="69"/>
  <c r="F36" i="15"/>
  <c r="F18" i="44"/>
  <c r="E13" i="67"/>
  <c r="F16" i="69"/>
  <c r="J36" i="15"/>
  <c r="E10" i="67"/>
  <c r="M26" i="44"/>
  <c r="F38" i="44"/>
  <c r="F8" i="69"/>
  <c r="M26" i="69"/>
  <c r="F26" i="69"/>
  <c r="M24" i="69"/>
  <c r="M27" i="15"/>
  <c r="F15" i="44"/>
  <c r="F40" i="44"/>
  <c r="L49" i="44"/>
  <c r="B13" i="67"/>
  <c r="F38" i="15"/>
  <c r="L48" i="15"/>
  <c r="M28" i="15"/>
  <c r="L47" i="69"/>
  <c r="F12" i="67"/>
  <c r="M24" i="44"/>
  <c r="B9" i="67"/>
  <c r="F28" i="44"/>
  <c r="F39" i="44"/>
  <c r="J15" i="69"/>
  <c r="L47" i="15"/>
  <c r="F6" i="69"/>
  <c r="F40" i="69"/>
  <c r="F6" i="15"/>
  <c r="F42" i="69"/>
  <c r="M27" i="69"/>
  <c r="F11" i="44"/>
  <c r="M9" i="15"/>
  <c r="J17" i="44"/>
  <c r="M29" i="44"/>
  <c r="M10" i="44"/>
  <c r="M30" i="44"/>
  <c r="M9" i="69"/>
  <c r="E8" i="67"/>
  <c r="E12" i="67"/>
  <c r="F8" i="15"/>
  <c r="M11" i="44"/>
  <c r="F8" i="44"/>
  <c r="F9" i="15"/>
  <c r="L48" i="69"/>
  <c r="F8" i="67"/>
  <c r="F37" i="69"/>
  <c r="M8" i="44"/>
  <c r="J15" i="15"/>
  <c r="M24" i="15"/>
  <c r="F14" i="67"/>
  <c r="M28" i="69"/>
  <c r="F9" i="69"/>
  <c r="F40" i="15"/>
  <c r="M23" i="69"/>
  <c r="M8" i="69"/>
  <c r="F45" i="44"/>
  <c r="B12" i="67"/>
  <c r="B10" i="67"/>
  <c r="M8" i="15"/>
  <c r="F38" i="69"/>
  <c r="E11" i="67"/>
  <c r="F26" i="15"/>
  <c r="M23" i="15"/>
  <c r="F16" i="15"/>
  <c r="D101" i="46"/>
  <c r="D106" i="46"/>
  <c r="AC11" i="46"/>
  <c r="AJ11" i="46"/>
  <c r="AJ13" i="46"/>
  <c r="AB9" i="35"/>
  <c r="U9" i="35"/>
  <c r="C72" i="39"/>
  <c r="D70" i="39"/>
  <c r="S22" i="31"/>
  <c r="U25" i="37"/>
  <c r="AB25" i="37"/>
  <c r="AZ489" i="3"/>
  <c r="AZ490" i="3"/>
  <c r="AZ496" i="3"/>
  <c r="AZ506" i="3"/>
  <c r="AZ507" i="3"/>
  <c r="AZ517" i="3"/>
  <c r="AZ571" i="3"/>
  <c r="AZ356" i="3"/>
  <c r="AZ381" i="3"/>
  <c r="AZ359" i="3"/>
  <c r="AZ358" i="3"/>
  <c r="AZ307" i="3"/>
  <c r="AZ379" i="3"/>
  <c r="AZ361" i="3"/>
  <c r="AZ543" i="3"/>
  <c r="AZ541" i="3"/>
  <c r="AZ555" i="3"/>
  <c r="AB13" i="35"/>
  <c r="BF5" i="3"/>
  <c r="J9" i="35"/>
  <c r="F12" i="35"/>
  <c r="G553" i="3"/>
  <c r="G552" i="3"/>
  <c r="G533" i="3"/>
  <c r="G527" i="3"/>
  <c r="G525" i="3"/>
  <c r="G509" i="3"/>
  <c r="G497" i="3"/>
  <c r="G496" i="3"/>
  <c r="G481" i="3"/>
  <c r="G19" i="3"/>
  <c r="G390" i="3"/>
  <c r="G392" i="3"/>
  <c r="BA393" i="3"/>
  <c r="BL393" i="3"/>
  <c r="BL395" i="3"/>
  <c r="G396" i="3"/>
  <c r="G401" i="3"/>
  <c r="G405" i="3"/>
  <c r="BA406" i="3"/>
  <c r="BL406" i="3"/>
  <c r="BL408" i="3"/>
  <c r="G409" i="3"/>
  <c r="G411" i="3"/>
  <c r="BL465" i="3"/>
  <c r="G466" i="3"/>
  <c r="BL467" i="3"/>
  <c r="G468" i="3"/>
  <c r="G470" i="3"/>
  <c r="BL471" i="3"/>
  <c r="G472" i="3"/>
  <c r="AZ301" i="3"/>
  <c r="AZ344" i="3"/>
  <c r="AZ329" i="3"/>
  <c r="AZ305" i="3"/>
  <c r="F15" i="33"/>
  <c r="BL411" i="3"/>
  <c r="G412" i="3"/>
  <c r="G417" i="3"/>
  <c r="BL418" i="3"/>
  <c r="G419" i="3"/>
  <c r="G422" i="3"/>
  <c r="G424" i="3"/>
  <c r="BA425" i="3"/>
  <c r="AZ425" i="3"/>
  <c r="BL425" i="3"/>
  <c r="BL427" i="3"/>
  <c r="G428" i="3"/>
  <c r="BA429" i="3"/>
  <c r="AZ429" i="3"/>
  <c r="BL429" i="3"/>
  <c r="BA431" i="3"/>
  <c r="AZ431" i="3"/>
  <c r="BL431" i="3"/>
  <c r="BA432" i="3"/>
  <c r="AZ432" i="3"/>
  <c r="BA433" i="3"/>
  <c r="AZ433" i="3"/>
  <c r="BA434" i="3"/>
  <c r="AZ434" i="3"/>
  <c r="BA436" i="3"/>
  <c r="BL436" i="3"/>
  <c r="BA437" i="3"/>
  <c r="AZ437" i="3"/>
  <c r="BA438" i="3"/>
  <c r="AZ438" i="3"/>
  <c r="BA439" i="3"/>
  <c r="AZ439" i="3"/>
  <c r="BA441" i="3"/>
  <c r="AZ441" i="3"/>
  <c r="BL441" i="3"/>
  <c r="BL443" i="3"/>
  <c r="G444" i="3"/>
  <c r="BA445" i="3"/>
  <c r="BL445" i="3"/>
  <c r="BL447" i="3"/>
  <c r="G448" i="3"/>
  <c r="G450" i="3"/>
  <c r="G454" i="3"/>
  <c r="G456" i="3"/>
  <c r="G461" i="3"/>
  <c r="G471" i="3"/>
  <c r="BA475" i="3"/>
  <c r="AZ475" i="3"/>
  <c r="BA477" i="3"/>
  <c r="AZ477" i="3"/>
  <c r="BL477" i="3"/>
  <c r="BA478" i="3"/>
  <c r="AZ478" i="3"/>
  <c r="BA479" i="3"/>
  <c r="AZ479" i="3"/>
  <c r="BA297" i="3"/>
  <c r="AZ297" i="3"/>
  <c r="BA301" i="3"/>
  <c r="G309" i="3"/>
  <c r="BL310" i="3"/>
  <c r="AZ310" i="3"/>
  <c r="G311" i="3"/>
  <c r="BL312" i="3"/>
  <c r="AZ312" i="3"/>
  <c r="BA315" i="3"/>
  <c r="AZ315" i="3"/>
  <c r="BA317" i="3"/>
  <c r="AZ317" i="3"/>
  <c r="BA319" i="3"/>
  <c r="AZ319" i="3"/>
  <c r="BL319" i="3"/>
  <c r="G325" i="3"/>
  <c r="BL326" i="3"/>
  <c r="AZ326" i="3"/>
  <c r="G336" i="3"/>
  <c r="BA337" i="3"/>
  <c r="AZ337" i="3"/>
  <c r="BA341" i="3"/>
  <c r="AZ341" i="3"/>
  <c r="G349" i="3"/>
  <c r="BL350" i="3"/>
  <c r="BL351" i="3"/>
  <c r="AZ351" i="3"/>
  <c r="BL360" i="3"/>
  <c r="AZ360" i="3"/>
  <c r="G363" i="3"/>
  <c r="BA371" i="3"/>
  <c r="AZ371" i="3"/>
  <c r="BA375" i="3"/>
  <c r="AZ375" i="3"/>
  <c r="BL382" i="3"/>
  <c r="AZ382" i="3"/>
  <c r="G383" i="3"/>
  <c r="BA385" i="3"/>
  <c r="AZ385" i="3"/>
  <c r="BL387" i="3"/>
  <c r="G388" i="3"/>
  <c r="BL205" i="3"/>
  <c r="G206" i="3"/>
  <c r="G208" i="3"/>
  <c r="BL209" i="3"/>
  <c r="G210" i="3"/>
  <c r="G215" i="3"/>
  <c r="G219" i="3"/>
  <c r="BL220" i="3"/>
  <c r="G221" i="3"/>
  <c r="BA222" i="3"/>
  <c r="BL222" i="3"/>
  <c r="BL224" i="3"/>
  <c r="G225" i="3"/>
  <c r="BA226" i="3"/>
  <c r="BL226" i="3"/>
  <c r="BA227" i="3"/>
  <c r="AZ227" i="3"/>
  <c r="BA228" i="3"/>
  <c r="AZ228" i="3"/>
  <c r="BA229" i="3"/>
  <c r="AZ229" i="3"/>
  <c r="BA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BL263" i="3"/>
  <c r="BA264" i="3"/>
  <c r="AZ264" i="3"/>
  <c r="BA265" i="3"/>
  <c r="AZ265" i="3"/>
  <c r="BL267" i="3"/>
  <c r="G268" i="3"/>
  <c r="BA269" i="3"/>
  <c r="BL269" i="3"/>
  <c r="BL271" i="3"/>
  <c r="G272" i="3"/>
  <c r="G274" i="3"/>
  <c r="G278" i="3"/>
  <c r="G281" i="3"/>
  <c r="G283" i="3"/>
  <c r="BL284" i="3"/>
  <c r="G285" i="3"/>
  <c r="G287" i="3"/>
  <c r="BA288" i="3"/>
  <c r="BL288" i="3"/>
  <c r="BA290" i="3"/>
  <c r="AZ290" i="3"/>
  <c r="BL290" i="3"/>
  <c r="BA291" i="3"/>
  <c r="AZ291" i="3"/>
  <c r="BA292" i="3"/>
  <c r="AZ292" i="3"/>
  <c r="BL294" i="3"/>
  <c r="G295" i="3"/>
  <c r="BA296" i="3"/>
  <c r="BL296" i="3"/>
  <c r="BA113" i="3"/>
  <c r="AZ113" i="3"/>
  <c r="BL114" i="3"/>
  <c r="AZ114" i="3"/>
  <c r="BA116" i="3"/>
  <c r="AZ116" i="3"/>
  <c r="BL118" i="3"/>
  <c r="AZ118" i="3"/>
  <c r="G119" i="3"/>
  <c r="BA121" i="3"/>
  <c r="BL121" i="3"/>
  <c r="BA123" i="3"/>
  <c r="AZ123" i="3"/>
  <c r="BA125" i="3"/>
  <c r="BL125" i="3"/>
  <c r="BA127" i="3"/>
  <c r="AZ127" i="3"/>
  <c r="G134" i="3"/>
  <c r="G137" i="3"/>
  <c r="BL140" i="3"/>
  <c r="G141" i="3"/>
  <c r="BA144" i="3"/>
  <c r="BL144" i="3"/>
  <c r="BA145" i="3"/>
  <c r="AZ145" i="3"/>
  <c r="BL146" i="3"/>
  <c r="AZ146" i="3"/>
  <c r="BA148" i="3"/>
  <c r="AZ148" i="3"/>
  <c r="BL150" i="3"/>
  <c r="AZ150" i="3"/>
  <c r="G151" i="3"/>
  <c r="BA152" i="3"/>
  <c r="AZ152" i="3"/>
  <c r="BL152" i="3"/>
  <c r="BA154" i="3"/>
  <c r="AZ154" i="3"/>
  <c r="G161" i="3"/>
  <c r="G164" i="3"/>
  <c r="BL167" i="3"/>
  <c r="G168" i="3"/>
  <c r="BA171" i="3"/>
  <c r="BL171" i="3"/>
  <c r="BA172" i="3"/>
  <c r="AZ172" i="3"/>
  <c r="BL173" i="3"/>
  <c r="AZ173" i="3"/>
  <c r="BA175" i="3"/>
  <c r="AZ175" i="3"/>
  <c r="BA177" i="3"/>
  <c r="AZ177" i="3"/>
  <c r="BL177" i="3"/>
  <c r="BA179" i="3"/>
  <c r="AZ179" i="3"/>
  <c r="G183" i="3"/>
  <c r="BA186" i="3"/>
  <c r="BL186" i="3"/>
  <c r="BL188" i="3"/>
  <c r="AZ188" i="3"/>
  <c r="G189" i="3"/>
  <c r="BA191" i="3"/>
  <c r="AZ191" i="3"/>
  <c r="BL191" i="3"/>
  <c r="BA193" i="3"/>
  <c r="AZ193" i="3"/>
  <c r="G196" i="3"/>
  <c r="G199" i="3"/>
  <c r="G21" i="3"/>
  <c r="BA22" i="3"/>
  <c r="BL22" i="3"/>
  <c r="BA24" i="3"/>
  <c r="AZ24" i="3"/>
  <c r="BL24" i="3"/>
  <c r="BA25" i="3"/>
  <c r="AZ25" i="3"/>
  <c r="BA27" i="3"/>
  <c r="BL27" i="3"/>
  <c r="BA28" i="3"/>
  <c r="AZ28" i="3"/>
  <c r="BL30" i="3"/>
  <c r="G31" i="3"/>
  <c r="BL32" i="3"/>
  <c r="G33" i="3"/>
  <c r="G37" i="3"/>
  <c r="BA38" i="3"/>
  <c r="BL38" i="3"/>
  <c r="BA40" i="3"/>
  <c r="BL40" i="3"/>
  <c r="BA41" i="3"/>
  <c r="AZ41" i="3"/>
  <c r="BA43" i="3"/>
  <c r="AZ43" i="3"/>
  <c r="BL43" i="3"/>
  <c r="BA44" i="3"/>
  <c r="AZ44" i="3"/>
  <c r="BL46" i="3"/>
  <c r="G47" i="3"/>
  <c r="BL48" i="3"/>
  <c r="G49" i="3"/>
  <c r="G53" i="3"/>
  <c r="BA54" i="3"/>
  <c r="BL54" i="3"/>
  <c r="BA56" i="3"/>
  <c r="AZ56" i="3"/>
  <c r="BL56" i="3"/>
  <c r="BA57" i="3"/>
  <c r="AZ57" i="3"/>
  <c r="BA59" i="3"/>
  <c r="BL59" i="3"/>
  <c r="BA60" i="3"/>
  <c r="AZ60" i="3"/>
  <c r="BL62" i="3"/>
  <c r="G63" i="3"/>
  <c r="C13" i="59"/>
  <c r="D12" i="59"/>
  <c r="C21" i="59"/>
  <c r="D21" i="59"/>
  <c r="D20" i="59"/>
  <c r="BA64" i="3"/>
  <c r="BL64" i="3"/>
  <c r="BA65" i="3"/>
  <c r="AZ65" i="3"/>
  <c r="BA66" i="3"/>
  <c r="AZ66" i="3"/>
  <c r="BL68" i="3"/>
  <c r="G69" i="3"/>
  <c r="G71" i="3"/>
  <c r="G74" i="3"/>
  <c r="G77" i="3"/>
  <c r="BL78" i="3"/>
  <c r="G79" i="3"/>
  <c r="BA80" i="3"/>
  <c r="BL80" i="3"/>
  <c r="BA81" i="3"/>
  <c r="AZ81" i="3"/>
  <c r="BA82" i="3"/>
  <c r="AZ82" i="3"/>
  <c r="BA84" i="3"/>
  <c r="BL84" i="3"/>
  <c r="BA85" i="3"/>
  <c r="AZ85" i="3"/>
  <c r="BA86" i="3"/>
  <c r="AZ86" i="3"/>
  <c r="BL88" i="3"/>
  <c r="G89" i="3"/>
  <c r="G90" i="3"/>
  <c r="G92" i="3"/>
  <c r="BA93" i="3"/>
  <c r="BL93" i="3"/>
  <c r="BL95" i="3"/>
  <c r="G96" i="3"/>
  <c r="G99" i="3"/>
  <c r="G100" i="3"/>
  <c r="G102" i="3"/>
  <c r="G105" i="3"/>
  <c r="BL106" i="3"/>
  <c r="G107" i="3"/>
  <c r="BA108" i="3"/>
  <c r="BL108" i="3"/>
  <c r="BL109" i="3"/>
  <c r="G110" i="3"/>
  <c r="BA111" i="3"/>
  <c r="BL111" i="3"/>
  <c r="E26" i="57"/>
  <c r="I15" i="57"/>
  <c r="I20" i="57"/>
  <c r="S21" i="21"/>
  <c r="AC12" i="46"/>
  <c r="AC13" i="46"/>
  <c r="D6" i="59"/>
  <c r="B5" i="59"/>
  <c r="X3" i="59"/>
  <c r="X12" i="59"/>
  <c r="X13" i="59"/>
  <c r="N69" i="9"/>
  <c r="O40" i="9"/>
  <c r="J22" i="46"/>
  <c r="A3" i="55"/>
  <c r="B56" i="63"/>
  <c r="I101" i="46"/>
  <c r="I105" i="46"/>
  <c r="M101" i="46"/>
  <c r="M107" i="46"/>
  <c r="E22" i="46"/>
  <c r="AG11" i="46"/>
  <c r="F30" i="6"/>
  <c r="G6" i="1"/>
  <c r="C7" i="46"/>
  <c r="H51" i="46"/>
  <c r="H50" i="46"/>
  <c r="H52" i="46"/>
  <c r="AB32" i="40"/>
  <c r="W32" i="33"/>
  <c r="U29" i="33"/>
  <c r="AB26" i="33"/>
  <c r="W27" i="33"/>
  <c r="E28" i="6"/>
  <c r="K14" i="1"/>
  <c r="M14" i="1"/>
  <c r="H17" i="33"/>
  <c r="U17" i="33"/>
  <c r="W35" i="40"/>
  <c r="W40" i="40"/>
  <c r="H47" i="46"/>
  <c r="F34" i="44"/>
  <c r="M18" i="69"/>
  <c r="F32" i="69"/>
  <c r="F59" i="69"/>
  <c r="F28" i="69"/>
  <c r="AZ494" i="3"/>
  <c r="AZ499" i="3"/>
  <c r="AZ522" i="3"/>
  <c r="AZ568" i="3"/>
  <c r="AZ370" i="3"/>
  <c r="AZ338" i="3"/>
  <c r="AA12" i="21"/>
  <c r="S12" i="21"/>
  <c r="H113" i="21"/>
  <c r="J37" i="21"/>
  <c r="AZ345" i="3"/>
  <c r="U27" i="33"/>
  <c r="AB27" i="33"/>
  <c r="AB9" i="34"/>
  <c r="U9" i="34"/>
  <c r="U27" i="37"/>
  <c r="AB27" i="37"/>
  <c r="AZ492" i="3"/>
  <c r="AZ544" i="3"/>
  <c r="AZ493" i="3"/>
  <c r="H5" i="3"/>
  <c r="BG5" i="3"/>
  <c r="BA570" i="3"/>
  <c r="AZ570" i="3"/>
  <c r="BI5" i="3"/>
  <c r="AZ562" i="3"/>
  <c r="AA38" i="37"/>
  <c r="G569" i="3"/>
  <c r="G564" i="3"/>
  <c r="G555" i="3"/>
  <c r="G543" i="3"/>
  <c r="G535" i="3"/>
  <c r="G528" i="3"/>
  <c r="G520" i="3"/>
  <c r="G511" i="3"/>
  <c r="G500" i="3"/>
  <c r="G490" i="3"/>
  <c r="G482" i="3"/>
  <c r="G15" i="3"/>
  <c r="C92" i="9"/>
  <c r="A11" i="55"/>
  <c r="B62" i="63"/>
  <c r="G389" i="3"/>
  <c r="BL389" i="3"/>
  <c r="BL391" i="3"/>
  <c r="AZ391" i="3"/>
  <c r="BA392" i="3"/>
  <c r="AZ392" i="3"/>
  <c r="BL394" i="3"/>
  <c r="AZ394" i="3"/>
  <c r="BA395" i="3"/>
  <c r="AZ395" i="3"/>
  <c r="G398" i="3"/>
  <c r="G399" i="3"/>
  <c r="G400" i="3"/>
  <c r="BL400" i="3"/>
  <c r="AZ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BL423" i="3"/>
  <c r="AZ423" i="3"/>
  <c r="BA424" i="3"/>
  <c r="AZ424" i="3"/>
  <c r="BL426" i="3"/>
  <c r="AZ426" i="3"/>
  <c r="BA427" i="3"/>
  <c r="AZ427" i="3"/>
  <c r="BA428" i="3"/>
  <c r="AZ428"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AZ453" i="3"/>
  <c r="BL455" i="3"/>
  <c r="AZ455" i="3"/>
  <c r="G458" i="3"/>
  <c r="G459" i="3"/>
  <c r="G460" i="3"/>
  <c r="BL460" i="3"/>
  <c r="AZ460" i="3"/>
  <c r="G463" i="3"/>
  <c r="G464" i="3"/>
  <c r="BL464" i="3"/>
  <c r="AZ464" i="3"/>
  <c r="BA465" i="3"/>
  <c r="AZ465" i="3"/>
  <c r="BA466" i="3"/>
  <c r="AZ466" i="3"/>
  <c r="BA467" i="3"/>
  <c r="AZ467" i="3"/>
  <c r="BL469" i="3"/>
  <c r="AZ469" i="3"/>
  <c r="BA470" i="3"/>
  <c r="AZ470" i="3"/>
  <c r="BA471" i="3"/>
  <c r="AZ471" i="3"/>
  <c r="G474" i="3"/>
  <c r="G475" i="3"/>
  <c r="G476" i="3"/>
  <c r="BL476" i="3"/>
  <c r="AZ476" i="3"/>
  <c r="G479" i="3"/>
  <c r="G480" i="3"/>
  <c r="BL480" i="3"/>
  <c r="AZ480" i="3"/>
  <c r="G301" i="3"/>
  <c r="BL302" i="3"/>
  <c r="AZ302" i="3"/>
  <c r="BL308" i="3"/>
  <c r="AZ308" i="3"/>
  <c r="BA311" i="3"/>
  <c r="AZ311" i="3"/>
  <c r="G315" i="3"/>
  <c r="BL316" i="3"/>
  <c r="AZ316" i="3"/>
  <c r="BA318" i="3"/>
  <c r="AZ318" i="3"/>
  <c r="BA321" i="3"/>
  <c r="AZ321" i="3"/>
  <c r="BA325" i="3"/>
  <c r="AZ325" i="3"/>
  <c r="BL330" i="3"/>
  <c r="AZ330" i="3"/>
  <c r="BL335" i="3"/>
  <c r="AZ335" i="3"/>
  <c r="G341" i="3"/>
  <c r="BL342" i="3"/>
  <c r="AZ342" i="3"/>
  <c r="BL348" i="3"/>
  <c r="AZ348" i="3"/>
  <c r="BA350" i="3"/>
  <c r="AZ350" i="3"/>
  <c r="BA353" i="3"/>
  <c r="AZ353" i="3"/>
  <c r="G365" i="3"/>
  <c r="BA367" i="3"/>
  <c r="AZ367" i="3"/>
  <c r="BL368" i="3"/>
  <c r="AZ368" i="3"/>
  <c r="G370" i="3"/>
  <c r="G381" i="3"/>
  <c r="BA383" i="3"/>
  <c r="AZ383" i="3"/>
  <c r="BL384" i="3"/>
  <c r="AZ384" i="3"/>
  <c r="G386" i="3"/>
  <c r="BL386" i="3"/>
  <c r="AZ386" i="3"/>
  <c r="BA387" i="3"/>
  <c r="AZ387" i="3"/>
  <c r="BA388" i="3"/>
  <c r="AZ388" i="3"/>
  <c r="BA205" i="3"/>
  <c r="AZ205" i="3"/>
  <c r="BL207" i="3"/>
  <c r="AZ207" i="3"/>
  <c r="BA208" i="3"/>
  <c r="AZ208" i="3"/>
  <c r="BA209" i="3"/>
  <c r="AZ209" i="3"/>
  <c r="G212" i="3"/>
  <c r="G213" i="3"/>
  <c r="G214" i="3"/>
  <c r="BL214" i="3"/>
  <c r="AZ214" i="3"/>
  <c r="G217" i="3"/>
  <c r="G218" i="3"/>
  <c r="BL218" i="3"/>
  <c r="AZ218" i="3"/>
  <c r="BA219" i="3"/>
  <c r="AZ219" i="3"/>
  <c r="BA220" i="3"/>
  <c r="AZ220" i="3"/>
  <c r="BA221" i="3"/>
  <c r="AZ221" i="3"/>
  <c r="BL223" i="3"/>
  <c r="AZ223" i="3"/>
  <c r="BA224" i="3"/>
  <c r="AZ224" i="3"/>
  <c r="BA225" i="3"/>
  <c r="AZ225" i="3"/>
  <c r="G228" i="3"/>
  <c r="G229" i="3"/>
  <c r="G230" i="3"/>
  <c r="BL230" i="3"/>
  <c r="AZ230" i="3"/>
  <c r="G233" i="3"/>
  <c r="G234" i="3"/>
  <c r="BL234" i="3"/>
  <c r="AZ234" i="3"/>
  <c r="BA235" i="3"/>
  <c r="AZ235" i="3"/>
  <c r="BA236" i="3"/>
  <c r="AZ236" i="3"/>
  <c r="BA237" i="3"/>
  <c r="AZ237" i="3"/>
  <c r="BL239" i="3"/>
  <c r="AZ239" i="3"/>
  <c r="BA240" i="3"/>
  <c r="AZ240" i="3"/>
  <c r="BA241" i="3"/>
  <c r="AZ241" i="3"/>
  <c r="G244" i="3"/>
  <c r="G245" i="3"/>
  <c r="G246" i="3"/>
  <c r="BL246" i="3"/>
  <c r="AZ246" i="3"/>
  <c r="G249" i="3"/>
  <c r="G250" i="3"/>
  <c r="BL250" i="3"/>
  <c r="AZ250" i="3"/>
  <c r="BA251" i="3"/>
  <c r="AZ251" i="3"/>
  <c r="BA252" i="3"/>
  <c r="AZ252" i="3"/>
  <c r="BA253" i="3"/>
  <c r="AZ253" i="3"/>
  <c r="BL255" i="3"/>
  <c r="AZ255" i="3"/>
  <c r="BA256" i="3"/>
  <c r="AZ256" i="3"/>
  <c r="BA257" i="3"/>
  <c r="AZ257" i="3"/>
  <c r="G260" i="3"/>
  <c r="G261" i="3"/>
  <c r="G262" i="3"/>
  <c r="BL262" i="3"/>
  <c r="AZ262" i="3"/>
  <c r="G265" i="3"/>
  <c r="G266" i="3"/>
  <c r="BL266" i="3"/>
  <c r="AZ266" i="3"/>
  <c r="BA267" i="3"/>
  <c r="AZ267" i="3"/>
  <c r="BA268" i="3"/>
  <c r="AZ268" i="3"/>
  <c r="BL270" i="3"/>
  <c r="AZ270" i="3"/>
  <c r="BA271" i="3"/>
  <c r="AZ271" i="3"/>
  <c r="BL273" i="3"/>
  <c r="AZ273" i="3"/>
  <c r="G276" i="3"/>
  <c r="G277" i="3"/>
  <c r="BL277" i="3"/>
  <c r="AZ277" i="3"/>
  <c r="G280" i="3"/>
  <c r="BL280" i="3"/>
  <c r="AZ280" i="3"/>
  <c r="BL282" i="3"/>
  <c r="AZ282" i="3"/>
  <c r="BA283" i="3"/>
  <c r="AZ283" i="3"/>
  <c r="BA284" i="3"/>
  <c r="AZ284" i="3"/>
  <c r="BL286" i="3"/>
  <c r="AZ286" i="3"/>
  <c r="BA287" i="3"/>
  <c r="AZ287" i="3"/>
  <c r="BL289" i="3"/>
  <c r="AZ289" i="3"/>
  <c r="G292" i="3"/>
  <c r="G293" i="3"/>
  <c r="BL293" i="3"/>
  <c r="AZ293" i="3"/>
  <c r="BA294" i="3"/>
  <c r="AZ294" i="3"/>
  <c r="BA295" i="3"/>
  <c r="AZ295" i="3"/>
  <c r="G114" i="3"/>
  <c r="G117" i="3"/>
  <c r="BL117" i="3"/>
  <c r="AZ117" i="3"/>
  <c r="BA119" i="3"/>
  <c r="AZ119" i="3"/>
  <c r="BL120" i="3"/>
  <c r="AZ120" i="3"/>
  <c r="G123" i="3"/>
  <c r="BA124" i="3"/>
  <c r="AZ124" i="3"/>
  <c r="G127" i="3"/>
  <c r="G130" i="3"/>
  <c r="G133" i="3"/>
  <c r="BL133" i="3"/>
  <c r="AZ133" i="3"/>
  <c r="BA135" i="3"/>
  <c r="AZ135" i="3"/>
  <c r="BL136" i="3"/>
  <c r="AZ136" i="3"/>
  <c r="G139" i="3"/>
  <c r="BA140" i="3"/>
  <c r="AZ140" i="3"/>
  <c r="G143" i="3"/>
  <c r="G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AZ204" i="3"/>
  <c r="BA21" i="3"/>
  <c r="BL23" i="3"/>
  <c r="AZ23" i="3"/>
  <c r="G26" i="3"/>
  <c r="BL26" i="3"/>
  <c r="AZ26" i="3"/>
  <c r="G29" i="3"/>
  <c r="BL29" i="3"/>
  <c r="AZ29" i="3"/>
  <c r="BA30" i="3"/>
  <c r="AZ30" i="3"/>
  <c r="BA31" i="3"/>
  <c r="AZ31" i="3"/>
  <c r="BA32" i="3"/>
  <c r="AZ32" i="3"/>
  <c r="G35" i="3"/>
  <c r="G36" i="3"/>
  <c r="BL36" i="3"/>
  <c r="AZ36" i="3"/>
  <c r="BA37" i="3"/>
  <c r="AZ37" i="3"/>
  <c r="BL39" i="3"/>
  <c r="AZ39" i="3"/>
  <c r="G42" i="3"/>
  <c r="BL42" i="3"/>
  <c r="AZ42" i="3"/>
  <c r="G45" i="3"/>
  <c r="BL45" i="3"/>
  <c r="AZ45" i="3"/>
  <c r="BA46" i="3"/>
  <c r="AZ46" i="3"/>
  <c r="BA47" i="3"/>
  <c r="AZ47" i="3"/>
  <c r="BA48" i="3"/>
  <c r="AZ48" i="3"/>
  <c r="G51" i="3"/>
  <c r="G52" i="3"/>
  <c r="BL52" i="3"/>
  <c r="AZ52" i="3"/>
  <c r="BA53" i="3"/>
  <c r="AZ53" i="3"/>
  <c r="BL55" i="3"/>
  <c r="AZ55" i="3"/>
  <c r="G58" i="3"/>
  <c r="BL58" i="3"/>
  <c r="AZ58" i="3"/>
  <c r="G61" i="3"/>
  <c r="BL61" i="3"/>
  <c r="AZ61" i="3"/>
  <c r="BA62" i="3"/>
  <c r="AZ62" i="3"/>
  <c r="BA63" i="3"/>
  <c r="AZ63" i="3"/>
  <c r="G66" i="3"/>
  <c r="G67" i="3"/>
  <c r="BL67" i="3"/>
  <c r="AZ67" i="3"/>
  <c r="BA68" i="3"/>
  <c r="AZ68" i="3"/>
  <c r="BL70" i="3"/>
  <c r="AZ70" i="3"/>
  <c r="G73" i="3"/>
  <c r="BL73" i="3"/>
  <c r="G76" i="3"/>
  <c r="BL76" i="3"/>
  <c r="BA77" i="3"/>
  <c r="AZ77" i="3"/>
  <c r="BA78" i="3"/>
  <c r="AZ78" i="3"/>
  <c r="BA79" i="3"/>
  <c r="AZ79" i="3"/>
  <c r="G82" i="3"/>
  <c r="G83" i="3"/>
  <c r="BL83" i="3"/>
  <c r="G86" i="3"/>
  <c r="G87" i="3"/>
  <c r="BL87" i="3"/>
  <c r="AZ87" i="3"/>
  <c r="BA88" i="3"/>
  <c r="AZ88" i="3"/>
  <c r="BL99" i="3"/>
  <c r="AZ99" i="3"/>
  <c r="G101" i="3"/>
  <c r="BL101" i="3"/>
  <c r="G104" i="3"/>
  <c r="BL104" i="3"/>
  <c r="AZ104" i="3"/>
  <c r="BA105" i="3"/>
  <c r="AZ105" i="3"/>
  <c r="BA106" i="3"/>
  <c r="AZ106" i="3"/>
  <c r="BA107" i="3"/>
  <c r="AZ107" i="3"/>
  <c r="C42" i="1"/>
  <c r="C25" i="12"/>
  <c r="J51" i="69"/>
  <c r="C29" i="59"/>
  <c r="D29" i="59"/>
  <c r="D28" i="59"/>
  <c r="E49" i="59"/>
  <c r="U50" i="59"/>
  <c r="U58" i="59"/>
  <c r="E57" i="59"/>
  <c r="E56" i="59"/>
  <c r="D70" i="59"/>
  <c r="C69" i="59"/>
  <c r="N1" i="65"/>
  <c r="H1" i="65"/>
  <c r="P62" i="15"/>
  <c r="P75" i="15"/>
  <c r="X7" i="59"/>
  <c r="AA3" i="59"/>
  <c r="AZ73" i="3"/>
  <c r="AZ76" i="3"/>
  <c r="AZ83" i="3"/>
  <c r="BL89" i="3"/>
  <c r="BL91" i="3"/>
  <c r="AZ91" i="3"/>
  <c r="BA92" i="3"/>
  <c r="AZ92" i="3"/>
  <c r="BL94" i="3"/>
  <c r="AZ94" i="3"/>
  <c r="BA95" i="3"/>
  <c r="AZ95" i="3"/>
  <c r="BL98" i="3"/>
  <c r="AZ98" i="3"/>
  <c r="BA109" i="3"/>
  <c r="AZ109" i="3"/>
  <c r="BA110" i="3"/>
  <c r="AZ110" i="3"/>
  <c r="BL112" i="3"/>
  <c r="AZ112" i="3"/>
  <c r="C31" i="39"/>
  <c r="D42" i="59"/>
  <c r="C22" i="59"/>
  <c r="D37" i="59"/>
  <c r="C33" i="59"/>
  <c r="AB3" i="59"/>
  <c r="Y9" i="59"/>
  <c r="Z9" i="59"/>
  <c r="AA9" i="59"/>
  <c r="AA11" i="59"/>
  <c r="AA10" i="59"/>
  <c r="AA12" i="59"/>
  <c r="AA13" i="59"/>
  <c r="AA14" i="59"/>
  <c r="Y15" i="59"/>
  <c r="Z15" i="59"/>
  <c r="AB15" i="59"/>
  <c r="F16" i="59"/>
  <c r="F17" i="59"/>
  <c r="F18" i="59"/>
  <c r="V18" i="59"/>
  <c r="Y16" i="59"/>
  <c r="Z16" i="59"/>
  <c r="AB16" i="59"/>
  <c r="Y17" i="59"/>
  <c r="Z17" i="59"/>
  <c r="AB17" i="59"/>
  <c r="Y18" i="59"/>
  <c r="Z18" i="59"/>
  <c r="O50" i="59"/>
  <c r="C49" i="59"/>
  <c r="V50" i="59"/>
  <c r="F49" i="59"/>
  <c r="Y8" i="59"/>
  <c r="Z8" i="59"/>
  <c r="Y10" i="59"/>
  <c r="Z10" i="59"/>
  <c r="AB10" i="59"/>
  <c r="AB9" i="59"/>
  <c r="B21" i="63"/>
  <c r="AG10" i="46"/>
  <c r="AG12" i="46"/>
  <c r="AG13" i="46"/>
  <c r="C5" i="59"/>
  <c r="D5" i="59"/>
  <c r="E5" i="59"/>
  <c r="U6" i="59"/>
  <c r="AA8" i="59"/>
  <c r="X9" i="59"/>
  <c r="AB7" i="59"/>
  <c r="X11" i="59"/>
  <c r="Y11" i="59"/>
  <c r="Z11" i="59"/>
  <c r="AB11" i="59"/>
  <c r="Y12" i="59"/>
  <c r="Z12" i="59"/>
  <c r="AB12" i="59"/>
  <c r="Y13" i="59"/>
  <c r="Z13" i="59"/>
  <c r="AB13" i="59"/>
  <c r="Y14" i="59"/>
  <c r="Z14" i="59"/>
  <c r="AB14" i="59"/>
  <c r="X16" i="59"/>
  <c r="AA16" i="59"/>
  <c r="X17" i="59"/>
  <c r="AA17" i="59"/>
  <c r="X18" i="59"/>
  <c r="AA18" i="59"/>
  <c r="X19" i="59"/>
  <c r="AB19" i="59"/>
  <c r="Y20" i="59"/>
  <c r="Z20" i="59"/>
  <c r="AB20" i="59"/>
  <c r="J51" i="15"/>
  <c r="F34" i="15"/>
  <c r="F61" i="15"/>
  <c r="F34" i="69"/>
  <c r="F61" i="69"/>
  <c r="M20" i="69"/>
  <c r="AA23" i="33"/>
  <c r="U30" i="33"/>
  <c r="AC28" i="33"/>
  <c r="S28" i="33"/>
  <c r="U25" i="33"/>
  <c r="AA41" i="33"/>
  <c r="H111" i="33"/>
  <c r="I111" i="33"/>
  <c r="J111" i="33"/>
  <c r="K111" i="33"/>
  <c r="L111" i="33"/>
  <c r="M111" i="33"/>
  <c r="F36" i="33"/>
  <c r="H36" i="33"/>
  <c r="J36" i="33"/>
  <c r="S35" i="33"/>
  <c r="AC35" i="33"/>
  <c r="S43" i="33"/>
  <c r="S39" i="33"/>
  <c r="AB42" i="33"/>
  <c r="W42" i="33"/>
  <c r="AC23" i="33"/>
  <c r="AB23" i="33"/>
  <c r="W19" i="33"/>
  <c r="U19" i="33"/>
  <c r="AA19" i="33"/>
  <c r="AB15" i="33"/>
  <c r="AB17" i="33"/>
  <c r="AA17" i="33"/>
  <c r="W17" i="33"/>
  <c r="AC15" i="33"/>
  <c r="S32" i="33"/>
  <c r="U32" i="33"/>
  <c r="AB41" i="33"/>
  <c r="W41" i="33"/>
  <c r="S38" i="33"/>
  <c r="U38" i="33"/>
  <c r="W38" i="33"/>
  <c r="W34" i="33"/>
  <c r="AC11" i="33"/>
  <c r="AA11" i="33"/>
  <c r="W10" i="33"/>
  <c r="S10" i="33"/>
  <c r="AB10" i="33"/>
  <c r="AC8" i="33"/>
  <c r="W7" i="33"/>
  <c r="U7" i="33"/>
  <c r="AA7" i="33"/>
  <c r="H102" i="46"/>
  <c r="D102" i="46"/>
  <c r="U47" i="39"/>
  <c r="AC47" i="39"/>
  <c r="U42" i="39"/>
  <c r="S42" i="39"/>
  <c r="AA44" i="39"/>
  <c r="AB44" i="39"/>
  <c r="W41" i="39"/>
  <c r="W34" i="39"/>
  <c r="S34" i="39"/>
  <c r="U34" i="39"/>
  <c r="G99" i="39"/>
  <c r="H25" i="39"/>
  <c r="U25" i="39"/>
  <c r="F25" i="39"/>
  <c r="AA25" i="39"/>
  <c r="J25" i="39"/>
  <c r="AC25" i="39"/>
  <c r="G97" i="39"/>
  <c r="J23" i="39"/>
  <c r="AC23" i="39"/>
  <c r="F23" i="39"/>
  <c r="AA23" i="39"/>
  <c r="F101" i="39"/>
  <c r="G101" i="39"/>
  <c r="F27" i="39"/>
  <c r="AA27" i="39"/>
  <c r="J27" i="39"/>
  <c r="AC27" i="39"/>
  <c r="H27" i="39"/>
  <c r="AB27" i="39"/>
  <c r="E11" i="52"/>
  <c r="W33" i="39"/>
  <c r="AB33" i="39"/>
  <c r="S31" i="39"/>
  <c r="AC31" i="39"/>
  <c r="AA14" i="39"/>
  <c r="S14" i="39"/>
  <c r="W16" i="39"/>
  <c r="AB15" i="39"/>
  <c r="AB16" i="39"/>
  <c r="S29" i="39"/>
  <c r="AB29" i="39"/>
  <c r="S27" i="39"/>
  <c r="S25" i="39"/>
  <c r="U23" i="39"/>
  <c r="B74" i="46"/>
  <c r="AC21" i="39"/>
  <c r="AA19" i="39"/>
  <c r="AC17" i="39"/>
  <c r="L16" i="4"/>
  <c r="N16" i="4"/>
  <c r="L59" i="69"/>
  <c r="L58" i="69"/>
  <c r="Q72" i="69"/>
  <c r="L56" i="69"/>
  <c r="J53" i="69"/>
  <c r="J57" i="69"/>
  <c r="J55" i="69"/>
  <c r="J58" i="69"/>
  <c r="Q51" i="69"/>
  <c r="L57" i="69"/>
  <c r="L60" i="69"/>
  <c r="I54" i="69"/>
  <c r="F63" i="69"/>
  <c r="F64" i="69"/>
  <c r="F65" i="69"/>
  <c r="F50" i="69"/>
  <c r="C27" i="69"/>
  <c r="F67" i="69"/>
  <c r="D12" i="11"/>
  <c r="C12" i="11"/>
  <c r="D9" i="12"/>
  <c r="K7" i="1"/>
  <c r="E32" i="6"/>
  <c r="D3" i="21"/>
  <c r="L19" i="6"/>
  <c r="L27" i="6"/>
  <c r="K8" i="1"/>
  <c r="E9" i="12"/>
  <c r="G27" i="6"/>
  <c r="G31" i="6"/>
  <c r="C18" i="9"/>
  <c r="B23" i="52"/>
  <c r="AB10" i="21"/>
  <c r="W9" i="21"/>
  <c r="U9" i="21"/>
  <c r="AA9" i="21"/>
  <c r="C16" i="46"/>
  <c r="C5" i="46"/>
  <c r="K17" i="4"/>
  <c r="A22" i="51"/>
  <c r="B16" i="63"/>
  <c r="D86" i="9"/>
  <c r="F29" i="12"/>
  <c r="F27" i="43"/>
  <c r="C27" i="43"/>
  <c r="B4" i="52"/>
  <c r="G21" i="43"/>
  <c r="G27" i="12"/>
  <c r="G22" i="43"/>
  <c r="M104" i="46"/>
  <c r="I107" i="46"/>
  <c r="M105" i="46"/>
  <c r="I102" i="46"/>
  <c r="H103" i="46"/>
  <c r="D109" i="46"/>
  <c r="H107" i="46"/>
  <c r="D103" i="46"/>
  <c r="D104" i="46"/>
  <c r="H109" i="46"/>
  <c r="H106" i="46"/>
  <c r="H105" i="46"/>
  <c r="D107" i="46"/>
  <c r="D105" i="46"/>
  <c r="O14" i="1"/>
  <c r="P14" i="1"/>
  <c r="O11" i="1"/>
  <c r="P11" i="1"/>
  <c r="E29" i="6"/>
  <c r="K15" i="1"/>
  <c r="M103" i="46"/>
  <c r="I109" i="46"/>
  <c r="M106" i="46"/>
  <c r="M109" i="46"/>
  <c r="M102" i="46"/>
  <c r="I106" i="46"/>
  <c r="I103" i="46"/>
  <c r="I104" i="46"/>
  <c r="B6" i="52"/>
  <c r="E9" i="52"/>
  <c r="E4" i="4"/>
  <c r="B21" i="55"/>
  <c r="B72" i="63"/>
  <c r="B10" i="52"/>
  <c r="E5" i="52"/>
  <c r="B16" i="52"/>
  <c r="E10" i="52"/>
  <c r="B8" i="52"/>
  <c r="B9" i="52"/>
  <c r="B7" i="52"/>
  <c r="E4" i="52"/>
  <c r="E16" i="52"/>
  <c r="C4" i="4"/>
  <c r="B20" i="55"/>
  <c r="B70" i="63"/>
  <c r="B11" i="52"/>
  <c r="E8" i="52"/>
  <c r="B5" i="52"/>
  <c r="B13" i="52"/>
  <c r="B22" i="52"/>
  <c r="E21" i="52"/>
  <c r="B14" i="52"/>
  <c r="E6" i="52"/>
  <c r="E7" i="52"/>
  <c r="L76" i="9"/>
  <c r="C67" i="40"/>
  <c r="D65" i="40"/>
  <c r="F58" i="21"/>
  <c r="G58" i="21"/>
  <c r="H58" i="21"/>
  <c r="I58" i="21"/>
  <c r="J58" i="21"/>
  <c r="K58" i="21"/>
  <c r="L58" i="21"/>
  <c r="M58" i="21"/>
  <c r="N58" i="21"/>
  <c r="O58" i="21"/>
  <c r="F65" i="15"/>
  <c r="F50" i="15"/>
  <c r="L58" i="15"/>
  <c r="L59" i="15"/>
  <c r="C29" i="44"/>
  <c r="F63" i="15"/>
  <c r="Q72" i="15"/>
  <c r="I55" i="44"/>
  <c r="J60" i="44"/>
  <c r="L57" i="44"/>
  <c r="J58" i="44"/>
  <c r="J56" i="44"/>
  <c r="J59" i="44"/>
  <c r="Q52" i="44"/>
  <c r="J61" i="44"/>
  <c r="Q50" i="44"/>
  <c r="Q73" i="44"/>
  <c r="F64" i="15"/>
  <c r="F67" i="15"/>
  <c r="L60" i="44"/>
  <c r="L59" i="44"/>
  <c r="C27" i="15"/>
  <c r="L56" i="15"/>
  <c r="I54" i="15"/>
  <c r="J57" i="15"/>
  <c r="J55" i="15"/>
  <c r="J58" i="15"/>
  <c r="Q51" i="15"/>
  <c r="H52" i="37"/>
  <c r="I52" i="37"/>
  <c r="J52" i="37"/>
  <c r="K52" i="37"/>
  <c r="L52" i="37"/>
  <c r="M52" i="37"/>
  <c r="N52" i="37"/>
  <c r="O52" i="37"/>
  <c r="G46" i="36"/>
  <c r="E48" i="35"/>
  <c r="H22" i="46"/>
  <c r="AE11" i="46"/>
  <c r="AI11" i="46"/>
  <c r="AA11" i="46"/>
  <c r="C23" i="46"/>
  <c r="C21" i="46"/>
  <c r="AH11" i="46"/>
  <c r="AH13" i="46"/>
  <c r="AD11" i="46"/>
  <c r="AD13" i="46"/>
  <c r="Z11" i="46"/>
  <c r="Z13" i="46"/>
  <c r="F101" i="46"/>
  <c r="N101" i="46"/>
  <c r="K101" i="46"/>
  <c r="Z7" i="46"/>
  <c r="E101" i="46"/>
  <c r="F22" i="46"/>
  <c r="L101" i="46"/>
  <c r="N104" i="45"/>
  <c r="B113" i="46"/>
  <c r="J101" i="46"/>
  <c r="G101" i="46"/>
  <c r="C101" i="46"/>
  <c r="AB11" i="46"/>
  <c r="AB13" i="46"/>
  <c r="O9" i="1"/>
  <c r="P9" i="1"/>
  <c r="I14" i="66"/>
  <c r="B8" i="66"/>
  <c r="O41" i="9"/>
  <c r="R8" i="54"/>
  <c r="B54" i="63"/>
  <c r="O39" i="9"/>
  <c r="R6" i="54"/>
  <c r="B50" i="63"/>
  <c r="O10" i="1"/>
  <c r="P10" i="1"/>
  <c r="H7" i="37"/>
  <c r="F7" i="37"/>
  <c r="F59" i="34"/>
  <c r="AZ299" i="3"/>
  <c r="AZ377" i="3"/>
  <c r="AZ520" i="3"/>
  <c r="S33" i="40"/>
  <c r="AC14" i="40"/>
  <c r="F71" i="9"/>
  <c r="F66" i="9"/>
  <c r="P72" i="9"/>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c r="AZ186" i="3"/>
  <c r="AZ194" i="3"/>
  <c r="AZ22" i="3"/>
  <c r="AZ33" i="3"/>
  <c r="AZ38" i="3"/>
  <c r="AZ49" i="3"/>
  <c r="AZ54" i="3"/>
  <c r="AZ64" i="3"/>
  <c r="AZ69" i="3"/>
  <c r="AZ80" i="3"/>
  <c r="AZ89" i="3"/>
  <c r="AZ101" i="3"/>
  <c r="D1" i="57"/>
  <c r="E10" i="57"/>
  <c r="T46" i="59"/>
  <c r="D46" i="59"/>
  <c r="T38" i="59"/>
  <c r="D38" i="59"/>
  <c r="B54" i="46"/>
  <c r="C27" i="40"/>
  <c r="S27" i="40"/>
  <c r="S21" i="34"/>
  <c r="X15" i="59"/>
  <c r="B16" i="59"/>
  <c r="B17" i="59"/>
  <c r="B18" i="59"/>
  <c r="S18" i="59"/>
  <c r="K13" i="1"/>
  <c r="M13" i="1"/>
  <c r="K12" i="1"/>
  <c r="J53" i="15"/>
  <c r="D100" i="46"/>
  <c r="D23" i="15"/>
  <c r="F12" i="59"/>
  <c r="F13" i="59"/>
  <c r="F14" i="59"/>
  <c r="V14" i="59"/>
  <c r="S10" i="59"/>
  <c r="B9" i="59"/>
  <c r="B8" i="59"/>
  <c r="AA6" i="59"/>
  <c r="E10" i="59"/>
  <c r="A28" i="64"/>
  <c r="AA12" i="46"/>
  <c r="AE12" i="46"/>
  <c r="AE13" i="46"/>
  <c r="AI12" i="46"/>
  <c r="Y5" i="59"/>
  <c r="Z5" i="59"/>
  <c r="J54" i="44"/>
  <c r="AA5" i="59"/>
  <c r="X14" i="59"/>
  <c r="C16" i="59"/>
  <c r="AA15" i="59"/>
  <c r="AB18" i="59"/>
  <c r="Y19" i="59"/>
  <c r="Z19" i="59"/>
  <c r="E20" i="59"/>
  <c r="E21" i="59"/>
  <c r="E22" i="59"/>
  <c r="U22" i="59"/>
  <c r="F20" i="59"/>
  <c r="F21" i="59"/>
  <c r="F22" i="59"/>
  <c r="V22" i="59"/>
  <c r="X20" i="59"/>
  <c r="AA20" i="59"/>
  <c r="Y6" i="59"/>
  <c r="Z6" i="59"/>
  <c r="C10" i="59"/>
  <c r="AB6" i="59"/>
  <c r="F10" i="59"/>
  <c r="X6" i="59"/>
  <c r="AB5" i="59"/>
  <c r="X5" i="59"/>
  <c r="K76" i="9"/>
  <c r="K77" i="9"/>
  <c r="K79" i="9"/>
  <c r="K81" i="9"/>
  <c r="M17" i="15"/>
  <c r="M19" i="44"/>
  <c r="F58" i="15"/>
  <c r="M29" i="15"/>
  <c r="N7" i="65"/>
  <c r="M31" i="44"/>
  <c r="F43" i="15"/>
  <c r="F43" i="69"/>
  <c r="F7" i="15"/>
  <c r="N3" i="65"/>
  <c r="F9" i="44"/>
  <c r="M29" i="69"/>
  <c r="F7" i="69"/>
  <c r="W25" i="39"/>
  <c r="AB25" i="39"/>
  <c r="AZ111" i="3"/>
  <c r="AZ108" i="3"/>
  <c r="AZ93" i="3"/>
  <c r="AZ84" i="3"/>
  <c r="AZ59" i="3"/>
  <c r="AZ40" i="3"/>
  <c r="AZ27" i="3"/>
  <c r="AZ121" i="3"/>
  <c r="AZ263" i="3"/>
  <c r="AZ231" i="3"/>
  <c r="AZ436" i="3"/>
  <c r="AZ406" i="3"/>
  <c r="AZ393" i="3"/>
  <c r="W9" i="35"/>
  <c r="AC9" i="35"/>
  <c r="E70" i="39"/>
  <c r="D72" i="39"/>
  <c r="C14" i="59"/>
  <c r="D13" i="59"/>
  <c r="AA15" i="33"/>
  <c r="S15" i="33"/>
  <c r="AA12" i="35"/>
  <c r="S12" i="35"/>
  <c r="R22" i="31"/>
  <c r="B21" i="31"/>
  <c r="B20" i="31"/>
  <c r="M86" i="9"/>
  <c r="N86" i="9"/>
  <c r="M88" i="9"/>
  <c r="N88" i="9"/>
  <c r="M85" i="9"/>
  <c r="N85" i="9"/>
  <c r="M84" i="9"/>
  <c r="N84" i="9"/>
  <c r="M87" i="9"/>
  <c r="N87" i="9"/>
  <c r="M83" i="9"/>
  <c r="N83" i="9"/>
  <c r="N89" i="9"/>
  <c r="O89" i="9"/>
  <c r="K31" i="9"/>
  <c r="K32" i="9"/>
  <c r="R7" i="54"/>
  <c r="B52" i="63"/>
  <c r="Q49" i="59"/>
  <c r="F48" i="59"/>
  <c r="O49" i="59"/>
  <c r="C48" i="59"/>
  <c r="D49" i="59"/>
  <c r="C34" i="59"/>
  <c r="D33" i="59"/>
  <c r="D22" i="59"/>
  <c r="T22" i="59"/>
  <c r="P49" i="59"/>
  <c r="E48" i="59"/>
  <c r="G5" i="3"/>
  <c r="B3" i="3"/>
  <c r="E543" i="3"/>
  <c r="E14" i="6"/>
  <c r="E15" i="6"/>
  <c r="E13" i="6"/>
  <c r="E12" i="6"/>
  <c r="E10" i="6"/>
  <c r="E11" i="6"/>
  <c r="L71" i="71"/>
  <c r="L72" i="71"/>
  <c r="L73" i="71"/>
  <c r="C33" i="33"/>
  <c r="F27" i="6"/>
  <c r="F31" i="6"/>
  <c r="C30" i="44"/>
  <c r="BL5" i="3"/>
  <c r="C28" i="69"/>
  <c r="H7" i="21"/>
  <c r="W23" i="39"/>
  <c r="W27" i="39"/>
  <c r="D69" i="59"/>
  <c r="C68" i="59"/>
  <c r="D68" i="59"/>
  <c r="E104" i="3"/>
  <c r="E101" i="3"/>
  <c r="E82" i="3"/>
  <c r="E66" i="3"/>
  <c r="E61" i="3"/>
  <c r="E58" i="3"/>
  <c r="E26" i="3"/>
  <c r="AZ21" i="3"/>
  <c r="BA5" i="3"/>
  <c r="E193" i="3"/>
  <c r="E179" i="3"/>
  <c r="E154" i="3"/>
  <c r="E146" i="3"/>
  <c r="E293" i="3"/>
  <c r="E262" i="3"/>
  <c r="E260" i="3"/>
  <c r="E233" i="3"/>
  <c r="E230" i="3"/>
  <c r="E381" i="3"/>
  <c r="E315" i="3"/>
  <c r="E301" i="3"/>
  <c r="E480" i="3"/>
  <c r="E463" i="3"/>
  <c r="E438" i="3"/>
  <c r="E433" i="3"/>
  <c r="E414" i="3"/>
  <c r="E403" i="3"/>
  <c r="E400" i="3"/>
  <c r="E389" i="3"/>
  <c r="E500" i="3"/>
  <c r="E520" i="3"/>
  <c r="E535" i="3"/>
  <c r="E555" i="3"/>
  <c r="E19" i="6"/>
  <c r="C28" i="15"/>
  <c r="W37" i="21"/>
  <c r="AC37" i="21"/>
  <c r="C31" i="43"/>
  <c r="W36" i="33"/>
  <c r="AC36" i="33"/>
  <c r="S36" i="33"/>
  <c r="AA36" i="33"/>
  <c r="AB36" i="33"/>
  <c r="U36" i="33"/>
  <c r="C8" i="44"/>
  <c r="M9" i="44"/>
  <c r="J8" i="44"/>
  <c r="S23" i="39"/>
  <c r="U27" i="39"/>
  <c r="Q58" i="69"/>
  <c r="Q67" i="69"/>
  <c r="Q74" i="69"/>
  <c r="Q61" i="69"/>
  <c r="F1" i="69"/>
  <c r="Q53" i="69"/>
  <c r="Q62" i="69"/>
  <c r="Q75" i="69"/>
  <c r="F70" i="69"/>
  <c r="F49" i="69"/>
  <c r="C48" i="69"/>
  <c r="M7" i="69"/>
  <c r="J6" i="69"/>
  <c r="C6" i="69"/>
  <c r="F70" i="15"/>
  <c r="F49" i="15"/>
  <c r="C48" i="15"/>
  <c r="M7" i="15"/>
  <c r="J6" i="15"/>
  <c r="C6" i="15"/>
  <c r="M8" i="1"/>
  <c r="C15" i="43"/>
  <c r="M7" i="1"/>
  <c r="M43" i="9"/>
  <c r="D18" i="9"/>
  <c r="M44" i="9"/>
  <c r="AI13" i="46"/>
  <c r="D22" i="46"/>
  <c r="E30" i="6"/>
  <c r="AA13" i="46"/>
  <c r="J7" i="21"/>
  <c r="F7" i="21"/>
  <c r="E65" i="40"/>
  <c r="D67" i="40"/>
  <c r="AB7" i="21"/>
  <c r="T48" i="21"/>
  <c r="G48" i="21"/>
  <c r="U7" i="21"/>
  <c r="F1" i="44"/>
  <c r="Q54" i="44"/>
  <c r="U10" i="59"/>
  <c r="E9" i="59"/>
  <c r="E8" i="59"/>
  <c r="F1" i="15"/>
  <c r="Q53" i="15"/>
  <c r="AB9" i="33"/>
  <c r="U9" i="33"/>
  <c r="S7" i="37"/>
  <c r="AA7" i="37"/>
  <c r="R42" i="37"/>
  <c r="C104" i="46"/>
  <c r="C107" i="46"/>
  <c r="C102" i="46"/>
  <c r="C106" i="46"/>
  <c r="C103" i="46"/>
  <c r="C105" i="46"/>
  <c r="C109" i="46"/>
  <c r="J107" i="46"/>
  <c r="J102" i="46"/>
  <c r="J104" i="46"/>
  <c r="J105" i="46"/>
  <c r="J109" i="46"/>
  <c r="J103" i="46"/>
  <c r="J106" i="46"/>
  <c r="F9" i="59"/>
  <c r="F8" i="59"/>
  <c r="V10" i="59"/>
  <c r="D10" i="59"/>
  <c r="T10" i="59"/>
  <c r="C9" i="59"/>
  <c r="D16" i="59"/>
  <c r="C17" i="59"/>
  <c r="M12" i="1"/>
  <c r="AZ5" i="3"/>
  <c r="AB24" i="36"/>
  <c r="U24" i="36"/>
  <c r="AA9" i="36"/>
  <c r="S9" i="36"/>
  <c r="AA9" i="33"/>
  <c r="S9" i="33"/>
  <c r="G59" i="34"/>
  <c r="U7" i="37"/>
  <c r="AB7" i="37"/>
  <c r="T42" i="37"/>
  <c r="G42" i="37"/>
  <c r="G102" i="46"/>
  <c r="G103" i="46"/>
  <c r="G106" i="46"/>
  <c r="G104" i="46"/>
  <c r="G107" i="46"/>
  <c r="G109" i="46"/>
  <c r="G105" i="46"/>
  <c r="I116" i="46"/>
  <c r="J116" i="46"/>
  <c r="K116" i="46"/>
  <c r="L116" i="46"/>
  <c r="M116" i="46"/>
  <c r="D118" i="46"/>
  <c r="E118" i="46"/>
  <c r="F118" i="46"/>
  <c r="B117" i="46"/>
  <c r="C117" i="46"/>
  <c r="D115" i="46"/>
  <c r="E115" i="46"/>
  <c r="F115" i="46"/>
  <c r="G115" i="46"/>
  <c r="H115" i="46"/>
  <c r="I118" i="46"/>
  <c r="J118" i="46"/>
  <c r="K118" i="46"/>
  <c r="L118" i="46"/>
  <c r="M118" i="46"/>
  <c r="D116" i="46"/>
  <c r="E116" i="46"/>
  <c r="F116" i="46"/>
  <c r="G116" i="46"/>
  <c r="H116" i="46"/>
  <c r="B118" i="46"/>
  <c r="C118" i="46"/>
  <c r="I115" i="46"/>
  <c r="J115" i="46"/>
  <c r="K115" i="46"/>
  <c r="L115" i="46"/>
  <c r="M115"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c r="AB9" i="36"/>
  <c r="U9" i="36"/>
  <c r="N105" i="46"/>
  <c r="N102" i="46"/>
  <c r="N107" i="46"/>
  <c r="N103" i="46"/>
  <c r="N106" i="46"/>
  <c r="N109" i="46"/>
  <c r="N104" i="46"/>
  <c r="H46" i="36"/>
  <c r="Q75" i="44"/>
  <c r="Q62" i="44"/>
  <c r="Q61" i="15"/>
  <c r="Q74" i="15"/>
  <c r="J5" i="65"/>
  <c r="F41" i="15"/>
  <c r="J3" i="65"/>
  <c r="AE8" i="1"/>
  <c r="N6" i="65"/>
  <c r="J4" i="65"/>
  <c r="C18" i="44"/>
  <c r="I7" i="65"/>
  <c r="I5" i="65"/>
  <c r="J6" i="65"/>
  <c r="I6" i="65"/>
  <c r="C16" i="69"/>
  <c r="N4" i="65"/>
  <c r="C16" i="15"/>
  <c r="F41" i="69"/>
  <c r="I4" i="65"/>
  <c r="AE7" i="1"/>
  <c r="I3" i="65"/>
  <c r="J7" i="65"/>
  <c r="N5" i="65"/>
  <c r="T14" i="59"/>
  <c r="D14" i="59"/>
  <c r="F70" i="39"/>
  <c r="E72" i="39"/>
  <c r="E16" i="6"/>
  <c r="E20" i="46"/>
  <c r="I1" i="65"/>
  <c r="J1" i="65"/>
  <c r="C4" i="65"/>
  <c r="B39" i="1"/>
  <c r="D3" i="33"/>
  <c r="K6" i="1"/>
  <c r="C9" i="12"/>
  <c r="E60" i="40"/>
  <c r="E65" i="39"/>
  <c r="E66" i="39"/>
  <c r="E61" i="40"/>
  <c r="E86" i="3"/>
  <c r="E23" i="3"/>
  <c r="E41" i="3"/>
  <c r="E471" i="3"/>
  <c r="E59" i="3"/>
  <c r="E418" i="3"/>
  <c r="E270" i="3"/>
  <c r="E408" i="3"/>
  <c r="E92" i="3"/>
  <c r="E238" i="3"/>
  <c r="E209" i="3"/>
  <c r="E161" i="3"/>
  <c r="E44" i="3"/>
  <c r="E450" i="3"/>
  <c r="E202" i="3"/>
  <c r="E492" i="3"/>
  <c r="E186" i="3"/>
  <c r="E124" i="3"/>
  <c r="E311" i="3"/>
  <c r="E222" i="3"/>
  <c r="E263" i="3"/>
  <c r="E388" i="3"/>
  <c r="E424" i="3"/>
  <c r="E430" i="3"/>
  <c r="E164" i="3"/>
  <c r="E77" i="3"/>
  <c r="E99" i="3"/>
  <c r="E552" i="3"/>
  <c r="E57" i="3"/>
  <c r="E274" i="3"/>
  <c r="E32" i="3"/>
  <c r="E547" i="3"/>
  <c r="E426" i="3"/>
  <c r="E447" i="3"/>
  <c r="E60" i="3"/>
  <c r="E33" i="3"/>
  <c r="E75" i="3"/>
  <c r="Q6" i="3"/>
  <c r="E178" i="3"/>
  <c r="E119" i="3"/>
  <c r="J6" i="3"/>
  <c r="E48" i="3"/>
  <c r="E97" i="3"/>
  <c r="AE6" i="3"/>
  <c r="E455" i="3"/>
  <c r="W6" i="3"/>
  <c r="E190" i="3"/>
  <c r="E560" i="3"/>
  <c r="E420" i="3"/>
  <c r="E111" i="3"/>
  <c r="E39" i="3"/>
  <c r="E402" i="3"/>
  <c r="E107" i="3"/>
  <c r="E172" i="3"/>
  <c r="E288" i="3"/>
  <c r="E255" i="3"/>
  <c r="E393" i="3"/>
  <c r="E417" i="3"/>
  <c r="E88" i="3"/>
  <c r="E145" i="3"/>
  <c r="E279" i="3"/>
  <c r="E220" i="3"/>
  <c r="E347" i="3"/>
  <c r="E517" i="3"/>
  <c r="AQ6" i="3"/>
  <c r="E197" i="3"/>
  <c r="E162" i="3"/>
  <c r="E285" i="3"/>
  <c r="E235" i="3"/>
  <c r="E120" i="3"/>
  <c r="E529" i="3"/>
  <c r="E191" i="3"/>
  <c r="E300" i="3"/>
  <c r="E379" i="3"/>
  <c r="E355" i="3"/>
  <c r="E530" i="3"/>
  <c r="E499" i="3"/>
  <c r="E538" i="3"/>
  <c r="E558" i="3"/>
  <c r="E436" i="3"/>
  <c r="E177"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71" i="3"/>
  <c r="E137" i="3"/>
  <c r="E240" i="3"/>
  <c r="E382" i="3"/>
  <c r="E484" i="3"/>
  <c r="E326" i="3"/>
  <c r="E356" i="3"/>
  <c r="E481" i="3"/>
  <c r="AO6" i="3"/>
  <c r="E283" i="3"/>
  <c r="AN6" i="3"/>
  <c r="E194" i="3"/>
  <c r="E49" i="3"/>
  <c r="AM6" i="3"/>
  <c r="E427" i="3"/>
  <c r="E78" i="3"/>
  <c r="E337" i="3"/>
  <c r="E278" i="3"/>
  <c r="E390" i="3"/>
  <c r="E158" i="3"/>
  <c r="E94" i="3"/>
  <c r="E296" i="3"/>
  <c r="E534" i="3"/>
  <c r="E472" i="3"/>
  <c r="AA6" i="3"/>
  <c r="AD6" i="3"/>
  <c r="E299" i="3"/>
  <c r="E215" i="3"/>
  <c r="E327" i="3"/>
  <c r="I6" i="3"/>
  <c r="E103" i="3"/>
  <c r="E548" i="3"/>
  <c r="E200" i="3"/>
  <c r="Z6" i="3"/>
  <c r="E62" i="3"/>
  <c r="E454" i="3"/>
  <c r="AK6" i="3"/>
  <c r="E223" i="3"/>
  <c r="E441" i="3"/>
  <c r="E205" i="3"/>
  <c r="E367" i="3"/>
  <c r="E478" i="3"/>
  <c r="E80" i="3"/>
  <c r="E317" i="3"/>
  <c r="E28" i="3"/>
  <c r="E357" i="3"/>
  <c r="E141" i="3"/>
  <c r="E168" i="3"/>
  <c r="AS6" i="3"/>
  <c r="E34" i="3"/>
  <c r="E444" i="3"/>
  <c r="E407" i="3"/>
  <c r="E383" i="3"/>
  <c r="E550" i="3"/>
  <c r="E232" i="3"/>
  <c r="E533" i="3"/>
  <c r="E189" i="3"/>
  <c r="E37" i="3"/>
  <c r="E507" i="3"/>
  <c r="E303" i="3"/>
  <c r="E275" i="3"/>
  <c r="AT6" i="3"/>
  <c r="L6" i="3"/>
  <c r="E467" i="3"/>
  <c r="E429" i="3"/>
  <c r="E116" i="3"/>
  <c r="E372" i="3"/>
  <c r="E486" i="3"/>
  <c r="E465" i="3"/>
  <c r="E264" i="3"/>
  <c r="E243" i="3"/>
  <c r="E369" i="3"/>
  <c r="E309" i="3"/>
  <c r="V6" i="3"/>
  <c r="E448" i="3"/>
  <c r="E105" i="3"/>
  <c r="E74" i="3"/>
  <c r="AG6" i="3"/>
  <c r="E121" i="3"/>
  <c r="E505" i="3"/>
  <c r="E224" i="3"/>
  <c r="E419" i="3"/>
  <c r="E302" i="3"/>
  <c r="E287" i="3"/>
  <c r="E24" i="3"/>
  <c r="E188" i="3"/>
  <c r="E271" i="3"/>
  <c r="E306" i="3"/>
  <c r="E508" i="3"/>
  <c r="E180" i="3"/>
  <c r="E493" i="3"/>
  <c r="E551" i="3"/>
  <c r="E108" i="3"/>
  <c r="E81" i="3"/>
  <c r="E16" i="3"/>
  <c r="E385" i="3"/>
  <c r="E524" i="3"/>
  <c r="E95" i="3"/>
  <c r="E19" i="3"/>
  <c r="E498" i="3"/>
  <c r="E298" i="3"/>
  <c r="E361" i="3"/>
  <c r="E182" i="3"/>
  <c r="E267" i="3"/>
  <c r="E323" i="3"/>
  <c r="E312" i="3"/>
  <c r="E159" i="3"/>
  <c r="E514" i="3"/>
  <c r="E501" i="3"/>
  <c r="E512" i="3"/>
  <c r="E384" i="3"/>
  <c r="E371" i="3"/>
  <c r="E310" i="3"/>
  <c r="E567" i="3"/>
  <c r="E487" i="3"/>
  <c r="E329" i="3"/>
  <c r="AB6" i="3"/>
  <c r="S6" i="3"/>
  <c r="E322" i="3"/>
  <c r="E17" i="3"/>
  <c r="E377" i="3"/>
  <c r="E18" i="3"/>
  <c r="E358" i="3"/>
  <c r="E509" i="3"/>
  <c r="E20" i="3"/>
  <c r="E265" i="3"/>
  <c r="E443" i="3"/>
  <c r="E395" i="3"/>
  <c r="E47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56" i="3"/>
  <c r="E250" i="3"/>
  <c r="E411" i="3"/>
  <c r="E297" i="3"/>
  <c r="M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H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15" i="3"/>
  <c r="E453" i="3"/>
  <c r="E386" i="3"/>
  <c r="E214" i="3"/>
  <c r="E229" i="3"/>
  <c r="E246" i="3"/>
  <c r="E266" i="3"/>
  <c r="E280" i="3"/>
  <c r="E123" i="3"/>
  <c r="E143" i="3"/>
  <c r="E173" i="3"/>
  <c r="E35" i="3"/>
  <c r="E76" i="3"/>
  <c r="P47" i="59"/>
  <c r="P48" i="59"/>
  <c r="T34" i="59"/>
  <c r="D34" i="59"/>
  <c r="O48" i="59"/>
  <c r="D48" i="59"/>
  <c r="O47" i="59"/>
  <c r="Q48" i="59"/>
  <c r="Q47" i="59"/>
  <c r="E27" i="6"/>
  <c r="K19" i="6"/>
  <c r="J33" i="33"/>
  <c r="F33" i="33"/>
  <c r="H33" i="33"/>
  <c r="E58" i="40"/>
  <c r="E63" i="39"/>
  <c r="E64" i="39"/>
  <c r="E59" i="40"/>
  <c r="E62" i="40"/>
  <c r="E67" i="39"/>
  <c r="E564" i="3"/>
  <c r="E511" i="3"/>
  <c r="E399" i="3"/>
  <c r="E434" i="3"/>
  <c r="E464" i="3"/>
  <c r="E212" i="3"/>
  <c r="E217" i="3"/>
  <c r="E244" i="3"/>
  <c r="E261" i="3"/>
  <c r="E277" i="3"/>
  <c r="E292" i="3"/>
  <c r="E127" i="3"/>
  <c r="E157" i="3"/>
  <c r="E203" i="3"/>
  <c r="E67" i="3"/>
  <c r="E83" i="3"/>
  <c r="O7" i="1"/>
  <c r="P7" i="1"/>
  <c r="O8" i="1"/>
  <c r="P8" i="1"/>
  <c r="F68" i="69"/>
  <c r="F68" i="15"/>
  <c r="S7" i="1"/>
  <c r="S8" i="1"/>
  <c r="S6" i="46"/>
  <c r="S2" i="46"/>
  <c r="S7" i="46"/>
  <c r="S5" i="46"/>
  <c r="S3" i="46"/>
  <c r="S4" i="46"/>
  <c r="S7" i="21"/>
  <c r="AA7" i="21"/>
  <c r="R48" i="21"/>
  <c r="G52" i="21"/>
  <c r="H52" i="21"/>
  <c r="E67" i="40"/>
  <c r="F65" i="40"/>
  <c r="W7" i="21"/>
  <c r="AC7" i="21"/>
  <c r="V48" i="21"/>
  <c r="I48" i="21"/>
  <c r="I46" i="36"/>
  <c r="W7" i="37"/>
  <c r="AC7" i="37"/>
  <c r="V42" i="37"/>
  <c r="I42" i="37"/>
  <c r="G48" i="35"/>
  <c r="G47" i="37"/>
  <c r="H47" i="37"/>
  <c r="G46" i="37"/>
  <c r="H46" i="37"/>
  <c r="E3" i="6"/>
  <c r="AY6" i="3"/>
  <c r="O12" i="1"/>
  <c r="C115" i="46"/>
  <c r="D113" i="46"/>
  <c r="H59" i="34"/>
  <c r="I59" i="34"/>
  <c r="J59" i="34"/>
  <c r="K59" i="34"/>
  <c r="L59" i="34"/>
  <c r="M59" i="34"/>
  <c r="N59" i="34"/>
  <c r="O59" i="34"/>
  <c r="C18" i="59"/>
  <c r="D17" i="59"/>
  <c r="C8" i="59"/>
  <c r="D9" i="59"/>
  <c r="E42" i="37"/>
  <c r="R43" i="37"/>
  <c r="C17" i="69"/>
  <c r="F46" i="44"/>
  <c r="C19" i="44"/>
  <c r="C17" i="15"/>
  <c r="E3" i="65"/>
  <c r="E2" i="65"/>
  <c r="H7" i="34"/>
  <c r="F72" i="39"/>
  <c r="G70" i="39"/>
  <c r="S6" i="1"/>
  <c r="M19" i="6"/>
  <c r="B40" i="1"/>
  <c r="F17" i="11"/>
  <c r="C17" i="11"/>
  <c r="J7" i="34"/>
  <c r="AB33" i="33"/>
  <c r="T48" i="33"/>
  <c r="G48" i="33"/>
  <c r="U33" i="33"/>
  <c r="AC33" i="33"/>
  <c r="V48" i="33"/>
  <c r="I48" i="33"/>
  <c r="I52" i="33"/>
  <c r="J52" i="33"/>
  <c r="W33" i="33"/>
  <c r="AC6" i="3"/>
  <c r="E6" i="3"/>
  <c r="M6" i="1"/>
  <c r="G16" i="1"/>
  <c r="Q16" i="1"/>
  <c r="K16" i="1"/>
  <c r="AP16" i="1"/>
  <c r="F22" i="11"/>
  <c r="H16" i="1"/>
  <c r="F11" i="69"/>
  <c r="F13" i="44"/>
  <c r="C12" i="44"/>
  <c r="C7" i="44"/>
  <c r="C40" i="44"/>
  <c r="M13" i="44"/>
  <c r="J12" i="44"/>
  <c r="J7" i="44"/>
  <c r="M11" i="69"/>
  <c r="J10" i="69"/>
  <c r="J5" i="69"/>
  <c r="J24" i="69"/>
  <c r="F11" i="15"/>
  <c r="M11" i="15"/>
  <c r="J10" i="15"/>
  <c r="J5" i="15"/>
  <c r="J18" i="15"/>
  <c r="AA33" i="33"/>
  <c r="R48" i="33"/>
  <c r="S33" i="33"/>
  <c r="K26" i="6"/>
  <c r="M26" i="6"/>
  <c r="I26" i="6"/>
  <c r="S26" i="6"/>
  <c r="K22" i="6"/>
  <c r="M22" i="6"/>
  <c r="I22" i="6"/>
  <c r="S22" i="6"/>
  <c r="K23" i="6"/>
  <c r="M23" i="6"/>
  <c r="I23" i="6"/>
  <c r="S23" i="6"/>
  <c r="K25" i="6"/>
  <c r="M25" i="6"/>
  <c r="I25" i="6"/>
  <c r="S25" i="6"/>
  <c r="K24" i="6"/>
  <c r="M24" i="6"/>
  <c r="I24" i="6"/>
  <c r="S24" i="6"/>
  <c r="K21" i="6"/>
  <c r="M21" i="6"/>
  <c r="I21" i="6"/>
  <c r="S21" i="6"/>
  <c r="K20" i="6"/>
  <c r="E31" i="6"/>
  <c r="O17" i="46"/>
  <c r="P17" i="46"/>
  <c r="M17" i="46"/>
  <c r="N17" i="46"/>
  <c r="S16" i="1"/>
  <c r="T6" i="1"/>
  <c r="I19" i="6"/>
  <c r="I52" i="21"/>
  <c r="J52" i="21"/>
  <c r="F67" i="40"/>
  <c r="G65" i="40"/>
  <c r="R49" i="21"/>
  <c r="E48" i="21"/>
  <c r="I53" i="21"/>
  <c r="J53" i="21"/>
  <c r="G53" i="21"/>
  <c r="H53" i="21"/>
  <c r="C43" i="37"/>
  <c r="B3" i="37"/>
  <c r="B2" i="37"/>
  <c r="C42" i="37"/>
  <c r="W7" i="34"/>
  <c r="AC7" i="34"/>
  <c r="V49" i="34"/>
  <c r="I49" i="34"/>
  <c r="P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c r="E47" i="37"/>
  <c r="F47" i="37"/>
  <c r="D8" i="59"/>
  <c r="T18" i="59"/>
  <c r="D18" i="59"/>
  <c r="M20" i="46"/>
  <c r="C19" i="46"/>
  <c r="AB7" i="34"/>
  <c r="T49" i="34"/>
  <c r="G49" i="34"/>
  <c r="U7" i="34"/>
  <c r="D16" i="43"/>
  <c r="C16" i="43"/>
  <c r="D16" i="12"/>
  <c r="E6" i="6"/>
  <c r="L38" i="9"/>
  <c r="D45" i="9"/>
  <c r="D46" i="9"/>
  <c r="C21" i="4"/>
  <c r="O5" i="54"/>
  <c r="B45" i="63"/>
  <c r="D10" i="11"/>
  <c r="D44" i="9"/>
  <c r="I46" i="37"/>
  <c r="J46" i="37"/>
  <c r="I47" i="37"/>
  <c r="J47" i="37"/>
  <c r="J46" i="36"/>
  <c r="F7" i="34"/>
  <c r="L52" i="44"/>
  <c r="H70" i="39"/>
  <c r="G72" i="39"/>
  <c r="J24" i="15"/>
  <c r="C34" i="44"/>
  <c r="J26" i="15"/>
  <c r="J29" i="15"/>
  <c r="J18" i="69"/>
  <c r="J26" i="69"/>
  <c r="J29" i="69"/>
  <c r="L58" i="44"/>
  <c r="L61" i="44"/>
  <c r="L47" i="44"/>
  <c r="Q69" i="44"/>
  <c r="H12" i="40"/>
  <c r="H12" i="39"/>
  <c r="J12" i="40"/>
  <c r="F12" i="40"/>
  <c r="F12" i="39"/>
  <c r="J12" i="39"/>
  <c r="G52" i="33"/>
  <c r="H52" i="33"/>
  <c r="G53" i="33"/>
  <c r="H53" i="33"/>
  <c r="M20" i="6"/>
  <c r="K27" i="6"/>
  <c r="R49" i="33"/>
  <c r="E48" i="33"/>
  <c r="C52" i="15"/>
  <c r="C47" i="15"/>
  <c r="C10" i="15"/>
  <c r="C5" i="15"/>
  <c r="J26" i="44"/>
  <c r="J20" i="44"/>
  <c r="J28" i="44"/>
  <c r="J31" i="44"/>
  <c r="Q49" i="44"/>
  <c r="Q55" i="44"/>
  <c r="C10" i="69"/>
  <c r="C5" i="69"/>
  <c r="C52" i="69"/>
  <c r="C47" i="69"/>
  <c r="F24" i="43"/>
  <c r="C26" i="43"/>
  <c r="D24" i="43"/>
  <c r="F33" i="12"/>
  <c r="C34" i="12"/>
  <c r="D33" i="12"/>
  <c r="F18" i="11"/>
  <c r="C18" i="11"/>
  <c r="C19" i="11"/>
  <c r="C20" i="11"/>
  <c r="C21" i="11"/>
  <c r="C22" i="11"/>
  <c r="C23" i="11"/>
  <c r="B2" i="11"/>
  <c r="B3" i="11"/>
  <c r="O6" i="1"/>
  <c r="O16" i="1"/>
  <c r="M16" i="1"/>
  <c r="F24" i="69"/>
  <c r="C24" i="69"/>
  <c r="F24" i="15"/>
  <c r="C24" i="15"/>
  <c r="F26" i="12"/>
  <c r="C27" i="12"/>
  <c r="D26" i="12"/>
  <c r="C32" i="12"/>
  <c r="D30" i="12"/>
  <c r="F26" i="44"/>
  <c r="C26" i="44"/>
  <c r="F21" i="43"/>
  <c r="C23" i="43"/>
  <c r="D21" i="43"/>
  <c r="T9" i="1"/>
  <c r="B14" i="66"/>
  <c r="B1" i="66"/>
  <c r="T8" i="1"/>
  <c r="T11" i="1"/>
  <c r="T7" i="1"/>
  <c r="T13" i="1"/>
  <c r="T12" i="1"/>
  <c r="T10" i="1"/>
  <c r="S19" i="6"/>
  <c r="E52" i="21"/>
  <c r="F52" i="21"/>
  <c r="E53" i="21"/>
  <c r="F53" i="21"/>
  <c r="H65" i="40"/>
  <c r="G67" i="40"/>
  <c r="C49" i="21"/>
  <c r="C48" i="21"/>
  <c r="C36" i="46"/>
  <c r="C34" i="46"/>
  <c r="C35" i="46"/>
  <c r="T8" i="46"/>
  <c r="V8" i="46"/>
  <c r="T12" i="46"/>
  <c r="V12" i="46"/>
  <c r="T16" i="46"/>
  <c r="V16" i="46"/>
  <c r="T9" i="46"/>
  <c r="V9" i="46"/>
  <c r="T13" i="46"/>
  <c r="V13" i="46"/>
  <c r="T3" i="46"/>
  <c r="V3" i="46"/>
  <c r="T4" i="46"/>
  <c r="V4" i="46"/>
  <c r="C33" i="46"/>
  <c r="T6" i="46"/>
  <c r="V6" i="46"/>
  <c r="T10" i="46"/>
  <c r="V10" i="46"/>
  <c r="T14" i="46"/>
  <c r="V14" i="46"/>
  <c r="T5" i="46"/>
  <c r="V5" i="46"/>
  <c r="T11" i="46"/>
  <c r="V11" i="46"/>
  <c r="T15" i="46"/>
  <c r="V15" i="46"/>
  <c r="C37" i="46"/>
  <c r="C29" i="46"/>
  <c r="C38" i="46"/>
  <c r="T2" i="46"/>
  <c r="V2" i="46"/>
  <c r="T7" i="46"/>
  <c r="V7" i="46"/>
  <c r="C39" i="46"/>
  <c r="E39" i="46"/>
  <c r="S7" i="34"/>
  <c r="AA7" i="34"/>
  <c r="R49" i="34"/>
  <c r="D22" i="12"/>
  <c r="C22" i="12"/>
  <c r="C20" i="12"/>
  <c r="D13" i="11"/>
  <c r="C13" i="11"/>
  <c r="G53" i="34"/>
  <c r="H53" i="34"/>
  <c r="G54" i="34"/>
  <c r="H54" i="34"/>
  <c r="E68" i="39"/>
  <c r="C22" i="4"/>
  <c r="D19" i="6"/>
  <c r="D21" i="6"/>
  <c r="D25" i="6"/>
  <c r="D10" i="6"/>
  <c r="D13" i="6"/>
  <c r="H21" i="6"/>
  <c r="H24" i="6"/>
  <c r="D6" i="6"/>
  <c r="D23" i="6"/>
  <c r="D14" i="6"/>
  <c r="D28" i="6"/>
  <c r="D20" i="6"/>
  <c r="D8" i="6"/>
  <c r="H23" i="6"/>
  <c r="F45" i="9"/>
  <c r="E44" i="9"/>
  <c r="F46" i="9"/>
  <c r="E63" i="40"/>
  <c r="H19" i="6"/>
  <c r="K38" i="9"/>
  <c r="D24" i="6"/>
  <c r="R24" i="6"/>
  <c r="D26" i="6"/>
  <c r="D22" i="6"/>
  <c r="D11" i="6"/>
  <c r="D12" i="6"/>
  <c r="H25" i="6"/>
  <c r="D9" i="6"/>
  <c r="D5" i="6"/>
  <c r="D29" i="6"/>
  <c r="H22" i="6"/>
  <c r="D15" i="6"/>
  <c r="H26" i="6"/>
  <c r="E45" i="9"/>
  <c r="E46" i="9"/>
  <c r="F44" i="9"/>
  <c r="I53" i="34"/>
  <c r="J53" i="34"/>
  <c r="K46" i="36"/>
  <c r="L46" i="36"/>
  <c r="M46" i="36"/>
  <c r="N46" i="36"/>
  <c r="O46" i="36"/>
  <c r="J7" i="36"/>
  <c r="C7" i="66"/>
  <c r="C6" i="66"/>
  <c r="C8" i="66"/>
  <c r="D19" i="12"/>
  <c r="C19" i="12"/>
  <c r="C16" i="12"/>
  <c r="I48" i="35"/>
  <c r="J48" i="35"/>
  <c r="K48" i="35"/>
  <c r="L48" i="35"/>
  <c r="M48" i="35"/>
  <c r="N48" i="35"/>
  <c r="O48" i="35"/>
  <c r="C14" i="15"/>
  <c r="C14" i="69"/>
  <c r="C16" i="44"/>
  <c r="Q67" i="44"/>
  <c r="B5" i="11"/>
  <c r="I70" i="39"/>
  <c r="H72" i="39"/>
  <c r="P6" i="1"/>
  <c r="C15" i="12"/>
  <c r="H7" i="35"/>
  <c r="B4" i="11"/>
  <c r="Q68" i="44"/>
  <c r="Q59" i="44"/>
  <c r="Q58" i="44"/>
  <c r="C13" i="43"/>
  <c r="L16" i="1"/>
  <c r="N16" i="1"/>
  <c r="C29" i="43"/>
  <c r="C65" i="69"/>
  <c r="C59" i="69"/>
  <c r="C59" i="15"/>
  <c r="C65" i="15"/>
  <c r="C48" i="33"/>
  <c r="C49" i="33"/>
  <c r="C8" i="12"/>
  <c r="I20" i="6"/>
  <c r="M27" i="6"/>
  <c r="AC12" i="39"/>
  <c r="W12" i="39"/>
  <c r="AA12" i="40"/>
  <c r="S12" i="40"/>
  <c r="AB12" i="39"/>
  <c r="U12" i="39"/>
  <c r="C32" i="69"/>
  <c r="C38" i="69"/>
  <c r="C32" i="15"/>
  <c r="C38" i="15"/>
  <c r="E53" i="33"/>
  <c r="F53" i="33"/>
  <c r="E52" i="33"/>
  <c r="F52" i="33"/>
  <c r="I53" i="33"/>
  <c r="J53" i="33"/>
  <c r="P16" i="1"/>
  <c r="C13" i="12"/>
  <c r="AA12" i="39"/>
  <c r="S12" i="39"/>
  <c r="AC12" i="40"/>
  <c r="W12" i="40"/>
  <c r="AB12" i="40"/>
  <c r="U12" i="40"/>
  <c r="C14" i="66"/>
  <c r="B2" i="66"/>
  <c r="D6" i="66"/>
  <c r="C20" i="44"/>
  <c r="C17" i="44"/>
  <c r="C15" i="69"/>
  <c r="C18" i="69"/>
  <c r="T16" i="1"/>
  <c r="C18" i="15"/>
  <c r="C15" i="15"/>
  <c r="B3" i="21"/>
  <c r="R26" i="6"/>
  <c r="D16" i="6"/>
  <c r="D30" i="6"/>
  <c r="J7" i="35"/>
  <c r="W7" i="35"/>
  <c r="H67" i="40"/>
  <c r="I65" i="40"/>
  <c r="W7" i="36"/>
  <c r="AC7" i="36"/>
  <c r="V36" i="36"/>
  <c r="I36" i="36"/>
  <c r="H7" i="36"/>
  <c r="R22" i="6"/>
  <c r="R23" i="6"/>
  <c r="R25" i="6"/>
  <c r="R19" i="6"/>
  <c r="D27" i="6"/>
  <c r="G38" i="46"/>
  <c r="I38" i="46"/>
  <c r="E38" i="46"/>
  <c r="G37" i="46"/>
  <c r="I37" i="46"/>
  <c r="E37" i="46"/>
  <c r="E34" i="46"/>
  <c r="G34" i="46"/>
  <c r="I34" i="46"/>
  <c r="U7" i="35"/>
  <c r="AB7" i="35"/>
  <c r="T38" i="35"/>
  <c r="G38" i="35"/>
  <c r="D7" i="66"/>
  <c r="R21" i="6"/>
  <c r="R8" i="1"/>
  <c r="A6" i="64"/>
  <c r="A6" i="51"/>
  <c r="B7" i="63"/>
  <c r="A20" i="64"/>
  <c r="A20" i="51"/>
  <c r="B15" i="63"/>
  <c r="N5" i="54"/>
  <c r="B43" i="63"/>
  <c r="F7" i="36"/>
  <c r="R50" i="34"/>
  <c r="E49" i="34"/>
  <c r="F7" i="35"/>
  <c r="E29" i="46"/>
  <c r="C30" i="46"/>
  <c r="E30" i="46"/>
  <c r="G33" i="46"/>
  <c r="I33" i="46"/>
  <c r="E33" i="46"/>
  <c r="E35" i="46"/>
  <c r="G35" i="46"/>
  <c r="I35" i="46"/>
  <c r="G36" i="46"/>
  <c r="I36" i="46"/>
  <c r="E36" i="46"/>
  <c r="F7" i="67"/>
  <c r="F35" i="15"/>
  <c r="M21" i="15"/>
  <c r="M21" i="69"/>
  <c r="F35" i="69"/>
  <c r="Q77" i="44"/>
  <c r="I72" i="39"/>
  <c r="J70" i="39"/>
  <c r="Q64" i="44"/>
  <c r="AC7" i="35"/>
  <c r="V38" i="35"/>
  <c r="I38" i="35"/>
  <c r="C17" i="12"/>
  <c r="C14" i="12"/>
  <c r="N71" i="71"/>
  <c r="B3" i="33"/>
  <c r="B2" i="33"/>
  <c r="C14" i="43"/>
  <c r="C17" i="43"/>
  <c r="S20" i="6"/>
  <c r="S27" i="6"/>
  <c r="I27" i="6"/>
  <c r="H20" i="6"/>
  <c r="C21" i="44"/>
  <c r="C22" i="44"/>
  <c r="C28" i="44"/>
  <c r="D8" i="66"/>
  <c r="C19" i="15"/>
  <c r="C20" i="15"/>
  <c r="C26" i="15"/>
  <c r="C19" i="69"/>
  <c r="C20" i="69"/>
  <c r="C26" i="69"/>
  <c r="J20" i="69"/>
  <c r="C34" i="69"/>
  <c r="F62" i="69"/>
  <c r="C61" i="69"/>
  <c r="J20" i="15"/>
  <c r="F62" i="15"/>
  <c r="C61" i="15"/>
  <c r="C34" i="15"/>
  <c r="B2" i="21"/>
  <c r="R6" i="1"/>
  <c r="D31" i="6"/>
  <c r="I6" i="6"/>
  <c r="I67" i="40"/>
  <c r="J65" i="40"/>
  <c r="E4" i="67"/>
  <c r="C26" i="46"/>
  <c r="E54" i="34"/>
  <c r="F54" i="34"/>
  <c r="E53" i="34"/>
  <c r="F53" i="34"/>
  <c r="I54" i="34"/>
  <c r="J54" i="34"/>
  <c r="C27" i="46"/>
  <c r="AA7" i="35"/>
  <c r="R38" i="35"/>
  <c r="S7" i="35"/>
  <c r="C50" i="34"/>
  <c r="B3" i="34"/>
  <c r="B2" i="34"/>
  <c r="C49" i="34"/>
  <c r="I5" i="6"/>
  <c r="I42" i="35"/>
  <c r="J42" i="35"/>
  <c r="I40" i="36"/>
  <c r="J40" i="36"/>
  <c r="AA7" i="36"/>
  <c r="R36" i="36"/>
  <c r="S7" i="36"/>
  <c r="G42" i="35"/>
  <c r="H42" i="35"/>
  <c r="G43" i="35"/>
  <c r="H43" i="35"/>
  <c r="U7" i="36"/>
  <c r="AB7" i="36"/>
  <c r="T36" i="36"/>
  <c r="G36" i="36"/>
  <c r="E7" i="67"/>
  <c r="K70" i="39"/>
  <c r="J72" i="39"/>
  <c r="C18" i="12"/>
  <c r="C23" i="12"/>
  <c r="H27" i="6"/>
  <c r="R20" i="6"/>
  <c r="C18" i="43"/>
  <c r="N72" i="71"/>
  <c r="O72" i="71"/>
  <c r="O71" i="71"/>
  <c r="C25" i="44"/>
  <c r="C31" i="44"/>
  <c r="C38" i="44"/>
  <c r="C23" i="15"/>
  <c r="C29" i="15"/>
  <c r="J59" i="15"/>
  <c r="J60" i="15"/>
  <c r="C23" i="69"/>
  <c r="C29" i="69"/>
  <c r="J19" i="69"/>
  <c r="J17" i="69"/>
  <c r="J19" i="15"/>
  <c r="J17" i="15"/>
  <c r="K65" i="40"/>
  <c r="J67" i="40"/>
  <c r="E3" i="67"/>
  <c r="G40" i="36"/>
  <c r="H40" i="36"/>
  <c r="G41" i="36"/>
  <c r="H41" i="36"/>
  <c r="R39" i="35"/>
  <c r="E38" i="35"/>
  <c r="E36" i="36"/>
  <c r="R37" i="36"/>
  <c r="B2" i="46"/>
  <c r="B7" i="67"/>
  <c r="K72" i="39"/>
  <c r="L70" i="39"/>
  <c r="O73" i="71"/>
  <c r="C19" i="43"/>
  <c r="C25" i="43"/>
  <c r="C24" i="43"/>
  <c r="R7" i="1"/>
  <c r="R27" i="6"/>
  <c r="J16" i="44"/>
  <c r="J15" i="44"/>
  <c r="J25" i="44"/>
  <c r="C15" i="44"/>
  <c r="C43" i="44"/>
  <c r="Q51" i="44"/>
  <c r="J21" i="44"/>
  <c r="C35" i="44"/>
  <c r="C56" i="15"/>
  <c r="C63" i="15"/>
  <c r="J14" i="15"/>
  <c r="J13" i="15"/>
  <c r="J23" i="15"/>
  <c r="C36" i="15"/>
  <c r="C33" i="15"/>
  <c r="C31" i="15"/>
  <c r="Q50" i="15"/>
  <c r="C13" i="15"/>
  <c r="C55" i="15"/>
  <c r="C64" i="15"/>
  <c r="Q50" i="69"/>
  <c r="C33" i="69"/>
  <c r="C31" i="69"/>
  <c r="C56" i="69"/>
  <c r="C60" i="69"/>
  <c r="C58" i="69"/>
  <c r="J59" i="69"/>
  <c r="J60" i="69"/>
  <c r="Q49" i="69"/>
  <c r="J14" i="69"/>
  <c r="J22" i="69"/>
  <c r="C13" i="69"/>
  <c r="Q71" i="69"/>
  <c r="C36" i="69"/>
  <c r="L46" i="15"/>
  <c r="Q49" i="15"/>
  <c r="L65" i="40"/>
  <c r="K67" i="40"/>
  <c r="B2" i="67"/>
  <c r="C36" i="36"/>
  <c r="C37" i="36"/>
  <c r="B3" i="36"/>
  <c r="B2" i="36"/>
  <c r="E43" i="35"/>
  <c r="F43" i="35"/>
  <c r="E42" i="35"/>
  <c r="F42" i="35"/>
  <c r="I43" i="35"/>
  <c r="J43" i="35"/>
  <c r="D4" i="46"/>
  <c r="B4" i="46"/>
  <c r="B3" i="46"/>
  <c r="E41" i="36"/>
  <c r="F41" i="36"/>
  <c r="E40" i="36"/>
  <c r="F40" i="36"/>
  <c r="I41" i="36"/>
  <c r="J41" i="36"/>
  <c r="C39" i="35"/>
  <c r="B3" i="35"/>
  <c r="B2" i="35"/>
  <c r="C38" i="35"/>
  <c r="F37" i="44"/>
  <c r="M23" i="44"/>
  <c r="L72" i="39"/>
  <c r="M70" i="39"/>
  <c r="N73" i="71"/>
  <c r="C10" i="12"/>
  <c r="C22" i="43"/>
  <c r="C21" i="43"/>
  <c r="C28" i="43"/>
  <c r="C30" i="43"/>
  <c r="C32" i="43"/>
  <c r="B2" i="43"/>
  <c r="B3" i="43"/>
  <c r="C36" i="44"/>
  <c r="C33" i="44"/>
  <c r="J22" i="44"/>
  <c r="J19" i="44"/>
  <c r="R16" i="1"/>
  <c r="C39" i="44"/>
  <c r="J24" i="44"/>
  <c r="Q72" i="44"/>
  <c r="L46" i="69"/>
  <c r="J22" i="15"/>
  <c r="J16" i="15"/>
  <c r="J25" i="15"/>
  <c r="Q71" i="15"/>
  <c r="C60" i="15"/>
  <c r="C58" i="15"/>
  <c r="C57" i="15"/>
  <c r="C66" i="15"/>
  <c r="C67" i="15"/>
  <c r="J35" i="15"/>
  <c r="C37" i="15"/>
  <c r="C30" i="15"/>
  <c r="C39" i="15"/>
  <c r="C40" i="15"/>
  <c r="J35" i="69"/>
  <c r="C37" i="69"/>
  <c r="C30" i="69"/>
  <c r="C39" i="69"/>
  <c r="C40" i="69"/>
  <c r="J13" i="69"/>
  <c r="J23" i="69"/>
  <c r="J16" i="69"/>
  <c r="J25" i="69"/>
  <c r="C63" i="69"/>
  <c r="C55" i="69"/>
  <c r="C64" i="69"/>
  <c r="L57" i="15"/>
  <c r="L60" i="15"/>
  <c r="M65" i="40"/>
  <c r="L67" i="40"/>
  <c r="B4" i="67"/>
  <c r="B3" i="67"/>
  <c r="N70" i="39"/>
  <c r="N72" i="39"/>
  <c r="J9" i="39"/>
  <c r="M72" i="39"/>
  <c r="H9" i="39"/>
  <c r="F9" i="39"/>
  <c r="B4" i="43"/>
  <c r="C32" i="44"/>
  <c r="C42" i="44"/>
  <c r="C44" i="44"/>
  <c r="C45" i="44"/>
  <c r="B2" i="44"/>
  <c r="B5" i="44"/>
  <c r="B5" i="43"/>
  <c r="J18" i="44"/>
  <c r="J27" i="44"/>
  <c r="C57" i="69"/>
  <c r="C66" i="69"/>
  <c r="C67" i="69"/>
  <c r="C70" i="69"/>
  <c r="Q70" i="15"/>
  <c r="Q69" i="15"/>
  <c r="J39" i="15"/>
  <c r="J40" i="15"/>
  <c r="Q70" i="69"/>
  <c r="Q69" i="69"/>
  <c r="J39" i="69"/>
  <c r="J40" i="69"/>
  <c r="Q66" i="69"/>
  <c r="Q76" i="69"/>
  <c r="B2" i="69"/>
  <c r="B3" i="69"/>
  <c r="J42" i="69"/>
  <c r="J43" i="69"/>
  <c r="Q57" i="69"/>
  <c r="Q63" i="69"/>
  <c r="C6" i="12"/>
  <c r="Q48" i="69"/>
  <c r="Q54" i="69"/>
  <c r="C43" i="69"/>
  <c r="B2" i="15"/>
  <c r="B3" i="15"/>
  <c r="Q66" i="15"/>
  <c r="Q57" i="15"/>
  <c r="Q48" i="15"/>
  <c r="Q54" i="15"/>
  <c r="C43" i="15"/>
  <c r="J42" i="15"/>
  <c r="J43" i="15"/>
  <c r="C70" i="15"/>
  <c r="C46" i="15"/>
  <c r="Q67" i="15"/>
  <c r="Q58" i="15"/>
  <c r="M67" i="40"/>
  <c r="N65" i="40"/>
  <c r="N67" i="40"/>
  <c r="L51" i="69"/>
  <c r="L51" i="15"/>
  <c r="J9" i="40"/>
  <c r="W9" i="40"/>
  <c r="AA9" i="39"/>
  <c r="R49" i="39"/>
  <c r="S9" i="39"/>
  <c r="U9" i="39"/>
  <c r="AB9" i="39"/>
  <c r="T49" i="39"/>
  <c r="G49" i="39"/>
  <c r="AC9" i="39"/>
  <c r="V49" i="39"/>
  <c r="I49" i="39"/>
  <c r="I53" i="39"/>
  <c r="J53" i="39"/>
  <c r="W9" i="39"/>
  <c r="B3" i="44"/>
  <c r="B4" i="44"/>
  <c r="Q71" i="44"/>
  <c r="Q70" i="44"/>
  <c r="Q68" i="15"/>
  <c r="Q68" i="69"/>
  <c r="C46" i="69"/>
  <c r="C29" i="12"/>
  <c r="C24" i="12"/>
  <c r="C35" i="12"/>
  <c r="C33" i="12"/>
  <c r="Q76" i="15"/>
  <c r="Q63" i="15"/>
  <c r="AC9" i="40"/>
  <c r="V44" i="40"/>
  <c r="I44" i="40"/>
  <c r="H9" i="40"/>
  <c r="F9" i="40"/>
  <c r="R50" i="39"/>
  <c r="E49" i="39"/>
  <c r="G53" i="39"/>
  <c r="H53" i="39"/>
  <c r="G54" i="39"/>
  <c r="H54" i="39"/>
  <c r="C28" i="12"/>
  <c r="C26" i="12"/>
  <c r="C31" i="12"/>
  <c r="C30" i="12"/>
  <c r="C36" i="12"/>
  <c r="B2" i="12"/>
  <c r="S9" i="40"/>
  <c r="AA9" i="40"/>
  <c r="R44" i="40"/>
  <c r="I48" i="40"/>
  <c r="J48" i="40"/>
  <c r="U9" i="40"/>
  <c r="AB9" i="40"/>
  <c r="T44" i="40"/>
  <c r="G44" i="40"/>
  <c r="D19" i="9"/>
  <c r="E53" i="39"/>
  <c r="F53" i="39"/>
  <c r="I54" i="39"/>
  <c r="J54" i="39"/>
  <c r="E54" i="39"/>
  <c r="F54" i="39"/>
  <c r="C50" i="39"/>
  <c r="C49" i="39"/>
  <c r="L44" i="9"/>
  <c r="B4" i="12"/>
  <c r="B3" i="12"/>
  <c r="B5" i="12"/>
  <c r="E44" i="40"/>
  <c r="R45" i="40"/>
  <c r="G49" i="40"/>
  <c r="H49" i="40"/>
  <c r="G48" i="40"/>
  <c r="H48" i="40"/>
  <c r="D21" i="9"/>
  <c r="D20" i="9"/>
  <c r="B61" i="39"/>
  <c r="F61" i="39"/>
  <c r="B63" i="39"/>
  <c r="F63" i="39"/>
  <c r="F68" i="39"/>
  <c r="B2" i="39"/>
  <c r="B65" i="39"/>
  <c r="F65" i="39"/>
  <c r="B62" i="39"/>
  <c r="F62" i="39"/>
  <c r="B66" i="39"/>
  <c r="F66" i="39"/>
  <c r="B59" i="39"/>
  <c r="F59" i="39"/>
  <c r="B60" i="39"/>
  <c r="F60" i="39"/>
  <c r="B64" i="39"/>
  <c r="F64" i="39"/>
  <c r="B58" i="39"/>
  <c r="F58" i="39"/>
  <c r="B67" i="39"/>
  <c r="F67" i="39"/>
  <c r="B4" i="39"/>
  <c r="E48" i="40"/>
  <c r="F48" i="40"/>
  <c r="E49" i="40"/>
  <c r="F49" i="40"/>
  <c r="I49" i="40"/>
  <c r="J49" i="40"/>
  <c r="C44" i="40"/>
  <c r="C45" i="40"/>
  <c r="C19" i="9"/>
  <c r="C21" i="9"/>
  <c r="G19" i="9"/>
  <c r="L43" i="9"/>
  <c r="D22" i="9"/>
  <c r="G21" i="9"/>
  <c r="B3" i="39"/>
  <c r="B5" i="39"/>
  <c r="B61" i="40"/>
  <c r="F61" i="40"/>
  <c r="B54" i="40"/>
  <c r="F54" i="40"/>
  <c r="B53" i="40"/>
  <c r="F53" i="40"/>
  <c r="B56" i="40"/>
  <c r="F56" i="40"/>
  <c r="B58" i="40"/>
  <c r="F58" i="40"/>
  <c r="B55" i="40"/>
  <c r="F55" i="40"/>
  <c r="B57" i="40"/>
  <c r="F57" i="40"/>
  <c r="B60" i="40"/>
  <c r="F60" i="40"/>
  <c r="B59" i="40"/>
  <c r="F59" i="40"/>
  <c r="B62" i="40"/>
  <c r="F62" i="40"/>
  <c r="F63" i="40"/>
  <c r="B2" i="40"/>
  <c r="C20" i="9"/>
  <c r="G20" i="9"/>
  <c r="N43" i="9"/>
  <c r="C32" i="9"/>
  <c r="G22" i="9"/>
  <c r="B5" i="40"/>
  <c r="B3" i="40"/>
  <c r="B4" i="40"/>
  <c r="O38" i="9"/>
  <c r="C33" i="9"/>
  <c r="C35" i="9"/>
  <c r="F42" i="9"/>
  <c r="O43" i="9"/>
  <c r="C42" i="9"/>
  <c r="C34" i="9"/>
  <c r="R5" i="54"/>
  <c r="B48" i="63"/>
  <c r="D14" i="66"/>
  <c r="N68" i="9"/>
  <c r="D63" i="9"/>
  <c r="M38" i="9"/>
  <c r="K27" i="9"/>
  <c r="E42" i="9"/>
  <c r="P5" i="54"/>
  <c r="B46" i="63"/>
  <c r="D42" i="9"/>
  <c r="Q5" i="54"/>
  <c r="B47" i="63"/>
  <c r="N38" i="9"/>
  <c r="K28" i="9"/>
  <c r="K26" i="9"/>
  <c r="K25" i="9"/>
  <c r="C96" i="9"/>
  <c r="C91" i="9"/>
  <c r="D70" i="9"/>
  <c r="C103" i="9"/>
  <c r="C82" i="9"/>
  <c r="C81" i="9"/>
  <c r="C85" i="9"/>
  <c r="C86" i="9"/>
  <c r="D72" i="9"/>
  <c r="C90" i="9"/>
  <c r="D71" i="9"/>
  <c r="D66" i="9"/>
  <c r="N72" i="9"/>
  <c r="C111" i="9"/>
  <c r="C104" i="9"/>
  <c r="D77" i="9"/>
  <c r="N75" i="9"/>
  <c r="E14" i="66"/>
  <c r="B5" i="66"/>
  <c r="F14" i="66"/>
  <c r="C97" i="9"/>
  <c r="C98" i="9"/>
  <c r="E98" i="9"/>
  <c r="E99" i="9"/>
  <c r="C5" i="66"/>
  <c r="D5" i="66"/>
  <c r="C113" i="9"/>
  <c r="C114" i="9"/>
  <c r="E114" i="9"/>
  <c r="E115" i="9"/>
  <c r="C99"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<sst xmlns="http://schemas.openxmlformats.org/spreadsheetml/2006/main" count="7557" uniqueCount="3177">
  <si>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</si>
  <si>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</si>
  <si>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</si>
  <si>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</si>
  <si>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</si>
  <si>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</si>
  <si>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</si>
  <si>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</si>
  <si>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</si>
  <si>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</si>
  <si>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</si>
  <si>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</si>
  <si>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</si>
  <si>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</si>
  <si>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</si>
  <si>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</si>
  <si>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</si>
  <si>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</si>
  <si>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</si>
  <si>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</si>
  <si>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</si>
  <si>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</si>
  <si>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</si>
  <si>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</si>
  <si>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</si>
  <si>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</si>
  <si>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</si>
  <si>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</si>
  <si>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</si>
  <si>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</si>
  <si>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</si>
  <si>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</si>
  <si>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</si>
  <si>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</si>
  <si>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</si>
  <si>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</si>
  <si>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</si>
  <si>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</si>
  <si>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</si>
  <si>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</si>
  <si>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</si>
  <si>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</si>
  <si>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</si>
  <si>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</si>
  <si>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</si>
  <si>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</si>
  <si>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</si>
  <si>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</si>
  <si>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</si>
  <si>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</si>
  <si>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</si>
  <si>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</si>
  <si>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</si>
  <si>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</si>
  <si>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</si>
  <si>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</si>
  <si>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</si>
  <si>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</si>
  <si>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</si>
  <si>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</si>
  <si>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</si>
  <si>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</si>
  <si>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</si>
  <si>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</si>
  <si>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</si>
  <si>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</si>
  <si>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</si>
  <si>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</si>
  <si>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</si>
  <si>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</si>
  <si>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</si>
  <si>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</si>
  <si>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</si>
  <si>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</si>
  <si>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</si>
  <si>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</si>
  <si>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</si>
  <si>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</si>
  <si>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</si>
  <si>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</si>
  <si>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</si>
  <si>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</si>
  <si>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</si>
  <si>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</si>
  <si>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</si>
  <si>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</si>
  <si>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</si>
  <si>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</si>
  <si>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</si>
  <si>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</si>
  <si>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</si>
  <si>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</si>
  <si>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</si>
  <si>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</si>
  <si>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</si>
  <si>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</si>
  <si>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</si>
  <si>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</si>
  <si>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</si>
  <si>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</si>
  <si>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</si>
  <si>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</si>
  <si>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</si>
  <si>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</si>
  <si>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</si>
  <si>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</si>
  <si>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</si>
  <si>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</si>
  <si>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</si>
  <si>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</si>
  <si>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</si>
  <si>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</si>
  <si>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</si>
  <si>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</si>
  <si>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</si>
  <si>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</si>
  <si>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</si>
  <si>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</si>
  <si>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</si>
  <si>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</si>
  <si>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</si>
  <si>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</si>
  <si>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</si>
  <si>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</si>
  <si>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</si>
  <si>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</si>
  <si>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</si>
  <si>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</si>
  <si>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</si>
  <si>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</si>
  <si>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</si>
  <si>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</si>
  <si>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</si>
  <si>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</si>
  <si>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</si>
  <si>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</si>
  <si>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</si>
  <si>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</si>
  <si>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</si>
  <si>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</si>
  <si>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</si>
  <si>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</si>
  <si>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</si>
  <si>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</si>
  <si>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</si>
  <si>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</si>
  <si>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</si>
  <si>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</si>
  <si>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</si>
  <si>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</si>
  <si>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</si>
  <si>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</si>
  <si>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</si>
  <si>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</si>
  <si>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</si>
  <si>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</si>
  <si>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</si>
  <si>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</si>
  <si>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</si>
  <si>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</si>
  <si>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</si>
  <si>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</si>
  <si>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</si>
  <si>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</si>
  <si>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</si>
  <si>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</si>
  <si>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</si>
  <si>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</si>
  <si>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</si>
  <si>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</si>
  <si>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</si>
  <si>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</si>
  <si>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</si>
  <si>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</si>
  <si>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</si>
  <si>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</si>
  <si>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</si>
  <si>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</si>
  <si>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</si>
  <si>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</si>
  <si>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</si>
  <si>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</si>
  <si>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</si>
  <si>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</si>
  <si>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</si>
  <si>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</si>
  <si>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</si>
  <si>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</si>
  <si>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</si>
  <si>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</si>
  <si>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</si>
  <si>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</si>
  <si>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</si>
  <si>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</si>
  <si>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</si>
  <si>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</si>
  <si>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</si>
  <si>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</si>
  <si>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</si>
  <si>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</si>
  <si>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</si>
  <si>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</si>
  <si>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</si>
  <si>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</si>
  <si>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</si>
  <si>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</si>
  <si>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</si>
  <si>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</si>
  <si>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</si>
  <si>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</si>
  <si>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</si>
  <si>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</si>
  <si>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</si>
  <si>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</si>
  <si>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</si>
  <si>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</si>
  <si>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</si>
  <si>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</si>
  <si>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</si>
  <si>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</si>
  <si>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</si>
  <si>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</si>
  <si>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</si>
  <si>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</si>
  <si>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</si>
  <si>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</si>
  <si>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</si>
  <si>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</si>
  <si>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</si>
  <si>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</si>
  <si>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</si>
  <si>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</si>
  <si>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</si>
  <si>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</si>
  <si>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</si>
  <si>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</si>
  <si>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</si>
  <si>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</si>
  <si>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</si>
  <si>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</si>
  <si>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</si>
  <si>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</si>
  <si>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</si>
  <si>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</si>
  <si>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</si>
  <si>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</si>
  <si>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</si>
  <si>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</si>
  <si>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</si>
  <si>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</si>
  <si>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</si>
  <si>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</si>
  <si>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</si>
  <si>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</si>
  <si>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</si>
  <si>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</si>
  <si>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</si>
  <si>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</si>
  <si>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</si>
  <si>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</si>
  <si>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</si>
  <si>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</si>
  <si>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</si>
  <si>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</si>
  <si>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</si>
  <si>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</si>
  <si>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</si>
  <si>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</si>
  <si>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</si>
  <si>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</si>
  <si>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</si>
  <si>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</si>
  <si>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</si>
  <si>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</si>
  <si>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</si>
  <si>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</si>
  <si>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</si>
  <si>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</si>
  <si>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</si>
  <si>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</si>
  <si>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</si>
  <si>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</si>
  <si>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</si>
  <si>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</si>
  <si>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</si>
  <si>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</si>
  <si>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</si>
  <si>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</si>
  <si>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</si>
  <si>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</si>
  <si>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</si>
  <si>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</si>
  <si>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</si>
  <si>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</si>
  <si>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</si>
  <si>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</si>
  <si>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</si>
  <si>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</si>
  <si>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</si>
  <si>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</si>
  <si>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</si>
  <si>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</si>
  <si>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</si>
  <si>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</si>
  <si>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</si>
  <si>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</si>
  <si>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</si>
  <si>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</si>
  <si>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</si>
  <si>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</si>
  <si>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</si>
  <si>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</si>
  <si>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</si>
  <si>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</si>
  <si>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</si>
  <si>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</si>
  <si>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</si>
  <si>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</si>
  <si>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</si>
  <si>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</si>
  <si>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</si>
  <si>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</si>
  <si>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</si>
  <si>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</si>
  <si>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</si>
  <si>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</si>
  <si>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</si>
  <si>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</si>
  <si>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</si>
  <si>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</si>
  <si>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</si>
  <si>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</si>
  <si>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</si>
  <si>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</si>
  <si>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</si>
  <si>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</si>
  <si>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</si>
  <si>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</si>
  <si>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</si>
  <si>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</si>
  <si>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</si>
  <si>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</si>
  <si>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</si>
  <si>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</si>
  <si>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</si>
  <si>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</si>
  <si>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</si>
  <si>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</si>
  <si>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</si>
  <si>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</si>
  <si>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</si>
  <si>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</si>
  <si>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</si>
  <si>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</si>
  <si>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</si>
  <si>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</si>
  <si>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</si>
  <si>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</si>
  <si>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</si>
  <si>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</si>
  <si>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</si>
  <si>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</si>
  <si>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</si>
  <si>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</si>
  <si>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</si>
  <si>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</si>
  <si>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</si>
  <si>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</si>
  <si>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</si>
  <si>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</si>
  <si>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</si>
  <si>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</si>
  <si>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</si>
  <si>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</si>
  <si>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</si>
  <si>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</si>
  <si>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</si>
  <si>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</si>
  <si>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</si>
  <si>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</si>
  <si>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</si>
  <si>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</si>
  <si>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</si>
  <si>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</si>
  <si>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</si>
  <si>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</si>
  <si>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</si>
  <si>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</si>
  <si>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</si>
  <si>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</si>
  <si>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</si>
  <si>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</si>
  <si>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</si>
  <si>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</si>
  <si>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</si>
  <si>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</si>
  <si>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</si>
  <si>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</si>
  <si>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</si>
  <si>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</si>
  <si>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</si>
  <si>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</si>
  <si>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</si>
  <si>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</si>
  <si>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</si>
  <si>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</si>
  <si>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</si>
  <si>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</si>
  <si>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</si>
  <si>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</si>
  <si>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</si>
  <si>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</si>
  <si>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</si>
  <si>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</si>
  <si>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</si>
  <si>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</si>
  <si>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</si>
  <si>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</si>
  <si>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</si>
  <si>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</si>
  <si>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</si>
  <si>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</si>
  <si>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</si>
  <si>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</si>
  <si>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</si>
  <si>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</si>
  <si>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</si>
  <si>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</si>
  <si>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</si>
  <si>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</si>
  <si>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</si>
  <si>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</si>
  <si>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</si>
  <si>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</si>
  <si>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</si>
  <si>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</si>
  <si>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</si>
  <si>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</si>
  <si>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</si>
  <si>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</si>
  <si>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</si>
  <si>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</si>
  <si>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</si>
  <si>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</si>
  <si>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</si>
  <si>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</si>
  <si>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</si>
  <si>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</si>
  <si>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</si>
  <si>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</si>
  <si>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</si>
  <si>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</si>
  <si>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</si>
  <si>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</si>
  <si>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</si>
  <si>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</si>
  <si>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</si>
  <si>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</si>
  <si>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</si>
  <si>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</si>
  <si>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</si>
  <si>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</si>
  <si>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</si>
  <si>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</si>
  <si>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</si>
  <si>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</si>
  <si>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</si>
  <si>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</si>
  <si>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</si>
  <si>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</si>
  <si>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</si>
  <si>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</si>
  <si>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</si>
  <si>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</si>
  <si>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</si>
  <si>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</si>
  <si>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</si>
  <si>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</si>
  <si>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</si>
  <si>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</si>
  <si>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</si>
  <si>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</si>
  <si>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</si>
  <si>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</si>
  <si>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</si>
  <si>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</si>
  <si>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</si>
  <si>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</si>
  <si>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</si>
  <si>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</si>
  <si>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</si>
  <si>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</si>
  <si>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</si>
  <si>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</si>
  <si>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</si>
  <si>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</si>
  <si>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</si>
  <si>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</si>
  <si>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</si>
  <si>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</si>
  <si>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</si>
  <si>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</si>
  <si>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</si>
  <si>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</si>
  <si>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</si>
  <si>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</si>
  <si>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</si>
  <si>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</si>
  <si>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</si>
  <si>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</si>
  <si>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</si>
  <si>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</si>
  <si>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</si>
  <si>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</si>
  <si>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</si>
  <si>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</si>
  <si>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</si>
  <si>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</si>
  <si>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</si>
  <si>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</si>
  <si>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</si>
  <si>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</si>
  <si>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</si>
  <si>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</si>
  <si>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</si>
  <si>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</si>
  <si>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</si>
  <si>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</si>
  <si>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</si>
  <si>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</si>
  <si>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</si>
  <si>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</si>
  <si>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</si>
  <si>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</si>
  <si>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</si>
  <si>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</si>
  <si>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</si>
  <si>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</si>
  <si>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</si>
  <si>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</si>
  <si>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</si>
  <si>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</si>
  <si>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</si>
  <si>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</si>
  <si>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</si>
  <si>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</si>
  <si>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</si>
  <si>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</si>
  <si>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</si>
  <si>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</si>
  <si>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</si>
  <si>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</si>
  <si>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</si>
  <si>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</si>
  <si>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</si>
  <si>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</si>
  <si>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</si>
  <si>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</si>
  <si>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</si>
  <si>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</si>
  <si>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</si>
  <si>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</si>
  <si>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</si>
  <si>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</si>
  <si>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</si>
  <si>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</si>
  <si>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</si>
  <si>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</si>
  <si>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</si>
  <si>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</si>
  <si>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</si>
  <si>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</si>
  <si>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</si>
  <si>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</si>
  <si>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</si>
  <si>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</si>
  <si>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</si>
  <si>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</si>
  <si>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</si>
  <si>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</si>
  <si>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</si>
  <si>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</si>
  <si>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</si>
  <si>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</si>
  <si>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</si>
  <si>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</si>
  <si>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</si>
  <si>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</si>
  <si>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</si>
  <si>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</si>
  <si>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</si>
  <si>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</si>
  <si>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</si>
  <si>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</si>
  <si>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</si>
  <si>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</si>
  <si>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</si>
  <si>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</si>
  <si>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</si>
  <si>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</si>
  <si>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</si>
  <si>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</si>
  <si>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</si>
  <si>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</si>
  <si>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</si>
  <si>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</si>
  <si>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</si>
  <si>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</si>
  <si>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</si>
  <si>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</si>
  <si>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</si>
  <si>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</si>
  <si>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</si>
  <si>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</si>
  <si>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</si>
  <si>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</si>
  <si>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</si>
  <si>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</si>
  <si>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</si>
  <si>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</si>
  <si>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</si>
  <si>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</si>
  <si>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</si>
  <si>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</si>
  <si>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</si>
  <si>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</si>
  <si>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</si>
  <si>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</si>
  <si>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</si>
  <si>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</si>
  <si>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</si>
  <si>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</si>
  <si>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</si>
  <si>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</si>
  <si>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</si>
  <si>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</si>
  <si>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</si>
  <si>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</si>
  <si>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</si>
  <si>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</si>
  <si>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</si>
  <si>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</si>
  <si>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</si>
  <si>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</si>
  <si>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</si>
  <si>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</si>
  <si>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</si>
  <si>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</si>
  <si>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</si>
  <si>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</si>
  <si>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</si>
  <si>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</si>
  <si>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</si>
  <si>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</si>
  <si>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</si>
  <si>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</si>
  <si>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</si>
  <si>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</si>
  <si>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</si>
  <si>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</si>
  <si>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</si>
  <si>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</si>
  <si>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</si>
  <si>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</si>
  <si>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</si>
  <si>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</si>
  <si>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</si>
  <si>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</si>
  <si>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</si>
  <si>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</si>
  <si>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</si>
  <si>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</si>
  <si>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</si>
  <si>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</si>
  <si>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</si>
  <si>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</si>
  <si>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</si>
  <si>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</si>
  <si>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</si>
  <si>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</si>
  <si>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</si>
  <si>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</si>
  <si>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</si>
  <si>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</si>
  <si>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</si>
  <si>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</si>
  <si>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</si>
  <si>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</si>
  <si>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</si>
  <si>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</si>
  <si>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</si>
  <si>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</si>
  <si>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</si>
  <si>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</si>
  <si>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</si>
  <si>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</si>
  <si>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</si>
  <si>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</si>
  <si>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</si>
  <si>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</si>
  <si>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</si>
  <si>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</si>
  <si>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</si>
  <si>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</si>
  <si>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</si>
  <si>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</si>
  <si>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</si>
  <si>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</si>
  <si>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</si>
  <si>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</si>
  <si>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</si>
  <si>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</si>
  <si>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</si>
  <si>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</si>
  <si>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</si>
  <si>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</si>
  <si>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</si>
  <si>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</si>
  <si>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</si>
  <si>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</si>
  <si>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</si>
  <si>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</si>
  <si>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</si>
  <si>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</si>
  <si>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</si>
  <si>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</si>
  <si>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</si>
  <si>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</si>
  <si>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</si>
  <si>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</si>
  <si>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</si>
  <si>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</si>
  <si>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</si>
  <si>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</si>
  <si>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</si>
  <si>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</si>
  <si>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</si>
  <si>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</si>
  <si>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</si>
  <si>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</si>
  <si>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</si>
  <si>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</si>
  <si>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</si>
  <si>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</si>
  <si>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</si>
  <si>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</si>
  <si>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</si>
  <si>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</si>
  <si>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</si>
  <si>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</si>
  <si>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</si>
  <si>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</si>
  <si>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</si>
  <si>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</si>
  <si>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</si>
  <si>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</si>
  <si>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</si>
  <si>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</si>
  <si>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</si>
  <si>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</si>
  <si>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</si>
  <si>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</si>
  <si>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</si>
  <si>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</si>
  <si>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</si>
  <si>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</si>
  <si>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</si>
  <si>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</si>
  <si>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</si>
  <si>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</si>
  <si>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</si>
  <si>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</si>
  <si>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</si>
  <si>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</si>
  <si>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</si>
  <si>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</si>
  <si>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</si>
  <si>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</si>
  <si>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</si>
  <si>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</si>
  <si>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</si>
  <si>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</si>
  <si>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</si>
  <si>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</si>
  <si>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</si>
  <si>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</si>
  <si>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</si>
  <si>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</si>
  <si>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</si>
  <si>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</si>
  <si>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</si>
  <si>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</si>
  <si>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</si>
  <si>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</si>
  <si>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</si>
  <si>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</si>
  <si>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</si>
  <si>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</si>
  <si>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</si>
  <si>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</si>
  <si>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</si>
  <si>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</si>
  <si>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</si>
  <si>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</si>
  <si>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</si>
  <si>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</si>
  <si>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</si>
  <si>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</si>
  <si>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</si>
  <si>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</si>
  <si>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</si>
  <si>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</si>
  <si>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</si>
  <si>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</si>
  <si>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</si>
  <si>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</si>
  <si>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</si>
  <si>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</si>
  <si>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</si>
  <si>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</si>
  <si>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</si>
  <si>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</si>
  <si>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</si>
  <si>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</si>
  <si>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</si>
  <si>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</si>
  <si>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</si>
  <si>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</si>
  <si>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</si>
  <si>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</si>
  <si>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</si>
  <si>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</si>
  <si>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</si>
  <si>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</si>
  <si>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</si>
  <si>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</si>
  <si>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</si>
  <si>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</si>
  <si>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</si>
  <si>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</si>
  <si>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</si>
  <si>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</si>
  <si>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</si>
  <si>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</si>
  <si>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</si>
  <si>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</si>
  <si>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</si>
  <si>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</si>
  <si>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</si>
  <si>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</si>
  <si>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</si>
  <si>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</si>
  <si>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</si>
  <si>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</si>
  <si>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</si>
  <si>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</si>
  <si>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</si>
  <si>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</si>
  <si>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</si>
  <si>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</si>
  <si>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</si>
  <si>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</si>
  <si>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</si>
  <si>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</si>
  <si>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</si>
  <si>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</si>
  <si>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</si>
  <si>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</si>
  <si>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</si>
  <si>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</si>
  <si>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</si>
  <si>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</si>
  <si>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</si>
  <si>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</si>
  <si>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</si>
  <si>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</si>
  <si>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</si>
  <si>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</si>
  <si>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</si>
  <si>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</si>
  <si>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</si>
  <si>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</si>
  <si>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</si>
  <si>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</si>
  <si>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</si>
  <si>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</si>
  <si>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</si>
  <si>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</si>
  <si>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</si>
  <si>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</si>
  <si>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</si>
  <si>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</si>
  <si>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</si>
  <si>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</si>
  <si>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</si>
  <si>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</si>
  <si>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</si>
  <si>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</si>
  <si>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</si>
  <si>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</si>
  <si>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</si>
  <si>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</si>
  <si>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</si>
  <si>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</si>
  <si>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</si>
  <si>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</si>
  <si>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</si>
  <si>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</si>
  <si>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</si>
  <si>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</si>
  <si>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</si>
  <si>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</si>
  <si>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</si>
  <si>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</si>
  <si>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</si>
  <si>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</si>
  <si>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</si>
  <si>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</si>
  <si>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</si>
  <si>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</si>
  <si>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</si>
  <si>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</si>
  <si>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</si>
  <si>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</si>
  <si>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</si>
  <si>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</si>
  <si>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</si>
  <si>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</si>
  <si>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</si>
  <si>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</si>
  <si>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</si>
  <si>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</si>
  <si>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</si>
  <si>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</si>
  <si>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</si>
  <si>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</si>
  <si>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</si>
  <si>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</si>
  <si>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</si>
  <si>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</si>
  <si>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</si>
  <si>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</si>
  <si>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</si>
  <si>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</si>
  <si>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</si>
  <si>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</si>
  <si>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</si>
  <si>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</si>
  <si>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</si>
  <si>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</si>
  <si>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</si>
  <si>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</si>
  <si>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</si>
  <si>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</si>
  <si>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</si>
  <si>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</si>
  <si>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</si>
  <si>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</si>
  <si>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</si>
  <si>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</si>
  <si>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</si>
  <si>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</si>
  <si>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</si>
  <si>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</si>
  <si>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</si>
  <si>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</si>
  <si>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</si>
  <si>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</si>
  <si>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</si>
  <si>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</si>
  <si>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</si>
  <si>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</si>
  <si>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</si>
  <si>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</si>
  <si>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</si>
  <si>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</si>
  <si>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</si>
  <si>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</si>
  <si>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</si>
  <si>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</si>
  <si>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</si>
  <si>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</si>
  <si>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</si>
  <si>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</si>
  <si>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</si>
  <si>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</si>
  <si>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</si>
  <si>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</si>
  <si>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</si>
  <si>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</si>
  <si>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</si>
  <si>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</si>
  <si>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</si>
  <si>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</si>
  <si>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</si>
  <si>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</si>
  <si>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</si>
  <si>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</si>
  <si>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</si>
  <si>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</si>
  <si>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</si>
  <si>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</si>
  <si>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</si>
  <si>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</si>
  <si>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</si>
  <si>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</si>
  <si>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</si>
  <si>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</si>
  <si>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</si>
  <si>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</si>
  <si>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</si>
  <si>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</si>
  <si>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</si>
  <si>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</si>
  <si>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</si>
  <si>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</si>
  <si>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</si>
  <si>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</si>
  <si>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</si>
  <si>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</si>
  <si>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</si>
  <si>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</si>
  <si>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</si>
  <si>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</si>
  <si>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</si>
  <si>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</si>
  <si>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</si>
  <si>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</si>
  <si>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</si>
  <si>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</si>
  <si>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</si>
  <si>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</si>
  <si>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</si>
  <si>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</si>
  <si>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</si>
  <si>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</si>
  <si>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</si>
  <si>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</si>
  <si>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</si>
  <si>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</si>
  <si>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</si>
  <si>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</si>
  <si>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</si>
  <si>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</si>
  <si>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</si>
  <si>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</si>
  <si>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</si>
  <si>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</si>
  <si>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</si>
  <si>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</si>
  <si>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</si>
  <si>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</si>
  <si>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</si>
  <si>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</si>
  <si>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</si>
  <si>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</si>
  <si>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</si>
  <si>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</si>
  <si>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</si>
  <si>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</si>
  <si>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</si>
  <si>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</si>
  <si>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</si>
  <si>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</si>
  <si>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</si>
  <si>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</si>
  <si>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</si>
  <si>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</si>
  <si>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</si>
  <si>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</si>
  <si>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</si>
  <si>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</si>
  <si>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</si>
  <si>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</si>
  <si>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</si>
  <si>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</si>
  <si>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</si>
  <si>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</si>
  <si>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</si>
  <si>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</si>
  <si>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</si>
  <si>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</si>
  <si>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</si>
  <si>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</si>
  <si>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</si>
  <si>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</si>
  <si>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</si>
  <si>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</si>
  <si>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</si>
  <si>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</si>
  <si>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</si>
  <si>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</si>
  <si>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</si>
  <si>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</si>
  <si>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</si>
  <si>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</si>
  <si>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</si>
  <si>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</si>
  <si>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</si>
  <si>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</si>
  <si>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</si>
  <si>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</si>
  <si>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</si>
  <si>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</si>
  <si>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</si>
  <si>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</si>
  <si>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</si>
  <si>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</si>
  <si>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</si>
  <si>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</si>
  <si>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</si>
  <si>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</si>
  <si>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</si>
  <si>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</si>
  <si>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</si>
  <si>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</si>
  <si>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</si>
  <si>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</si>
  <si>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</si>
  <si>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</si>
  <si>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</si>
  <si>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</si>
  <si>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</si>
  <si>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</si>
  <si>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</si>
  <si>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</si>
  <si>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</si>
  <si>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</si>
  <si>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</si>
  <si>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</si>
  <si>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</si>
  <si>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</si>
  <si>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</si>
  <si>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</si>
  <si>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</si>
  <si>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</si>
  <si>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</si>
  <si>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</si>
  <si>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</si>
  <si>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</si>
  <si>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</si>
  <si>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</si>
  <si>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</si>
  <si>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</si>
  <si>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</si>
  <si>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</si>
  <si>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</si>
  <si>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</si>
  <si>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</si>
  <si>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</si>
  <si>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</si>
  <si>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</si>
  <si>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</si>
  <si>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</si>
  <si>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</si>
  <si>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</si>
  <si>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</si>
  <si>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</si>
  <si>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</si>
  <si>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</si>
  <si>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</si>
  <si>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</si>
  <si>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</si>
  <si>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</si>
  <si>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</si>
  <si>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</si>
  <si>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</si>
  <si>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</si>
  <si>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</si>
  <si>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</si>
  <si>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</si>
  <si>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</si>
  <si>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</si>
  <si>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</si>
  <si>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</si>
  <si>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</si>
  <si>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</si>
  <si>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</si>
  <si>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</si>
  <si>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</si>
  <si>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</si>
  <si>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</si>
  <si>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</si>
  <si>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</si>
  <si>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</si>
  <si>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</si>
  <si>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</si>
  <si>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</si>
  <si>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</si>
  <si>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</si>
  <si>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</si>
  <si>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</si>
  <si>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</si>
  <si>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</si>
  <si>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</si>
  <si>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</si>
  <si>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</si>
  <si>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</si>
  <si>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</si>
  <si>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</si>
  <si>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</si>
  <si>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</si>
  <si>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</si>
  <si>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</si>
  <si>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</si>
  <si>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</si>
  <si>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</si>
  <si>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</si>
  <si>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</si>
  <si>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</si>
  <si>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</si>
  <si>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</si>
  <si>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</si>
  <si>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</si>
  <si>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</si>
  <si>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</si>
  <si>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</si>
  <si>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</si>
  <si>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</si>
  <si>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</si>
  <si>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</si>
  <si>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</si>
  <si>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</si>
  <si>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</si>
  <si>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</si>
  <si>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</si>
  <si>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</si>
  <si>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</si>
  <si>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</si>
  <si>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</si>
  <si>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</si>
  <si>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</si>
  <si>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</si>
  <si>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</si>
  <si>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</si>
  <si>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</si>
  <si>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</si>
  <si>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</si>
  <si>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</si>
  <si>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</si>
  <si>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</si>
  <si>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</si>
  <si>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</si>
  <si>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</si>
  <si>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</si>
  <si>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</si>
  <si>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</si>
  <si>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</si>
  <si>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</si>
  <si>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</si>
  <si>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</si>
  <si>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</si>
  <si>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</si>
  <si>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</si>
  <si>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</si>
  <si>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</si>
  <si>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</si>
  <si>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</si>
  <si>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</si>
  <si>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</si>
  <si>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</si>
  <si>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</si>
  <si>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</si>
  <si>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</si>
  <si>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</si>
  <si>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</si>
  <si>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</si>
  <si>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</si>
  <si>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</si>
  <si>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</si>
  <si>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</si>
  <si>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</si>
  <si>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</si>
  <si>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</si>
  <si>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</si>
  <si>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</si>
  <si>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</si>
  <si>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</si>
  <si>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</si>
  <si>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</si>
  <si>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</si>
  <si>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</si>
  <si>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</si>
  <si>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</si>
  <si>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</si>
  <si>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</si>
  <si>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</si>
  <si>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</si>
  <si>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</si>
  <si>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</si>
  <si>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</si>
  <si>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</si>
  <si>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</si>
  <si>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</si>
  <si>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</si>
  <si>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</si>
  <si>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</si>
  <si>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</si>
  <si>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</si>
  <si>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</si>
  <si>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</si>
  <si>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</si>
  <si>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</si>
  <si>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</si>
  <si>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</si>
  <si>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</si>
  <si>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</si>
  <si>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</si>
  <si>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</si>
  <si>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</si>
  <si>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</si>
  <si>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</si>
  <si>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</si>
  <si>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</si>
  <si>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</si>
  <si>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</si>
  <si>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</si>
  <si>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</si>
  <si>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</si>
  <si>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</si>
  <si>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</si>
  <si>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</si>
  <si>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</si>
  <si>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</si>
  <si>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</si>
  <si>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</si>
  <si>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</si>
  <si>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</si>
  <si>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</si>
  <si>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</si>
  <si>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</si>
  <si>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</si>
  <si>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</si>
  <si>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</si>
  <si>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</si>
  <si>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</si>
  <si>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</si>
  <si>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</si>
  <si>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</si>
  <si>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</si>
  <si>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</si>
  <si>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</si>
  <si>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</si>
  <si>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</si>
  <si>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</si>
  <si>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</si>
  <si>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</si>
  <si>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</si>
  <si>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</si>
  <si>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</si>
  <si>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</si>
  <si>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</si>
  <si>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</si>
  <si>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</si>
  <si>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</si>
  <si>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</si>
  <si>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</si>
  <si>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</si>
  <si>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</si>
  <si>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</si>
  <si>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</si>
  <si>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</si>
  <si>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</si>
  <si>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</si>
  <si>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</si>
  <si>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</si>
  <si>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</si>
  <si>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</si>
  <si>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</si>
  <si>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</si>
  <si>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</si>
  <si>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</si>
  <si>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</si>
  <si>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</si>
  <si>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</si>
  <si>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</si>
  <si>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</si>
  <si>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</si>
  <si>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</si>
  <si>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</si>
  <si>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</si>
  <si>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</si>
  <si>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</si>
  <si>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</si>
  <si>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</si>
  <si>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</si>
  <si>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</si>
  <si>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</si>
  <si>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</si>
  <si>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</si>
  <si>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</si>
  <si>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</si>
  <si>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</si>
  <si>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</si>
  <si>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</si>
  <si>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</si>
  <si>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</si>
  <si>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</si>
  <si>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</si>
  <si>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</si>
  <si>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</si>
  <si>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</si>
  <si>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</si>
  <si>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</si>
  <si>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</si>
  <si>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</si>
  <si>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</si>
  <si>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</si>
  <si>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</si>
  <si>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</si>
  <si>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</si>
  <si>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</si>
  <si>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</si>
  <si>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</si>
  <si>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</si>
  <si>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</si>
  <si>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</si>
  <si>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</si>
  <si>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</si>
  <si>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</si>
  <si>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</si>
  <si>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</si>
  <si>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</si>
  <si>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</si>
  <si>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</si>
  <si>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</si>
  <si>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</si>
  <si>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</si>
  <si>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</si>
  <si>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</si>
  <si>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</si>
  <si>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</si>
  <si>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</si>
  <si>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</si>
  <si>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</si>
  <si>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</si>
  <si>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</si>
  <si>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</si>
  <si>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</si>
  <si>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</si>
  <si>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</si>
  <si>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</si>
  <si>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</si>
  <si>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</si>
  <si>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</si>
  <si>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</si>
  <si>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</si>
  <si>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</si>
  <si>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</si>
  <si>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</si>
  <si>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</si>
  <si>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</si>
  <si>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</si>
  <si>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</si>
  <si>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</si>
  <si>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</si>
  <si>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</si>
  <si>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</si>
  <si>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</si>
  <si>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</si>
  <si>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</si>
  <si>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</si>
  <si>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</si>
  <si>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</si>
  <si>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</si>
  <si>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</si>
  <si>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</si>
  <si>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</si>
  <si>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</si>
  <si>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</si>
  <si>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</si>
  <si>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</si>
  <si>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</si>
  <si>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</si>
  <si>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</si>
  <si>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</si>
  <si>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</si>
  <si>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</si>
  <si>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</si>
  <si>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</si>
  <si>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</si>
  <si>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</si>
  <si>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</si>
  <si>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</si>
  <si>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</si>
  <si>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</si>
  <si>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</si>
  <si>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</si>
  <si>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</si>
  <si>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</si>
  <si>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</si>
  <si>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</si>
  <si>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</si>
  <si>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</si>
  <si>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</si>
  <si>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</si>
  <si>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</si>
  <si>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</si>
  <si>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</si>
  <si>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</si>
  <si>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</si>
  <si>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</si>
  <si>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</si>
  <si>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</si>
  <si>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</si>
  <si>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</si>
  <si>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</si>
  <si>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</si>
  <si>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</si>
  <si>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</si>
  <si>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</si>
  <si>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</si>
  <si>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</si>
  <si>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</si>
  <si>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</si>
  <si>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</si>
  <si>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</si>
  <si>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</si>
  <si>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</si>
  <si>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</si>
  <si>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</si>
  <si>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</si>
  <si>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</si>
  <si>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</si>
  <si>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</si>
  <si>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</si>
  <si>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</si>
  <si>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</si>
  <si>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</si>
  <si>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</si>
  <si>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</si>
  <si>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</si>
  <si>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</si>
  <si>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</si>
  <si>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</si>
  <si>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</si>
  <si>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</si>
  <si>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</si>
  <si>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</si>
  <si>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</si>
  <si>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</si>
  <si>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</si>
  <si>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</si>
  <si>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</si>
  <si>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</si>
  <si>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</si>
  <si>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</si>
  <si>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</si>
  <si>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</si>
  <si>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</si>
  <si>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</si>
  <si>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</si>
  <si>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</si>
  <si>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</si>
  <si>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</si>
  <si>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</si>
  <si>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</si>
  <si>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</si>
  <si>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</si>
  <si>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</si>
  <si>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</si>
  <si>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</si>
  <si>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</si>
  <si>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</si>
  <si>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</si>
  <si>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</si>
  <si>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</si>
  <si>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</si>
  <si>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</si>
  <si>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</si>
  <si>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</si>
  <si>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</si>
  <si>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</si>
  <si>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</si>
  <si>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</si>
  <si>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</si>
  <si>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</si>
  <si>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</si>
  <si>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</si>
  <si>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</si>
  <si>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</si>
  <si>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</si>
  <si>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</si>
  <si>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</si>
  <si>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</si>
  <si>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</si>
  <si>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</si>
  <si>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</si>
  <si>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</si>
  <si>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</si>
  <si>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</si>
  <si>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</si>
  <si>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</si>
  <si>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</si>
  <si>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</si>
  <si>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</si>
  <si>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</si>
  <si>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</si>
  <si>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</si>
  <si>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</si>
  <si>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</si>
  <si>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</si>
  <si>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</si>
  <si>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</si>
  <si>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</si>
  <si>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</si>
  <si>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</si>
  <si>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</si>
  <si>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</si>
  <si>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</si>
  <si>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</si>
  <si>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</si>
  <si>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</si>
  <si>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</si>
  <si>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</si>
  <si>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</si>
  <si>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</si>
  <si>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</si>
  <si>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</si>
  <si>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</si>
  <si>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</si>
  <si>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</si>
  <si>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</si>
  <si>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</si>
  <si>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</si>
  <si>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</si>
  <si>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</si>
  <si>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</si>
  <si>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</si>
  <si>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</si>
  <si>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</si>
  <si>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</si>
  <si>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</si>
  <si>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</si>
  <si>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</si>
  <si>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</si>
  <si>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</si>
  <si>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</si>
  <si>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</si>
  <si>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</si>
  <si>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</si>
  <si>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</si>
  <si>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</si>
  <si>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</si>
  <si>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</si>
  <si>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</si>
  <si>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</si>
  <si>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</si>
  <si>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</si>
  <si>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</si>
  <si>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</si>
  <si>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</si>
  <si>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</si>
  <si>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</si>
  <si>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</si>
  <si>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</si>
  <si>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</si>
  <si>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</si>
  <si>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</si>
  <si>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</si>
  <si>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</si>
  <si>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</si>
  <si>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</si>
  <si>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</si>
  <si>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</si>
  <si>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</si>
  <si>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</si>
  <si>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</si>
  <si>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</si>
  <si>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</si>
  <si>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</si>
  <si>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</si>
  <si>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</si>
  <si>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</si>
  <si>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</si>
  <si>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</si>
  <si>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</si>
  <si>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</si>
  <si>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</si>
  <si>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</si>
  <si>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</si>
  <si>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</si>
  <si>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</si>
  <si>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</si>
  <si>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</si>
  <si>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</si>
  <si>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</si>
  <si>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</si>
  <si>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</si>
  <si>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</si>
  <si>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</si>
  <si>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</si>
  <si>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</si>
  <si>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</si>
  <si>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</si>
  <si>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</si>
  <si>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</si>
  <si>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</si>
  <si>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</si>
  <si>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</si>
  <si>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</si>
  <si>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</si>
  <si>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</si>
  <si>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</si>
  <si>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</si>
  <si>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</si>
  <si>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</si>
  <si>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</si>
  <si>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</si>
  <si>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</si>
  <si>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</si>
  <si>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</si>
  <si>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</si>
  <si>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</si>
  <si>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</si>
  <si>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</si>
  <si>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</si>
  <si>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</si>
  <si>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</si>
  <si>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</si>
  <si>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</si>
  <si>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</si>
  <si>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</si>
  <si>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</si>
  <si>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</si>
  <si>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</si>
  <si>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</si>
  <si>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</si>
  <si>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</si>
  <si>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</si>
  <si>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</si>
  <si>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</si>
  <si>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</si>
  <si>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</si>
  <si>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</si>
  <si>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</si>
  <si>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</si>
  <si>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</si>
  <si>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</si>
  <si>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</si>
  <si>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</si>
  <si>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</si>
  <si>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</si>
  <si>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</si>
  <si>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</si>
  <si>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</si>
  <si>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</si>
  <si>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</si>
  <si>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</si>
  <si>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</si>
  <si>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</si>
  <si>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</si>
  <si>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</si>
  <si>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</si>
  <si>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</si>
  <si>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</si>
  <si>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</si>
  <si>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</si>
  <si>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</si>
  <si>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</si>
  <si>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</si>
  <si>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</si>
  <si>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</si>
  <si>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</si>
  <si>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</si>
  <si>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</si>
  <si>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</si>
  <si>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</si>
  <si>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</si>
  <si>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</si>
  <si>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</si>
  <si>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</si>
  <si>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</si>
  <si>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</si>
  <si>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</si>
  <si>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</si>
  <si>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</si>
  <si>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</si>
  <si>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</si>
  <si>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</si>
  <si>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</si>
  <si>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</si>
  <si>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</si>
  <si>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</si>
  <si>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</si>
  <si>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</si>
  <si>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</si>
  <si>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</si>
  <si>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</si>
  <si>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</si>
  <si>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</si>
  <si>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</si>
  <si>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</si>
  <si>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</si>
  <si>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</si>
  <si>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</si>
  <si>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</si>
  <si>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</si>
  <si>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</si>
  <si>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</si>
  <si>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</si>
  <si>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</si>
  <si>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</si>
  <si>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</si>
  <si>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</si>
  <si>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</si>
  <si>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</si>
  <si>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</si>
  <si>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</si>
  <si>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</si>
  <si>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</si>
  <si>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</si>
  <si>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</si>
  <si>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</si>
  <si>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</si>
  <si>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</si>
  <si>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</si>
  <si>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</si>
  <si>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</si>
  <si>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</si>
  <si>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</si>
  <si>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</si>
  <si>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</si>
  <si>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</si>
  <si>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</si>
  <si>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</si>
  <si>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</si>
  <si>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</si>
  <si>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</si>
  <si>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</si>
  <si>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</si>
  <si>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</si>
  <si>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</si>
  <si>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</si>
  <si>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</si>
  <si>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</si>
  <si>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</si>
  <si>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</si>
  <si>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</si>
  <si>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</si>
  <si>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</si>
  <si>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</si>
  <si>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</si>
  <si>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</si>
  <si>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</si>
  <si>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</si>
  <si>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</si>
  <si>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</si>
  <si>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</si>
  <si>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</si>
  <si>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</si>
  <si>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</si>
  <si>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</si>
  <si>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</si>
  <si>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</si>
  <si>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</si>
  <si>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</si>
  <si>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</si>
  <si>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</si>
  <si>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</si>
  <si>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</si>
  <si>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</si>
  <si>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</si>
  <si>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</si>
  <si>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</si>
  <si>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</si>
  <si>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</si>
  <si>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</si>
  <si>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</si>
  <si>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</si>
  <si>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</si>
  <si>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</si>
  <si>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</si>
  <si>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</si>
  <si>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</si>
  <si>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</si>
  <si>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</si>
  <si>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</si>
  <si>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</si>
  <si>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</si>
  <si>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</si>
  <si>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</si>
  <si>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</si>
  <si>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</si>
  <si>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</si>
  <si>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</si>
  <si>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</si>
  <si>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</si>
  <si>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</si>
  <si>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</si>
  <si>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</si>
  <si>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</si>
  <si>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</si>
  <si>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</si>
  <si>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</si>
  <si>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</si>
  <si>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</si>
  <si>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</si>
  <si>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</si>
  <si>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</si>
  <si>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</si>
  <si>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</si>
  <si>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</si>
  <si>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</si>
  <si>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</si>
  <si>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</si>
  <si>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</si>
  <si>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</si>
  <si>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</si>
  <si>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</si>
  <si>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</si>
  <si>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</si>
  <si>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</si>
  <si>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</si>
  <si>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</si>
  <si>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</si>
  <si>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</si>
  <si>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</si>
  <si>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</si>
  <si>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</si>
  <si>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</si>
  <si>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</si>
  <si>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</si>
  <si>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</si>
  <si>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</si>
  <si>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</si>
  <si>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</si>
  <si>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</si>
  <si>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</si>
  <si>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</si>
  <si>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</si>
  <si>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</si>
  <si>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</si>
  <si>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</si>
  <si>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</si>
  <si>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</si>
  <si>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</si>
  <si>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</si>
  <si>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</si>
  <si>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</si>
  <si>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</si>
  <si>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</si>
  <si>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</si>
  <si>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</si>
  <si>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</si>
  <si>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</si>
  <si>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</si>
  <si>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</si>
  <si>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</si>
  <si>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</si>
  <si>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</si>
  <si>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</si>
  <si>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</si>
  <si>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</si>
  <si>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</si>
  <si>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</si>
  <si>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</si>
  <si>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</si>
  <si>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</si>
  <si>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</si>
  <si>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</si>
  <si>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</si>
  <si>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</si>
  <si>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</si>
  <si>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</si>
  <si>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</si>
  <si>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</si>
  <si>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</si>
  <si>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</si>
  <si>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</si>
  <si>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</si>
  <si>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</si>
  <si>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</si>
  <si>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</si>
  <si>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</si>
  <si>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</si>
  <si>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</si>
  <si>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</si>
  <si>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</si>
  <si>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</si>
  <si>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</si>
  <si>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</si>
  <si>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</si>
  <si>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</si>
  <si>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</si>
  <si>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</si>
  <si>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</si>
  <si>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</si>
  <si>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</si>
  <si>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</si>
  <si>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</si>
  <si>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</si>
  <si>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</si>
  <si>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</si>
  <si>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</si>
  <si>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</si>
  <si>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</si>
  <si>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</si>
  <si>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</si>
  <si>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</si>
  <si>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</si>
  <si>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</si>
  <si>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</si>
  <si>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</si>
  <si>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</si>
  <si>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</si>
  <si>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</si>
  <si>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</si>
  <si>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</si>
  <si>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</si>
  <si>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</si>
  <si>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</si>
  <si>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</si>
  <si>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</si>
  <si>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</si>
  <si>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</si>
  <si>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</si>
  <si>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</si>
  <si>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</si>
  <si>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</si>
  <si>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</si>
  <si>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</si>
  <si>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</si>
  <si>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</si>
  <si>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</si>
  <si>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</si>
  <si>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</si>
  <si>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</si>
  <si>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</si>
  <si>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</si>
  <si>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</si>
  <si>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</si>
  <si>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</si>
  <si>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</si>
  <si>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</si>
  <si>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</si>
  <si>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</si>
  <si>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</si>
  <si>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</si>
  <si>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</si>
  <si>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</si>
  <si>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</si>
  <si>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</si>
  <si>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</si>
  <si>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</si>
  <si>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</si>
  <si>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</si>
  <si>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</si>
  <si>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</si>
  <si>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</si>
  <si>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</si>
  <si>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</si>
  <si>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</si>
  <si>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</si>
  <si>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</si>
  <si>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</si>
  <si>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</si>
  <si>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</si>
  <si>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</si>
  <si>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</si>
  <si>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</si>
  <si>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</si>
  <si>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</si>
  <si>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</si>
  <si>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</si>
  <si>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</si>
  <si>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</si>
  <si>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</si>
  <si>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</si>
  <si>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</si>
  <si>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</si>
  <si>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</si>
  <si>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</si>
  <si>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</si>
  <si>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</si>
  <si>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</si>
  <si>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</si>
  <si>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</si>
  <si>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</si>
  <si>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</si>
  <si>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</si>
  <si>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</si>
  <si>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</si>
  <si>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</si>
  <si>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</si>
  <si>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</si>
  <si>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</si>
  <si>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</si>
  <si>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</si>
  <si>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</si>
  <si>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</si>
  <si>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</si>
  <si>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</si>
  <si>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</si>
  <si>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</si>
  <si>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</si>
  <si>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</si>
  <si>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</si>
  <si>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</si>
  <si>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</si>
  <si>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</si>
  <si>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</si>
  <si>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</si>
  <si>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</si>
  <si>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</si>
  <si>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</si>
  <si>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</si>
  <si>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</si>
  <si>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</si>
  <si>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</si>
  <si>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</si>
  <si>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</si>
  <si>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</si>
  <si>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</si>
  <si>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</si>
  <si>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</si>
  <si>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</si>
  <si>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</si>
  <si>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</si>
  <si>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</si>
  <si>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</si>
  <si>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</si>
  <si>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</si>
  <si>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</si>
  <si>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</si>
  <si>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</si>
  <si>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</si>
  <si>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</si>
  <si>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</si>
  <si>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</si>
  <si>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</si>
  <si>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</si>
  <si>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</si>
  <si>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</si>
  <si>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</si>
  <si>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</si>
  <si>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</si>
  <si>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</si>
  <si>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</si>
  <si>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</si>
  <si>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</si>
  <si>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</si>
  <si>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</si>
  <si>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</si>
  <si>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</si>
  <si>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</si>
  <si>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</si>
  <si>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</si>
  <si>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</si>
  <si>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</si>
  <si>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</si>
  <si>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</si>
  <si>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</si>
  <si>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</si>
  <si>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</si>
  <si>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</si>
  <si>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</si>
  <si>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</si>
  <si>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</si>
  <si>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</si>
  <si>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</si>
  <si>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</si>
  <si>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</si>
  <si>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</si>
  <si>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</si>
  <si>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</si>
  <si>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</si>
  <si>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</si>
  <si>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</si>
  <si>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</si>
  <si>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</si>
  <si>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</si>
  <si>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</si>
  <si>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</si>
  <si>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</si>
  <si>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</si>
  <si>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</si>
  <si>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</si>
  <si>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</si>
  <si>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</si>
  <si>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</si>
  <si>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</si>
  <si>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</si>
  <si>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</si>
  <si>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</si>
  <si>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</si>
  <si>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</si>
  <si>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</si>
  <si>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</si>
  <si>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</si>
  <si>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</si>
  <si>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</si>
  <si>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</si>
  <si>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</si>
  <si>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</si>
  <si>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</si>
  <si>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</si>
  <si>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</si>
  <si>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</si>
  <si>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</si>
  <si>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</si>
  <si>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</si>
  <si>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</si>
  <si>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</si>
  <si>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</si>
  <si>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</si>
  <si>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</si>
  <si>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</si>
  <si>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</si>
  <si>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</si>
  <si>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</si>
  <si>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</si>
  <si>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</si>
  <si>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</si>
  <si>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</si>
  <si>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</si>
  <si>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</si>
  <si>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</si>
  <si>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</si>
  <si>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</si>
  <si>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</si>
  <si>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</si>
  <si>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</si>
  <si>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</si>
  <si>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</si>
  <si>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</si>
  <si>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</si>
  <si>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</si>
  <si>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</si>
  <si>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</si>
  <si>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</si>
  <si>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</si>
  <si>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</si>
  <si>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</si>
  <si>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</si>
  <si>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</si>
  <si>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</si>
  <si>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</si>
  <si>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</si>
  <si>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</si>
  <si>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</si>
  <si>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</si>
  <si>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</si>
  <si>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</si>
  <si>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</si>
  <si>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</si>
  <si>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</si>
  <si>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</si>
  <si>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</si>
  <si>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</si>
  <si>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</si>
  <si>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</si>
  <si>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</si>
  <si>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</si>
  <si>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</si>
  <si>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</si>
  <si>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</si>
  <si>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</si>
  <si>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</si>
  <si>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</si>
  <si>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</si>
  <si>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</si>
  <si>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</si>
  <si>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</si>
  <si>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</si>
  <si>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</si>
  <si>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</si>
  <si>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</si>
  <si>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</si>
  <si>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</si>
  <si>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</si>
  <si>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</si>
  <si>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</si>
  <si>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</si>
  <si>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</si>
  <si>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</si>
  <si>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</si>
  <si>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</si>
  <si>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</si>
  <si>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</si>
  <si>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</si>
  <si>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</si>
  <si>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</si>
  <si>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</si>
  <si>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</si>
  <si>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</si>
  <si>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</si>
  <si>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</si>
  <si>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</si>
  <si>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</si>
  <si>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</si>
  <si>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</si>
  <si>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</si>
  <si>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</si>
  <si>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</si>
  <si>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</si>
  <si>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</si>
  <si>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</si>
  <si>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</si>
  <si>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</si>
  <si>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</si>
  <si>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</si>
  <si>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</si>
  <si>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</si>
  <si>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</si>
  <si>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</si>
  <si>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</si>
  <si>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</si>
  <si>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</si>
  <si>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</si>
  <si>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</si>
  <si>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</si>
  <si>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</si>
  <si>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</si>
  <si>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</si>
  <si>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</si>
  <si>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</si>
  <si>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</si>
  <si>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</si>
  <si>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</si>
  <si>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</si>
  <si>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</si>
  <si>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</si>
  <si>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</si>
  <si>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</si>
  <si>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</si>
  <si>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</si>
  <si>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</si>
  <si>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</si>
  <si>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</si>
  <si>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</si>
  <si>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</si>
  <si>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</si>
  <si>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</si>
  <si>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</si>
  <si>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</si>
  <si>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</si>
  <si>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</si>
  <si>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</si>
  <si>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</si>
  <si>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</si>
  <si>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</si>
  <si>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</si>
  <si>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</si>
  <si>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</si>
  <si>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</si>
  <si>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</si>
  <si>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</si>
  <si>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</si>
  <si>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</si>
  <si>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</si>
  <si>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</si>
  <si>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</si>
  <si>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</si>
  <si>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</si>
  <si>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</si>
  <si>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</si>
  <si>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</si>
  <si>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</si>
  <si>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</si>
  <si>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</si>
  <si>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</si>
  <si>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</si>
  <si>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</si>
  <si>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</si>
  <si>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</si>
  <si>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</si>
  <si>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</si>
  <si>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</si>
  <si>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</si>
  <si>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</si>
  <si>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</si>
  <si>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</si>
  <si>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</si>
  <si>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</si>
  <si>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</si>
  <si>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</si>
  <si>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</si>
  <si>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</si>
  <si>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</si>
  <si>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</si>
  <si>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</si>
  <si>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</si>
  <si>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</si>
  <si>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</si>
  <si>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</si>
  <si>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</si>
  <si>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</si>
  <si>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</si>
  <si>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</si>
  <si>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</si>
  <si>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</si>
  <si>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</si>
  <si>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</si>
  <si>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</si>
  <si>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</si>
  <si>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</si>
  <si>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</si>
  <si>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</si>
  <si>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</si>
  <si>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</si>
  <si>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</si>
  <si>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</si>
  <si>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</si>
  <si>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</si>
  <si>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</si>
  <si>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</si>
  <si>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</si>
  <si>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</si>
  <si>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</si>
  <si>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</si>
  <si>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</si>
  <si>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</si>
  <si>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</si>
  <si>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</si>
  <si>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</si>
  <si>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</si>
  <si>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</si>
  <si>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</si>
  <si>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</si>
  <si>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</si>
  <si>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</si>
  <si>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</si>
  <si>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</si>
  <si>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</si>
  <si>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</si>
  <si>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</si>
  <si>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</si>
  <si>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</si>
  <si>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</si>
  <si>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</si>
  <si>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</si>
  <si>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</si>
  <si>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</si>
  <si>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</si>
  <si>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</si>
  <si>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</si>
  <si>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</si>
  <si>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</si>
  <si>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</si>
  <si>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</si>
  <si>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</si>
  <si>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</si>
  <si>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</si>
  <si>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</si>
  <si>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</si>
  <si>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</si>
  <si>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</si>
  <si>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</si>
  <si>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</si>
  <si>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</si>
  <si>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</si>
  <si>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</si>
  <si>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</si>
  <si>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</si>
  <si>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</si>
  <si>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</si>
  <si>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</si>
  <si>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</si>
  <si>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</si>
  <si>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</si>
  <si>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</si>
  <si>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</si>
  <si>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</si>
  <si>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</si>
  <si>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</si>
  <si>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</si>
  <si>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</si>
  <si>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</si>
  <si>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</si>
  <si>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</si>
  <si>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</si>
  <si>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</si>
  <si>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</si>
  <si>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</si>
  <si>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</si>
  <si>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</si>
  <si>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</si>
  <si>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</si>
  <si>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</si>
  <si>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</si>
  <si>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</si>
  <si>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</si>
  <si>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</si>
  <si>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</si>
  <si>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</si>
  <si>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</si>
  <si>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</si>
  <si>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</si>
  <si>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</si>
  <si>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</si>
  <si>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</si>
  <si>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</si>
  <si>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</si>
  <si>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</si>
  <si>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</si>
  <si>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</si>
  <si>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</si>
  <si>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</si>
  <si>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</si>
  <si>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</si>
  <si>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</si>
  <si>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</si>
  <si>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</si>
  <si>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</si>
  <si>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</si>
  <si>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</si>
  <si>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</si>
  <si>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</si>
  <si>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</si>
  <si>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</si>
  <si>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</si>
  <si>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</si>
  <si>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</si>
  <si>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</si>
  <si>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</si>
  <si>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</si>
  <si>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</si>
  <si>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</si>
  <si>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</si>
  <si>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</si>
  <si>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</si>
  <si>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</si>
  <si>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</si>
  <si>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</si>
  <si>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</si>
  <si>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</si>
  <si>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</si>
  <si>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</si>
  <si>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</si>
  <si>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</si>
  <si>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</si>
  <si>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</si>
  <si>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</si>
  <si>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</si>
  <si>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</si>
  <si>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</si>
  <si>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</si>
  <si>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</si>
  <si>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</si>
  <si>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</si>
  <si>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</si>
  <si>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</si>
  <si>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</si>
  <si>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</si>
  <si>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</si>
  <si>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</si>
  <si>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</si>
  <si>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</si>
  <si>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</si>
  <si>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</si>
  <si>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</si>
  <si>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</si>
  <si>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</si>
  <si>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</si>
  <si>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</si>
  <si>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</si>
  <si>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</si>
  <si>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</si>
  <si>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</si>
  <si>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</si>
  <si>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</si>
  <si>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</si>
  <si>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</si>
  <si>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</si>
  <si>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</si>
  <si>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</si>
  <si>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</si>
  <si>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</si>
  <si>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</si>
  <si>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</si>
  <si>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</si>
  <si>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</si>
  <si>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</si>
  <si>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</si>
  <si>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</si>
  <si>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</si>
  <si>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</si>
  <si>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</si>
  <si>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</si>
  <si>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</si>
  <si>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</si>
  <si>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</si>
  <si>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</si>
  <si>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</si>
  <si>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</si>
  <si>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</si>
  <si>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</si>
  <si>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</si>
  <si>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</si>
  <si>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</si>
  <si>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</si>
  <si>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</si>
  <si>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</si>
  <si>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</si>
  <si>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</si>
  <si>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</si>
  <si>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</si>
  <si>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</si>
  <si>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</si>
  <si>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</si>
  <si>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</si>
  <si>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</si>
  <si>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</si>
  <si>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</si>
  <si>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</si>
  <si>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</si>
  <si>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</si>
  <si>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</si>
  <si>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</si>
  <si>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</si>
  <si>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</si>
  <si>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</si>
  <si>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</si>
  <si>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</si>
  <si>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</si>
  <si>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</si>
  <si>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</si>
  <si>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</si>
  <si>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</si>
  <si>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</si>
  <si>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</si>
  <si>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</si>
  <si>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</si>
  <si>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</si>
  <si>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</si>
  <si>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</si>
  <si>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</si>
  <si>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</si>
  <si>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</si>
  <si>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</si>
  <si>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</si>
  <si>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</si>
  <si>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</si>
  <si>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</si>
  <si>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</si>
  <si>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</si>
  <si>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</si>
  <si>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</si>
  <si>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</si>
  <si>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</si>
  <si>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</si>
  <si>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</si>
  <si>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</si>
  <si>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</si>
  <si>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</si>
  <si>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</si>
  <si>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</si>
  <si>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</si>
  <si>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</si>
  <si>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</si>
  <si>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</si>
  <si>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</si>
  <si>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</si>
  <si>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</si>
  <si>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</si>
  <si>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</si>
  <si>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</si>
  <si>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</si>
  <si>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</si>
  <si>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</si>
  <si>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</si>
  <si>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</si>
  <si>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</si>
  <si>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</si>
  <si>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</si>
  <si>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</si>
  <si>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</si>
  <si>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</si>
  <si>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</si>
  <si>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</si>
  <si>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</si>
  <si>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</si>
  <si>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</si>
  <si>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</si>
  <si>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</si>
  <si>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</si>
  <si>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</si>
  <si>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</si>
  <si>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</si>
  <si>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</si>
  <si>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</si>
  <si>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</si>
  <si>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</si>
  <si>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</si>
  <si>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</si>
  <si>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</si>
  <si>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</si>
  <si>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</si>
  <si>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</si>
  <si>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</si>
  <si>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</si>
  <si>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</si>
  <si>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</si>
  <si>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</si>
  <si>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</si>
  <si>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</si>
  <si>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</si>
  <si>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</si>
  <si>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</si>
  <si>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</si>
  <si>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</si>
  <si>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</si>
  <si>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</si>
  <si>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</si>
  <si>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</si>
  <si>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</si>
  <si>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</si>
  <si>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</si>
  <si>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</si>
  <si>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</si>
  <si>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</si>
  <si>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</si>
  <si>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</si>
  <si>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</si>
  <si>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</si>
  <si>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</si>
  <si>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</si>
  <si>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</si>
  <si>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</si>
  <si>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</si>
  <si>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</si>
  <si>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</si>
  <si>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</si>
  <si>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</si>
  <si>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</si>
  <si>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</si>
  <si>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</si>
  <si>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</si>
  <si>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</si>
  <si>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</si>
  <si>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</si>
  <si>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</si>
  <si>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</si>
  <si>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</si>
  <si>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</si>
  <si>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</si>
  <si>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</si>
  <si>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</si>
  <si>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</si>
  <si>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</si>
  <si>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</si>
  <si>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</si>
  <si>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</si>
  <si>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</si>
  <si>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</si>
  <si>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</si>
  <si>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</si>
  <si>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</si>
  <si>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</si>
  <si>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</si>
  <si>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</si>
  <si>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</si>
  <si>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</si>
  <si>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</si>
  <si>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</si>
  <si>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</si>
  <si>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</si>
  <si>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</si>
  <si>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</si>
  <si>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</si>
  <si>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</si>
  <si>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</si>
  <si>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</si>
  <si>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</si>
  <si>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</si>
  <si>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</si>
  <si>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</si>
  <si>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</si>
  <si>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</si>
  <si>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</si>
  <si>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</si>
  <si>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</si>
  <si>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</si>
  <si>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</si>
  <si>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</si>
  <si>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</si>
  <si>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</si>
  <si>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</si>
  <si>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</si>
  <si>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</si>
  <si>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</si>
  <si>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</si>
  <si>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</si>
  <si>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</si>
  <si>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</si>
  <si>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</si>
  <si>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</si>
  <si>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</si>
  <si>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</si>
  <si>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</si>
  <si>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</si>
  <si>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</si>
  <si>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</si>
  <si>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</si>
  <si>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</si>
  <si>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</si>
  <si>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</si>
  <si>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</si>
  <si>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</si>
  <si>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</si>
  <si>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</si>
  <si>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</si>
  <si>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</si>
  <si>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</si>
  <si>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</si>
  <si>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</si>
  <si>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</si>
  <si>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</si>
  <si>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</si>
  <si>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</si>
  <si>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</si>
  <si>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</si>
  <si>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</si>
  <si>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</si>
  <si>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</si>
  <si>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</si>
  <si>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</si>
  <si>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</si>
  <si>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</si>
  <si>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</si>
  <si>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</si>
  <si>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</si>
  <si>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</si>
  <si>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</si>
  <si>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</si>
  <si>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</si>
  <si>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</si>
  <si>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</si>
  <si>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</si>
  <si>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</si>
  <si>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</si>
  <si>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</si>
  <si>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</si>
  <si>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</si>
  <si>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</si>
  <si>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</si>
  <si>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</si>
  <si>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</si>
  <si>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</si>
  <si>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</si>
  <si>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</si>
  <si>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</si>
  <si>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</si>
  <si>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</si>
  <si>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</si>
  <si>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</si>
  <si>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</si>
  <si>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</si>
  <si>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</si>
  <si>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</si>
  <si>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</si>
  <si>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</si>
  <si>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</si>
  <si>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</si>
  <si>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</si>
  <si>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</si>
  <si>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</si>
  <si>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</si>
  <si>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</si>
  <si>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</si>
  <si>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</si>
  <si>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</si>
  <si>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</si>
  <si>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</si>
  <si>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</si>
  <si>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</si>
  <si>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</si>
  <si>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</si>
  <si>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</si>
  <si>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</si>
  <si>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</si>
  <si>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</si>
  <si>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</si>
  <si>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</si>
  <si>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</si>
  <si>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</si>
  <si>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</si>
  <si>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</si>
  <si>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</si>
  <si>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</si>
  <si>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</si>
  <si>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</si>
  <si>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</si>
  <si>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</si>
  <si>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</si>
  <si>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</si>
  <si>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</si>
  <si>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</si>
  <si>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</si>
  <si>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</si>
  <si>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</si>
  <si>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</si>
  <si>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</si>
  <si>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</si>
  <si>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</si>
  <si>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</si>
  <si>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</si>
  <si>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</si>
  <si>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</si>
  <si>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</si>
  <si>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</si>
  <si>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</si>
  <si>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</si>
  <si>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</si>
  <si>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</si>
  <si>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</si>
  <si>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</si>
  <si>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</si>
  <si>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</si>
  <si>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</si>
  <si>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</si>
  <si>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</si>
  <si>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</si>
  <si>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</si>
  <si>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</si>
  <si>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</si>
  <si>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</si>
  <si>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</si>
  <si>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</si>
  <si>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</si>
  <si>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</si>
  <si>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</si>
  <si>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</si>
  <si>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</si>
  <si>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</si>
  <si>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</si>
  <si>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</si>
  <si>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</si>
  <si>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</si>
  <si>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</si>
  <si>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</si>
  <si>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</si>
  <si>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</si>
  <si>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</si>
  <si>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</si>
  <si>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</si>
  <si>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</si>
  <si>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</si>
  <si>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</si>
  <si>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</si>
  <si>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</si>
  <si>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</si>
  <si>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</si>
  <si>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</si>
  <si>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</si>
  <si>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</si>
  <si>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</si>
  <si>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</si>
  <si>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</si>
  <si>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</si>
  <si>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</si>
  <si>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</si>
  <si>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</si>
  <si>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</si>
  <si>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</si>
  <si>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</si>
  <si>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</si>
  <si>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</si>
  <si>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</si>
  <si>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</si>
  <si>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</si>
  <si>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</si>
  <si>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</si>
  <si>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</si>
  <si>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</si>
  <si>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</si>
  <si>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</si>
  <si>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</si>
  <si>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</si>
  <si>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</si>
  <si>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</si>
  <si>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</si>
  <si>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</si>
  <si>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</si>
  <si>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</si>
  <si>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</si>
  <si>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</si>
  <si>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</si>
  <si>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</si>
  <si>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</si>
  <si>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</si>
  <si>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</si>
  <si>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</si>
  <si>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</si>
  <si>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</si>
  <si>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</si>
  <si>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</si>
  <si>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</si>
  <si>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</si>
  <si>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</si>
  <si>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</si>
  <si>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</si>
  <si>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</si>
  <si>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地上</t>
  </si>
  <si>
    <t>地下</t>
  </si>
  <si>
    <t>车库</t>
  </si>
  <si>
    <t>仓储</t>
  </si>
  <si>
    <t>地块名称</t>
  </si>
  <si>
    <t>城市</t>
  </si>
  <si>
    <t>用地性质</t>
  </si>
  <si>
    <t>建设用地面积(㎡)</t>
  </si>
  <si>
    <t>规划建筑面积(㎡)</t>
  </si>
  <si>
    <t>出让方式</t>
  </si>
  <si>
    <t>截止日期</t>
  </si>
  <si>
    <t>起始价(万元)</t>
  </si>
  <si>
    <t>成交价(万元)</t>
  </si>
  <si>
    <t>成交楼面价(元/㎡)</t>
  </si>
  <si>
    <t>溢价率</t>
  </si>
  <si>
    <t>受让单位</t>
  </si>
  <si>
    <t>西安市</t>
  </si>
  <si>
    <t>挂牌</t>
  </si>
  <si>
    <t>2017-12-01</t>
  </si>
  <si>
    <t>西安荣盛健康旅游发展有限公司</t>
  </si>
  <si>
    <t>2014-05-20</t>
  </si>
  <si>
    <t>2013-12-19</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</si>
  <si>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</si>
  <si>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</si>
  <si>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</si>
  <si>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</si>
  <si>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</si>
  <si>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</si>
  <si>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</si>
  <si>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</si>
  <si>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</si>
  <si>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</si>
  <si>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</si>
  <si>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</si>
  <si>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</si>
  <si>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</si>
  <si>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</si>
  <si>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</si>
  <si>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</si>
  <si>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</si>
  <si>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</si>
  <si>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</si>
  <si>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</si>
  <si>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</si>
  <si>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西安曲江临潼旅游商业发展有限公司</t>
  </si>
  <si>
    <t>2012-09-24</t>
  </si>
  <si>
    <t>1.7-1.9</t>
  </si>
  <si>
    <t>商业/办公用地</t>
  </si>
  <si>
    <t>临潼区凤凰大道以南、芷阳三路以东、陵园路以西</t>
  </si>
  <si>
    <t>0.6-1.0</t>
  </si>
  <si>
    <t>西安市临潼区祥泰房地产开发有限公司</t>
  </si>
  <si>
    <t>2013-07-10</t>
  </si>
  <si>
    <t>≤1.08</t>
  </si>
  <si>
    <t>临潼区骊山街道办事处,西临快速干道以南</t>
  </si>
  <si>
    <t>西安市临潼区佰意旅游开发有限公司</t>
  </si>
  <si>
    <t>≤1.1</t>
  </si>
  <si>
    <t>西安三御唐实业有限责任公司</t>
  </si>
  <si>
    <t>≤1.26</t>
  </si>
  <si>
    <t>临潼区下北街居民及临潼区骊山供销合作社以西、下北街居民以东、临潼区剧院以南、西大街以北</t>
  </si>
  <si>
    <t>2013-09-13</t>
  </si>
  <si>
    <t>≤1.18</t>
  </si>
  <si>
    <t>临潼区骊山街道办事处辖区,快速干道以南、房西路东侧</t>
  </si>
  <si>
    <t>西安骊秦建筑工程有限公司</t>
  </si>
  <si>
    <t>≤1.25</t>
  </si>
  <si>
    <t>临潼区骊山街道办事处辖区,书院西路北侧、健康路东侧</t>
  </si>
  <si>
    <t>西安西恩温泉奥特莱斯文化旅游有限公司</t>
  </si>
  <si>
    <t>≥1、≤1.5</t>
  </si>
  <si>
    <t>临潼区凤凰大道以北、芷阳二路以西</t>
  </si>
  <si>
    <t>西安锦华置业有限公司</t>
  </si>
  <si>
    <t>≥1、≤1.44</t>
  </si>
  <si>
    <t>西安曲江临潼国家旅游休闲度假区快速干道以北、南大街以西</t>
  </si>
  <si>
    <t>陕西万丽房地产开发有限责任公司</t>
  </si>
  <si>
    <t>2014-12-31</t>
  </si>
  <si>
    <t>西安曲江临潼国家旅游休闲度假区凤凰大道以北、芷阳四路以东、芷阳三路以西</t>
  </si>
  <si>
    <t>西安科达房地产开发有限公司</t>
  </si>
  <si>
    <t>2015-05-12</t>
  </si>
  <si>
    <t>≤3.5</t>
  </si>
  <si>
    <t>临潼区斜口街办新区二号路以西、秦汉大道以南</t>
  </si>
  <si>
    <t>西安市临潼区新都市城市发展有限公司</t>
  </si>
  <si>
    <t>2017-01-24</t>
  </si>
  <si>
    <t>≤3.35</t>
  </si>
  <si>
    <t>临潼区斜口街道办事处,秦汉大道以南、新区经济适用房以北</t>
  </si>
  <si>
    <t>西安市临潼区大秦陶俑制作有限公司</t>
  </si>
  <si>
    <t>2017-02-28</t>
  </si>
  <si>
    <t>≥1.5且≤2</t>
  </si>
  <si>
    <t>临潼区陇海铁路南侧、108国道西侧</t>
  </si>
  <si>
    <t>陕西安康安建房地产开发有限责任公司</t>
  </si>
  <si>
    <t>2017-04-07</t>
  </si>
  <si>
    <t>临潼区陇海铁路南侧、108国道北侧</t>
  </si>
  <si>
    <t>≥1且≤1.2</t>
  </si>
  <si>
    <t>临潼区秦陵街办王硷村道路以东</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</si>
  <si>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</si>
  <si>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商业</t>
  </si>
  <si>
    <t>商业</t>
    <phoneticPr fontId="7"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</si>
  <si>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</si>
  <si>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</si>
  <si>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多为社区底商，一般</t>
  </si>
  <si>
    <t>多为社区底商，一般</t>
    <phoneticPr fontId="26" type="noConversion"/>
  </si>
  <si>
    <t>一般</t>
  </si>
  <si>
    <t>一般</t>
    <phoneticPr fontId="26" type="noConversion"/>
  </si>
  <si>
    <t>骊山新家园、骊山下的院子，一般</t>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</si>
  <si>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</si>
  <si>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临支路，1公里内无公共交通，较差</t>
    <phoneticPr fontId="3" type="noConversion"/>
  </si>
  <si>
    <t>估价对象所在区域公共配套设施齐备情况一般</t>
    <phoneticPr fontId="3" type="noConversion"/>
  </si>
  <si>
    <t>估价对象所在区域基础设施水平七通</t>
    <phoneticPr fontId="3" type="noConversion"/>
  </si>
  <si>
    <t>贾平凹文化艺术馆、鹦鹉寺公园、西安工程大学、北京大学光华管理学院西安分院，较好</t>
    <phoneticPr fontId="3" type="noConversion"/>
  </si>
  <si>
    <t>支路——芷阳二路</t>
    <phoneticPr fontId="3" type="noConversion"/>
  </si>
  <si>
    <t>多为社区底商，一般</t>
    <phoneticPr fontId="3" type="noConversion"/>
  </si>
  <si>
    <t>较不一致</t>
    <phoneticPr fontId="21" type="noConversion"/>
  </si>
  <si>
    <t>单面临街</t>
  </si>
  <si>
    <t>较差</t>
    <phoneticPr fontId="26" type="noConversion"/>
  </si>
  <si>
    <t>较差</t>
    <phoneticPr fontId="26" type="noConversion"/>
  </si>
  <si>
    <t>较好</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</si>
  <si>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</si>
  <si>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七通</t>
  </si>
  <si>
    <t>A</t>
    <phoneticPr fontId="233" type="noConversion"/>
  </si>
  <si>
    <t>B</t>
    <phoneticPr fontId="233" type="noConversion"/>
  </si>
  <si>
    <t>C</t>
    <phoneticPr fontId="233" type="noConversion"/>
  </si>
  <si>
    <t>兵马俑博物馆</t>
    <phoneticPr fontId="26" type="noConversion"/>
  </si>
  <si>
    <t>无</t>
    <phoneticPr fontId="26" type="noConversion"/>
  </si>
  <si>
    <t>秦唐大道</t>
    <phoneticPr fontId="26" type="noConversion"/>
  </si>
  <si>
    <t>支路</t>
  </si>
  <si>
    <t>支路</t>
    <phoneticPr fontId="26" type="noConversion"/>
  </si>
  <si>
    <t>芷阳二路</t>
    <phoneticPr fontId="26" type="noConversion"/>
  </si>
  <si>
    <t>主干道</t>
    <phoneticPr fontId="26" type="noConversion"/>
  </si>
  <si>
    <t>次干道</t>
  </si>
  <si>
    <t>次干道</t>
    <phoneticPr fontId="26" type="noConversion"/>
  </si>
  <si>
    <t>未命名支路</t>
    <phoneticPr fontId="26" type="noConversion"/>
  </si>
  <si>
    <t>未命名支路</t>
    <phoneticPr fontId="26" type="noConversion"/>
  </si>
  <si>
    <t>较不规则</t>
    <phoneticPr fontId="26" type="noConversion"/>
  </si>
  <si>
    <t>较适宜</t>
    <phoneticPr fontId="26" type="noConversion"/>
  </si>
  <si>
    <t>抵押价格</t>
  </si>
  <si>
    <t>尚品·熙街</t>
    <phoneticPr fontId="3" type="noConversion"/>
  </si>
  <si>
    <t>龙发·昭慧天街</t>
    <phoneticPr fontId="3" type="noConversion"/>
  </si>
  <si>
    <t>西安华南城</t>
    <phoneticPr fontId="3" type="noConversion"/>
  </si>
  <si>
    <t>商业</t>
    <phoneticPr fontId="26" type="noConversion"/>
  </si>
  <si>
    <t>30-40（含）</t>
  </si>
  <si>
    <t>高陵鹿苑大道与上林二路交汇处西南角</t>
    <phoneticPr fontId="3" type="noConversion"/>
  </si>
  <si>
    <t>高陵县昭慧广场西侧</t>
    <phoneticPr fontId="3" type="noConversion"/>
  </si>
  <si>
    <t>国际港务区港务大道8号</t>
    <phoneticPr fontId="3" type="noConversion"/>
  </si>
  <si>
    <t>钢混</t>
    <phoneticPr fontId="26" type="noConversion"/>
  </si>
  <si>
    <t>七通</t>
    <phoneticPr fontId="26" type="noConversion"/>
  </si>
  <si>
    <t>可餐饮</t>
  </si>
  <si>
    <t>可餐饮</t>
    <phoneticPr fontId="26" type="noConversion"/>
  </si>
  <si>
    <t>不可餐饮</t>
    <phoneticPr fontId="26" type="noConversion"/>
  </si>
  <si>
    <t>超高</t>
    <phoneticPr fontId="26" type="noConversion"/>
  </si>
  <si>
    <t>标准</t>
  </si>
  <si>
    <t>标准</t>
    <phoneticPr fontId="26" type="noConversion"/>
  </si>
  <si>
    <t>较适宜</t>
  </si>
  <si>
    <t>较适宜</t>
    <phoneticPr fontId="26" type="noConversion"/>
  </si>
  <si>
    <t>毛坯</t>
  </si>
  <si>
    <t>毛坯</t>
    <phoneticPr fontId="26" type="noConversion"/>
  </si>
  <si>
    <t>好</t>
  </si>
  <si>
    <t>好</t>
    <phoneticPr fontId="26" type="noConversion"/>
  </si>
  <si>
    <t>较好</t>
  </si>
  <si>
    <t>较好</t>
    <phoneticPr fontId="26" type="noConversion"/>
  </si>
  <si>
    <t>大</t>
    <phoneticPr fontId="26" type="noConversion"/>
  </si>
  <si>
    <t>较大</t>
    <phoneticPr fontId="26" type="noConversion"/>
  </si>
  <si>
    <t>商业综合体</t>
  </si>
  <si>
    <t>商业综合体</t>
    <phoneticPr fontId="26" type="noConversion"/>
  </si>
  <si>
    <t>商业街商铺</t>
    <phoneticPr fontId="26" type="noConversion"/>
  </si>
  <si>
    <t>独栋商业</t>
    <phoneticPr fontId="26" type="noConversion"/>
  </si>
  <si>
    <t>较差</t>
  </si>
  <si>
    <t>一般</t>
    <phoneticPr fontId="26" type="noConversion"/>
  </si>
  <si>
    <t>2层</t>
    <phoneticPr fontId="233" type="noConversion"/>
  </si>
  <si>
    <t>1层</t>
    <phoneticPr fontId="233" type="noConversion"/>
  </si>
  <si>
    <t>单价</t>
    <phoneticPr fontId="233" type="noConversion"/>
  </si>
  <si>
    <t>总价</t>
    <phoneticPr fontId="233" type="noConversion"/>
  </si>
  <si>
    <t>系数</t>
    <phoneticPr fontId="233" type="noConversion"/>
  </si>
  <si>
    <t>楼层</t>
    <phoneticPr fontId="233" type="noConversion"/>
  </si>
  <si>
    <t>商业楼层修正系数表</t>
    <phoneticPr fontId="233" type="noConversion"/>
  </si>
  <si>
    <t>面积</t>
    <phoneticPr fontId="233" type="noConversion"/>
  </si>
  <si>
    <t>合计</t>
    <phoneticPr fontId="233" type="noConversion"/>
  </si>
  <si>
    <t>——</t>
    <phoneticPr fontId="233" type="noConversion"/>
  </si>
  <si>
    <r>
      <rPr>
        <sz val="11"/>
        <rFont val="宋体"/>
        <family val="3"/>
        <charset val="134"/>
      </rPr>
      <t>地铁</t>
    </r>
    <r>
      <rPr>
        <sz val="11"/>
        <rFont val="Arial"/>
        <family val="2"/>
      </rPr>
      <t>3</t>
    </r>
    <r>
      <rPr>
        <sz val="11"/>
        <rFont val="宋体"/>
        <family val="3"/>
        <charset val="134"/>
      </rPr>
      <t>号线，较好</t>
    </r>
    <phoneticPr fontId="26" type="noConversion"/>
  </si>
  <si>
    <t>土地平整费用</t>
    <phoneticPr fontId="9" type="noConversion"/>
  </si>
  <si>
    <r>
      <t>1-2</t>
    </r>
    <r>
      <rPr>
        <sz val="11"/>
        <color indexed="8"/>
        <rFont val="宋体"/>
        <family val="3"/>
        <charset val="134"/>
      </rPr>
      <t>层</t>
    </r>
    <phoneticPr fontId="26" type="noConversion"/>
  </si>
  <si>
    <t>1-2层</t>
  </si>
  <si>
    <t>社区配套商业</t>
  </si>
  <si>
    <t>社区配套商业</t>
    <phoneticPr fontId="26" type="noConversion"/>
  </si>
  <si>
    <t>六通</t>
    <phoneticPr fontId="3" type="noConversion"/>
  </si>
  <si>
    <t>六通</t>
    <phoneticPr fontId="3" type="noConversion"/>
  </si>
  <si>
    <t>六通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</si>
</sst>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6" fillId="0" borderId="0" xfId="15" applyFont="1"/>
    <xf numFmtId="0" fontId="86" fillId="9" borderId="0" xfId="15" applyFill="1"/>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6" fillId="0" borderId="2" xfId="0" applyFont="1" applyFill="1" applyBorder="1" applyAlignment="1">
      <alignment horizontal="center" vertical="center"/>
    </xf>
    <xf numFmtId="0" fontId="146" fillId="0" borderId="2" xfId="0" applyFont="1" applyBorder="1" applyAlignment="1">
      <alignment horizontal="center" vertical="center"/>
    </xf>
    <xf numFmtId="0" fontId="203" fillId="0" borderId="11" xfId="0" applyFont="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177" fontId="76" fillId="17" borderId="2" xfId="2" applyNumberFormat="1" applyFont="1" applyFill="1" applyBorder="1" applyAlignment="1" applyProtection="1">
      <alignment horizontal="center" vertical="center"/>
      <protection locked="0"/>
    </xf>
    <xf numFmtId="10" fontId="71" fillId="17" borderId="2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49" fontId="83" fillId="6" borderId="7" xfId="0" applyNumberFormat="1" applyFont="1" applyFill="1" applyBorder="1" applyAlignment="1" applyProtection="1">
      <alignment vertical="center"/>
      <protection locked="0"/>
    </xf>
    <xf numFmtId="0" fontId="84" fillId="6" borderId="1" xfId="0"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17" xfId="0" applyFont="1" applyBorder="1" applyAlignment="1">
      <alignment horizontal="center" vertical="center"/>
    </xf>
    <xf numFmtId="0" fontId="145" fillId="0" borderId="19" xfId="0" applyFont="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6</xdr:col>
      <xdr:colOff>342900</xdr:colOff>
      <xdr:row>46</xdr:row>
      <xdr:rowOff>127497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2771775"/>
          <a:ext cx="5610225" cy="4823322"/>
        </a:xfrm>
        <a:prstGeom prst="rect">
          <a:avLst/>
        </a:prstGeom>
      </xdr:spPr>
    </xdr:pic>
    <xdr:clientData/>
  </xdr:twoCellAnchor>
  <xdr:twoCellAnchor editAs="oneCell">
    <xdr:from>
      <xdr:col>0</xdr:col>
      <xdr:colOff>0</xdr:colOff>
      <xdr:row>46</xdr:row>
      <xdr:rowOff>4014</xdr:rowOff>
    </xdr:from>
    <xdr:to>
      <xdr:col>6</xdr:col>
      <xdr:colOff>323850</xdr:colOff>
      <xdr:row>62</xdr:row>
      <xdr:rowOff>112164</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471614"/>
          <a:ext cx="5591175" cy="2698950"/>
        </a:xfrm>
        <a:prstGeom prst="rect">
          <a:avLst/>
        </a:prstGeom>
      </xdr:spPr>
    </xdr:pic>
    <xdr:clientData/>
  </xdr:twoCellAnchor>
  <xdr:twoCellAnchor editAs="oneCell">
    <xdr:from>
      <xdr:col>7</xdr:col>
      <xdr:colOff>361949</xdr:colOff>
      <xdr:row>16</xdr:row>
      <xdr:rowOff>152132</xdr:rowOff>
    </xdr:from>
    <xdr:to>
      <xdr:col>13</xdr:col>
      <xdr:colOff>1694435</xdr:colOff>
      <xdr:row>45</xdr:row>
      <xdr:rowOff>103833</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6229349" y="2761982"/>
          <a:ext cx="4999611" cy="4647526"/>
        </a:xfrm>
        <a:prstGeom prst="rect">
          <a:avLst/>
        </a:prstGeom>
      </xdr:spPr>
    </xdr:pic>
    <xdr:clientData/>
  </xdr:twoCellAnchor>
  <xdr:twoCellAnchor editAs="oneCell">
    <xdr:from>
      <xdr:col>7</xdr:col>
      <xdr:colOff>419099</xdr:colOff>
      <xdr:row>45</xdr:row>
      <xdr:rowOff>19051</xdr:rowOff>
    </xdr:from>
    <xdr:to>
      <xdr:col>13</xdr:col>
      <xdr:colOff>2199373</xdr:colOff>
      <xdr:row>62</xdr:row>
      <xdr:rowOff>29604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6286499" y="7324726"/>
          <a:ext cx="5447399" cy="2763278"/>
        </a:xfrm>
        <a:prstGeom prst="rect">
          <a:avLst/>
        </a:prstGeom>
      </xdr:spPr>
    </xdr:pic>
    <xdr:clientData/>
  </xdr:twoCellAnchor>
  <xdr:twoCellAnchor editAs="oneCell">
    <xdr:from>
      <xdr:col>0</xdr:col>
      <xdr:colOff>1</xdr:colOff>
      <xdr:row>65</xdr:row>
      <xdr:rowOff>0</xdr:rowOff>
    </xdr:from>
    <xdr:to>
      <xdr:col>6</xdr:col>
      <xdr:colOff>278726</xdr:colOff>
      <xdr:row>95</xdr:row>
      <xdr:rowOff>47625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10544175"/>
          <a:ext cx="5546050" cy="4905375"/>
        </a:xfrm>
        <a:prstGeom prst="rect">
          <a:avLst/>
        </a:prstGeom>
      </xdr:spPr>
    </xdr:pic>
    <xdr:clientData/>
  </xdr:twoCellAnchor>
  <xdr:twoCellAnchor editAs="oneCell">
    <xdr:from>
      <xdr:col>0</xdr:col>
      <xdr:colOff>0</xdr:colOff>
      <xdr:row>96</xdr:row>
      <xdr:rowOff>0</xdr:rowOff>
    </xdr:from>
    <xdr:to>
      <xdr:col>7</xdr:col>
      <xdr:colOff>18315</xdr:colOff>
      <xdr:row>116</xdr:row>
      <xdr:rowOff>161500</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5563850"/>
          <a:ext cx="5885715" cy="3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285750</xdr:colOff>
      <xdr:row>1</xdr:row>
      <xdr:rowOff>0</xdr:rowOff>
    </xdr:from>
    <xdr:to>
      <xdr:col>20</xdr:col>
      <xdr:colOff>218055</xdr:colOff>
      <xdr:row>13</xdr:row>
      <xdr:rowOff>114029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772150" y="171450"/>
          <a:ext cx="8161905" cy="2171429"/>
        </a:xfrm>
        <a:prstGeom prst="rect">
          <a:avLst/>
        </a:prstGeom>
      </xdr:spPr>
    </xdr:pic>
    <xdr:clientData/>
  </xdr:twoCellAnchor>
  <xdr:twoCellAnchor editAs="oneCell">
    <xdr:from>
      <xdr:col>8</xdr:col>
      <xdr:colOff>314325</xdr:colOff>
      <xdr:row>17</xdr:row>
      <xdr:rowOff>38100</xdr:rowOff>
    </xdr:from>
    <xdr:to>
      <xdr:col>20</xdr:col>
      <xdr:colOff>360916</xdr:colOff>
      <xdr:row>27</xdr:row>
      <xdr:rowOff>152172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800725" y="2952750"/>
          <a:ext cx="8276191" cy="1828572"/>
        </a:xfrm>
        <a:prstGeom prst="rect">
          <a:avLst/>
        </a:prstGeom>
      </xdr:spPr>
    </xdr:pic>
    <xdr:clientData/>
  </xdr:twoCellAnchor>
  <xdr:twoCellAnchor editAs="oneCell">
    <xdr:from>
      <xdr:col>0</xdr:col>
      <xdr:colOff>0</xdr:colOff>
      <xdr:row>0</xdr:row>
      <xdr:rowOff>0</xdr:rowOff>
    </xdr:from>
    <xdr:to>
      <xdr:col>8</xdr:col>
      <xdr:colOff>163457</xdr:colOff>
      <xdr:row>15</xdr:row>
      <xdr:rowOff>9525</xdr:rowOff>
    </xdr:to>
    <xdr:pic>
      <xdr:nvPicPr>
        <xdr:cNvPr id="5" name="图片 4"/>
        <xdr:cNvPicPr>
          <a:picLocks noChangeAspect="1"/>
        </xdr:cNvPicPr>
      </xdr:nvPicPr>
      <xdr:blipFill>
        <a:blip xmlns:r="http://schemas.openxmlformats.org/officeDocument/2006/relationships" r:embed="rId3" cstate="print"/>
        <a:stretch>
          <a:fillRect/>
        </a:stretch>
      </xdr:blipFill>
      <xdr:spPr>
        <a:xfrm>
          <a:off x="0" y="0"/>
          <a:ext cx="5649857" cy="2581275"/>
        </a:xfrm>
        <a:prstGeom prst="rect">
          <a:avLst/>
        </a:prstGeom>
      </xdr:spPr>
    </xdr:pic>
    <xdr:clientData/>
  </xdr:twoCellAnchor>
  <xdr:twoCellAnchor editAs="oneCell">
    <xdr:from>
      <xdr:col>0</xdr:col>
      <xdr:colOff>1</xdr:colOff>
      <xdr:row>16</xdr:row>
      <xdr:rowOff>0</xdr:rowOff>
    </xdr:from>
    <xdr:to>
      <xdr:col>8</xdr:col>
      <xdr:colOff>200025</xdr:colOff>
      <xdr:row>30</xdr:row>
      <xdr:rowOff>69512</xdr:rowOff>
    </xdr:to>
    <xdr:pic>
      <xdr:nvPicPr>
        <xdr:cNvPr id="6" name="图片 5"/>
        <xdr:cNvPicPr>
          <a:picLocks noChangeAspect="1"/>
        </xdr:cNvPicPr>
      </xdr:nvPicPr>
      <xdr:blipFill>
        <a:blip xmlns:r="http://schemas.openxmlformats.org/officeDocument/2006/relationships" r:embed="rId4" cstate="print"/>
        <a:stretch>
          <a:fillRect/>
        </a:stretch>
      </xdr:blipFill>
      <xdr:spPr>
        <a:xfrm>
          <a:off x="1" y="2743200"/>
          <a:ext cx="5686424" cy="2469812"/>
        </a:xfrm>
        <a:prstGeom prst="rect">
          <a:avLst/>
        </a:prstGeom>
      </xdr:spPr>
    </xdr:pic>
    <xdr:clientData/>
  </xdr:twoCellAnchor>
  <xdr:twoCellAnchor editAs="oneCell">
    <xdr:from>
      <xdr:col>0</xdr:col>
      <xdr:colOff>0</xdr:colOff>
      <xdr:row>31</xdr:row>
      <xdr:rowOff>1</xdr:rowOff>
    </xdr:from>
    <xdr:to>
      <xdr:col>8</xdr:col>
      <xdr:colOff>262365</xdr:colOff>
      <xdr:row>45</xdr:row>
      <xdr:rowOff>57151</xdr:rowOff>
    </xdr:to>
    <xdr:pic>
      <xdr:nvPicPr>
        <xdr:cNvPr id="7" name="图片 6"/>
        <xdr:cNvPicPr>
          <a:picLocks noChangeAspect="1"/>
        </xdr:cNvPicPr>
      </xdr:nvPicPr>
      <xdr:blipFill>
        <a:blip xmlns:r="http://schemas.openxmlformats.org/officeDocument/2006/relationships" r:embed="rId5" cstate="print"/>
        <a:stretch>
          <a:fillRect/>
        </a:stretch>
      </xdr:blipFill>
      <xdr:spPr>
        <a:xfrm>
          <a:off x="0" y="5314951"/>
          <a:ext cx="5748765" cy="2457450"/>
        </a:xfrm>
        <a:prstGeom prst="rect">
          <a:avLst/>
        </a:prstGeom>
      </xdr:spPr>
    </xdr:pic>
    <xdr:clientData/>
  </xdr:twoCellAnchor>
  <xdr:twoCellAnchor editAs="oneCell">
    <xdr:from>
      <xdr:col>8</xdr:col>
      <xdr:colOff>447674</xdr:colOff>
      <xdr:row>30</xdr:row>
      <xdr:rowOff>93137</xdr:rowOff>
    </xdr:from>
    <xdr:to>
      <xdr:col>16</xdr:col>
      <xdr:colOff>618083</xdr:colOff>
      <xdr:row>45</xdr:row>
      <xdr:rowOff>113822</xdr:rowOff>
    </xdr:to>
    <xdr:pic>
      <xdr:nvPicPr>
        <xdr:cNvPr id="8" name="图片 7"/>
        <xdr:cNvPicPr>
          <a:picLocks noChangeAspect="1"/>
        </xdr:cNvPicPr>
      </xdr:nvPicPr>
      <xdr:blipFill>
        <a:blip xmlns:r="http://schemas.openxmlformats.org/officeDocument/2006/relationships" r:embed="rId6" cstate="print"/>
        <a:stretch>
          <a:fillRect/>
        </a:stretch>
      </xdr:blipFill>
      <xdr:spPr>
        <a:xfrm>
          <a:off x="5934074" y="5236637"/>
          <a:ext cx="5656809" cy="2592435"/>
        </a:xfrm>
        <a:prstGeom prst="rect">
          <a:avLst/>
        </a:prstGeom>
      </xdr:spPr>
    </xdr:pic>
    <xdr:clientData/>
  </xdr:twoCellAnchor>
  <xdr:twoCellAnchor editAs="oneCell">
    <xdr:from>
      <xdr:col>0</xdr:col>
      <xdr:colOff>0</xdr:colOff>
      <xdr:row>47</xdr:row>
      <xdr:rowOff>0</xdr:rowOff>
    </xdr:from>
    <xdr:to>
      <xdr:col>9</xdr:col>
      <xdr:colOff>199229</xdr:colOff>
      <xdr:row>81</xdr:row>
      <xdr:rowOff>37367</xdr:rowOff>
    </xdr:to>
    <xdr:pic>
      <xdr:nvPicPr>
        <xdr:cNvPr id="9" name="图片 8"/>
        <xdr:cNvPicPr>
          <a:picLocks noChangeAspect="1"/>
        </xdr:cNvPicPr>
      </xdr:nvPicPr>
      <xdr:blipFill>
        <a:blip xmlns:r="http://schemas.openxmlformats.org/officeDocument/2006/relationships" r:embed="rId7" cstate="print"/>
        <a:stretch>
          <a:fillRect/>
        </a:stretch>
      </xdr:blipFill>
      <xdr:spPr>
        <a:xfrm>
          <a:off x="0" y="8058150"/>
          <a:ext cx="6371429" cy="5866667"/>
        </a:xfrm>
        <a:prstGeom prst="rect">
          <a:avLst/>
        </a:prstGeom>
      </xdr:spPr>
    </xdr:pic>
    <xdr:clientData/>
  </xdr:twoCellAnchor>
  <xdr:twoCellAnchor editAs="oneCell">
    <xdr:from>
      <xdr:col>9</xdr:col>
      <xdr:colOff>371475</xdr:colOff>
      <xdr:row>47</xdr:row>
      <xdr:rowOff>47625</xdr:rowOff>
    </xdr:from>
    <xdr:to>
      <xdr:col>15</xdr:col>
      <xdr:colOff>399532</xdr:colOff>
      <xdr:row>67</xdr:row>
      <xdr:rowOff>56720</xdr:rowOff>
    </xdr:to>
    <xdr:pic>
      <xdr:nvPicPr>
        <xdr:cNvPr id="10" name="图片 9"/>
        <xdr:cNvPicPr>
          <a:picLocks noChangeAspect="1"/>
        </xdr:cNvPicPr>
      </xdr:nvPicPr>
      <xdr:blipFill>
        <a:blip xmlns:r="http://schemas.openxmlformats.org/officeDocument/2006/relationships" r:embed="rId8" cstate="print"/>
        <a:stretch>
          <a:fillRect/>
        </a:stretch>
      </xdr:blipFill>
      <xdr:spPr>
        <a:xfrm>
          <a:off x="6543675" y="8105775"/>
          <a:ext cx="4142857" cy="3438095"/>
        </a:xfrm>
        <a:prstGeom prst="rect">
          <a:avLst/>
        </a:prstGeom>
      </xdr:spPr>
    </xdr:pic>
    <xdr:clientData/>
  </xdr:twoCellAnchor>
  <xdr:twoCellAnchor editAs="oneCell">
    <xdr:from>
      <xdr:col>0</xdr:col>
      <xdr:colOff>0</xdr:colOff>
      <xdr:row>82</xdr:row>
      <xdr:rowOff>0</xdr:rowOff>
    </xdr:from>
    <xdr:to>
      <xdr:col>9</xdr:col>
      <xdr:colOff>131658</xdr:colOff>
      <xdr:row>97</xdr:row>
      <xdr:rowOff>9525</xdr:rowOff>
    </xdr:to>
    <xdr:pic>
      <xdr:nvPicPr>
        <xdr:cNvPr id="11" name="图片 10"/>
        <xdr:cNvPicPr>
          <a:picLocks noChangeAspect="1"/>
        </xdr:cNvPicPr>
      </xdr:nvPicPr>
      <xdr:blipFill>
        <a:blip xmlns:r="http://schemas.openxmlformats.org/officeDocument/2006/relationships" r:embed="rId9" cstate="print"/>
        <a:stretch>
          <a:fillRect/>
        </a:stretch>
      </xdr:blipFill>
      <xdr:spPr>
        <a:xfrm>
          <a:off x="0" y="14058900"/>
          <a:ext cx="6303858" cy="2581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ADMINI~1/LOCALS~1/Temp/360zip$Temp/360$0/&#35199;&#23433;&#34701;&#21019;&#39033;&#30446;/&#35810;&#20215;/&#35199;&#23433;&#35810;&#20215;%20(&#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土地案例商业"/>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1">
          <cell r="C21" t="str">
            <v>车库</v>
          </cell>
        </row>
        <row r="22">
          <cell r="C22"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商业</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t="str">
        <f>'预评函-封皮'!B40</f>
        <v>融创</v>
      </c>
    </row>
    <row r="4" spans="1:55" s="2879" customFormat="1">
      <c r="A4" s="2877" t="s">
        <v>2664</v>
      </c>
      <c r="B4" s="2878" t="str">
        <f>'预评函-封皮'!B46</f>
        <v>刘梅、吴薇</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21659.53平方米。根据《建设工程规划许可证》[]、《出让合同》[]，估价对象规划建筑面积为32489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2661</v>
      </c>
      <c r="B10" s="2878" t="str">
        <f>'预评函-1'!A11</f>
        <v>2018年6月25日（评估专业人员勘察现场之日）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根据《国有土地使用证》[]，估价对象（分摊）出让国有建设用地使用权面积为21659.53平方米。根据《建设工程规划许可证》[]、《出让合同》[]，估价对象规划建筑面积为32489平方米。</v>
      </c>
    </row>
    <row r="16" spans="1:55" s="2876" customFormat="1">
      <c r="A16" s="2877" t="s">
        <v>2671</v>
      </c>
      <c r="B16" s="2878" t="str">
        <f>'预评函-1'!A22</f>
        <v>本次估价对象为出让国有建设用地使用权，《国有土地使用证》[]证载土地终止日期为住宅2086年8月18日、商业2056年8月18日地下车库2066年8月18日、地下仓储2066年8月18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估价期日：2018年6月25日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红线外七通、宗地红线内场地平整</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21659.53</v>
      </c>
    </row>
    <row r="44" spans="1:2">
      <c r="A44" s="2877" t="s">
        <v>2742</v>
      </c>
      <c r="B44" s="2878" t="str">
        <f>'预评函-2'!O3</f>
        <v>规划建筑面积/㎡</v>
      </c>
    </row>
    <row r="45" spans="1:2">
      <c r="A45" s="2877" t="s">
        <v>2724</v>
      </c>
      <c r="B45" s="2878">
        <f>'预评函-2'!O5</f>
        <v>32489</v>
      </c>
    </row>
    <row r="46" spans="1:2">
      <c r="A46" s="2877" t="s">
        <v>2725</v>
      </c>
      <c r="B46" s="2878">
        <f ca="1">'预评函-2'!P5</f>
        <v>3256</v>
      </c>
    </row>
    <row r="47" spans="1:2">
      <c r="A47" s="2877" t="s">
        <v>2726</v>
      </c>
      <c r="B47" s="2878">
        <f ca="1">'预评函-2'!Q5</f>
        <v>2171</v>
      </c>
    </row>
    <row r="48" spans="1:2">
      <c r="A48" s="2877" t="s">
        <v>2727</v>
      </c>
      <c r="B48" s="2878">
        <f ca="1">'预评函-2'!R5</f>
        <v>7052</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2.基础设施条件：估价对象实际开发程度为红线外七通、宗地红线内场地平整；本次评估设定开发程度为红线外七通、宗地红线内场地。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刘梅</v>
      </c>
    </row>
    <row r="70" spans="1:2">
      <c r="A70" s="2877" t="s">
        <v>2692</v>
      </c>
      <c r="B70" s="2884">
        <f ca="1">'预评函-3'!B20</f>
        <v>2008110059</v>
      </c>
    </row>
    <row r="71" spans="1:2">
      <c r="A71" s="2877" t="s">
        <v>2693</v>
      </c>
      <c r="B71" s="2878" t="str">
        <f>'预评函-3'!A21</f>
        <v>吴薇</v>
      </c>
    </row>
    <row r="72" spans="1:2" s="2892" customFormat="1" ht="15" thickBot="1">
      <c r="A72" s="2899" t="s">
        <v>2693</v>
      </c>
      <c r="B72" s="2905">
        <f ca="1">'预评函-3'!B21</f>
        <v>2002110125</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K10" sqref="K1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65" t="str">
        <f>IF(B10="北京市","北京市",C10)&amp;F10&amp;B16&amp;"国有建设用地使用权"&amp;B9&amp;"预评估"</f>
        <v>出让国有建设用地使用权抵押价格预评估</v>
      </c>
      <c r="C1" s="3266"/>
      <c r="D1" s="3266"/>
      <c r="E1" s="3266"/>
      <c r="F1" s="3266"/>
      <c r="G1" s="3266"/>
      <c r="H1" s="3266"/>
      <c r="I1" s="3267"/>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43276</v>
      </c>
      <c r="C3" s="1661" t="s">
        <v>1997</v>
      </c>
      <c r="D3" s="1660">
        <v>43276</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2982</v>
      </c>
      <c r="C4" s="1844">
        <f ca="1">SUMIF(土地估价师,B4,估价师及机构信息!E3:E24)</f>
        <v>2008110059</v>
      </c>
      <c r="D4" s="1841" t="s">
        <v>2983</v>
      </c>
      <c r="E4" s="1844">
        <f ca="1">SUMIF(土地估价师,D4,估价师及机构信息!E3:E24)</f>
        <v>2002110125</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2984</v>
      </c>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t="s">
        <v>2985</v>
      </c>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t="str">
        <f>B5</f>
        <v>融创</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2986</v>
      </c>
      <c r="C8" s="1669"/>
      <c r="D8" s="3271"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3125</v>
      </c>
      <c r="C9" s="1673"/>
      <c r="D9" s="3272"/>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2987</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2988</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68"/>
      <c r="C12" s="3269"/>
      <c r="D12" s="3270"/>
      <c r="E12" s="1697" t="s">
        <v>2063</v>
      </c>
      <c r="F12" s="3286" t="s">
        <v>2891</v>
      </c>
      <c r="G12" s="3287"/>
      <c r="H12" s="3287"/>
      <c r="I12" s="3288"/>
      <c r="J12" s="1692"/>
      <c r="K12" s="1772"/>
      <c r="L12" s="1721"/>
      <c r="M12" s="1721"/>
      <c r="N12" s="1692"/>
      <c r="O12" s="1693"/>
      <c r="P12" s="1692"/>
      <c r="Q12" s="1692"/>
      <c r="R12" s="1692"/>
      <c r="S12" s="1692"/>
      <c r="T12" s="1692"/>
      <c r="U12" s="1692"/>
    </row>
    <row r="13" spans="1:21">
      <c r="A13" s="1685" t="s">
        <v>2061</v>
      </c>
      <c r="B13" s="3268"/>
      <c r="C13" s="3269"/>
      <c r="D13" s="3270"/>
      <c r="E13" s="1697" t="s">
        <v>2063</v>
      </c>
      <c r="F13" s="3286" t="s">
        <v>2892</v>
      </c>
      <c r="G13" s="3287"/>
      <c r="H13" s="3287"/>
      <c r="I13" s="3288"/>
      <c r="J13" s="1692"/>
      <c r="K13" s="1772"/>
      <c r="L13" s="1721"/>
      <c r="M13" s="1721"/>
      <c r="N13" s="1692"/>
      <c r="O13" s="1693"/>
      <c r="P13" s="1692"/>
      <c r="Q13" s="1692"/>
      <c r="R13" s="1692"/>
      <c r="S13" s="1692"/>
      <c r="T13" s="1692"/>
      <c r="U13" s="1692"/>
    </row>
    <row r="14" spans="1:21">
      <c r="A14" s="1659" t="s">
        <v>2064</v>
      </c>
      <c r="B14" s="1697"/>
      <c r="C14" s="1843" t="s">
        <v>2989</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2990</v>
      </c>
      <c r="C16" s="1697" t="s">
        <v>1950</v>
      </c>
      <c r="D16" s="2645" t="s">
        <v>1951</v>
      </c>
      <c r="E16" s="1720" t="s">
        <v>3086</v>
      </c>
      <c r="F16" s="1720"/>
      <c r="G16" s="1720" t="s">
        <v>35</v>
      </c>
      <c r="H16" s="1720" t="s">
        <v>3025</v>
      </c>
      <c r="I16" s="1684" t="s">
        <v>1956</v>
      </c>
      <c r="J16" s="1692"/>
      <c r="K16" s="2455" t="str">
        <f>IF(D17="","",D16&amp;TEXT(D17,"yyyy年m月d日;;"))</f>
        <v>住宅2086年8月18日</v>
      </c>
      <c r="L16" s="1697" t="str">
        <f>IF(OR(K16="",M16=""),"","、")</f>
        <v>、</v>
      </c>
      <c r="M16" s="2455" t="str">
        <f>IF(E17="","",E16&amp;TEXT(E17,"yyyy年m月d日;;"))</f>
        <v>商业2056年8月18日</v>
      </c>
      <c r="N16" s="1697" t="str">
        <f>IF(OR(M16="",O16=""),"","、")</f>
        <v/>
      </c>
      <c r="O16" s="2455" t="str">
        <f>IF(F17="","",F16&amp;TEXT(F17,"yyyy年m月d日;;"))</f>
        <v/>
      </c>
      <c r="P16" s="1697" t="str">
        <f>IF(OR(O16="",Q16=""),"","、")</f>
        <v/>
      </c>
      <c r="Q16" s="2455" t="str">
        <f>IF(G17="","",G16&amp;TEXT(G17,"yyyy年m月d日;;"))</f>
        <v>地下车库2066年8月18日</v>
      </c>
      <c r="R16" s="1697" t="str">
        <f>IF(OR(Q16="",S16=""),"","、")</f>
        <v>、</v>
      </c>
      <c r="S16" s="2455" t="str">
        <f>IF(H17="","",H16&amp;TEXT(H17,"yyyy年m月d日;;"))</f>
        <v>地下仓储2066年8月18日</v>
      </c>
      <c r="T16" s="1697" t="str">
        <f>IF(OR(S16="",U16=""),"","、")</f>
        <v/>
      </c>
      <c r="U16" s="2455" t="str">
        <f>IF(I17="","",I16&amp;TEXT(I17,"yyyy年m月d日;;"))</f>
        <v/>
      </c>
    </row>
    <row r="17" spans="1:21">
      <c r="A17" s="1761"/>
      <c r="B17" s="1680"/>
      <c r="C17" s="1681" t="s">
        <v>1957</v>
      </c>
      <c r="D17" s="1698">
        <v>68167</v>
      </c>
      <c r="E17" s="1698">
        <v>57210</v>
      </c>
      <c r="F17" s="1698"/>
      <c r="G17" s="1698">
        <v>60862</v>
      </c>
      <c r="H17" s="1698">
        <v>60862</v>
      </c>
      <c r="I17" s="1698"/>
      <c r="J17" s="1692"/>
      <c r="K17" s="2454" t="str">
        <f>CONCATENATE(K16,L16,M16,N16,O16,P16,Q16,R16,S16,T16,,U16)</f>
        <v>住宅2086年8月18日、商业2056年8月18日地下车库2066年8月18日、地下仓储2066年8月18日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v>50</v>
      </c>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68.19</v>
      </c>
      <c r="E19" s="1683">
        <f>IF(B16="出让",IF(E17="","",ROUNDDOWN(MIN((E17-$D$3)/365,E18),2)),E18)</f>
        <v>38.17</v>
      </c>
      <c r="F19" s="1683" t="str">
        <f>IF(B16="出让",IF(F17="","",ROUNDDOWN(MIN((F17-$D$3)/365,F18),2)),F18)</f>
        <v/>
      </c>
      <c r="G19" s="1683">
        <f>IF(B16="出让",IF(G17="","",ROUNDDOWN(MIN((G17-$D$3)/365,G18),2)),G18)</f>
        <v>48.18</v>
      </c>
      <c r="H19" s="1683">
        <f>IF(B16="出让",IF(H17="","",ROUNDDOWN(MIN((H17-$D$3)/365,H18),2)),H18)</f>
        <v>48.18</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83"/>
      <c r="E20" s="3284"/>
      <c r="F20" s="3284"/>
      <c r="G20" s="3284"/>
      <c r="H20" s="3284"/>
      <c r="I20" s="3285"/>
      <c r="J20" s="1692"/>
      <c r="K20" s="1772"/>
      <c r="L20" s="1721"/>
      <c r="M20" s="1721"/>
      <c r="N20" s="1692"/>
      <c r="O20" s="1693"/>
      <c r="P20" s="1692"/>
      <c r="Q20" s="1692"/>
      <c r="R20" s="1692"/>
      <c r="S20" s="1692"/>
      <c r="T20" s="1692"/>
      <c r="U20" s="1692"/>
    </row>
    <row r="21" spans="1:21">
      <c r="A21" s="1761" t="s">
        <v>1960</v>
      </c>
      <c r="B21" s="1762" t="s">
        <v>1961</v>
      </c>
      <c r="C21" s="1757">
        <f>'数据-汇总表'!E3</f>
        <v>32489</v>
      </c>
      <c r="D21" s="1758" t="s">
        <v>1962</v>
      </c>
      <c r="E21" s="3273" t="s">
        <v>2000</v>
      </c>
      <c r="F21" s="3274"/>
      <c r="G21" s="3274"/>
      <c r="H21" s="3274"/>
      <c r="I21" s="3275"/>
      <c r="J21" s="1692"/>
      <c r="K21" s="1772"/>
      <c r="L21" s="1721"/>
      <c r="M21" s="1721"/>
      <c r="N21" s="1692"/>
      <c r="O21" s="1693"/>
      <c r="P21" s="1692"/>
      <c r="Q21" s="1692"/>
      <c r="R21" s="1692"/>
      <c r="S21" s="1692"/>
      <c r="T21" s="1692"/>
      <c r="U21" s="1692"/>
    </row>
    <row r="22" spans="1:21">
      <c r="A22" s="3146" t="s">
        <v>951</v>
      </c>
      <c r="B22" s="1659" t="s">
        <v>1963</v>
      </c>
      <c r="C22" s="1684">
        <f>'数据-汇总表'!D3</f>
        <v>21659.53</v>
      </c>
      <c r="D22" s="1685" t="s">
        <v>1962</v>
      </c>
      <c r="E22" s="3273" t="s">
        <v>2893</v>
      </c>
      <c r="F22" s="3274"/>
      <c r="G22" s="3274"/>
      <c r="H22" s="3274"/>
      <c r="I22" s="3275"/>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76" t="s">
        <v>1968</v>
      </c>
      <c r="C24" s="3277"/>
      <c r="D24" s="3278" t="s">
        <v>1969</v>
      </c>
      <c r="E24" s="3279"/>
      <c r="F24" s="1706" t="s">
        <v>1970</v>
      </c>
      <c r="G24" s="1692"/>
      <c r="H24" s="1692"/>
      <c r="I24" s="1705"/>
      <c r="J24" s="1692"/>
      <c r="K24" s="3264"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64"/>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64"/>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50" t="s">
        <v>2003</v>
      </c>
      <c r="B31" s="1762" t="s">
        <v>2004</v>
      </c>
      <c r="C31" s="3289" t="s">
        <v>2991</v>
      </c>
      <c r="D31" s="3290"/>
      <c r="E31" s="1692"/>
      <c r="F31" s="1692"/>
      <c r="G31" s="1692"/>
      <c r="H31" s="1692"/>
      <c r="I31" s="1705"/>
      <c r="J31" s="1692"/>
      <c r="K31" s="2457"/>
      <c r="L31" s="1692"/>
      <c r="M31" s="1692"/>
      <c r="N31" s="1692"/>
      <c r="O31" s="1692"/>
      <c r="P31" s="1692"/>
      <c r="Q31" s="1692"/>
      <c r="R31" s="1692"/>
      <c r="S31" s="1692"/>
      <c r="T31" s="1692"/>
      <c r="U31" s="1692"/>
    </row>
    <row r="32" spans="1:21">
      <c r="A32" s="3250"/>
      <c r="B32" s="1659" t="s">
        <v>2005</v>
      </c>
      <c r="C32" s="1717" t="s">
        <v>2992</v>
      </c>
      <c r="D32" s="1718"/>
      <c r="E32" s="1692"/>
      <c r="F32" s="1692"/>
      <c r="G32" s="1692"/>
      <c r="H32" s="1692"/>
      <c r="I32" s="1705"/>
      <c r="J32" s="1692"/>
      <c r="K32" s="2457"/>
      <c r="L32" s="1692"/>
      <c r="M32" s="1692"/>
      <c r="N32" s="1692"/>
      <c r="O32" s="1692"/>
      <c r="P32" s="1692"/>
      <c r="Q32" s="1692"/>
      <c r="R32" s="1692"/>
      <c r="S32" s="1692"/>
      <c r="T32" s="1692"/>
      <c r="U32" s="1692"/>
    </row>
    <row r="33" spans="1:21">
      <c r="A33" s="3250"/>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1"/>
      <c r="B34" s="1659" t="s">
        <v>2007</v>
      </c>
      <c r="C34" s="3252"/>
      <c r="D34" s="3253"/>
      <c r="E34" s="1692"/>
      <c r="F34" s="1692"/>
      <c r="G34" s="1692"/>
      <c r="H34" s="1692"/>
      <c r="I34" s="1705"/>
      <c r="J34" s="1692"/>
      <c r="K34" s="2457"/>
      <c r="L34" s="1692"/>
      <c r="M34" s="1692"/>
      <c r="N34" s="1692"/>
      <c r="O34" s="1692"/>
      <c r="P34" s="1692"/>
      <c r="Q34" s="1692"/>
      <c r="R34" s="1692"/>
      <c r="S34" s="1692"/>
      <c r="T34" s="1692"/>
      <c r="U34" s="1692"/>
    </row>
    <row r="35" spans="1:21">
      <c r="A35" s="3254" t="s">
        <v>846</v>
      </c>
      <c r="B35" s="1720" t="s">
        <v>2993</v>
      </c>
      <c r="C35" s="1774" t="str">
        <f>IF(B35="场地平整","——","具体情况：")</f>
        <v>——</v>
      </c>
      <c r="D35" s="3256"/>
      <c r="E35" s="3257"/>
      <c r="F35" s="3257"/>
      <c r="G35" s="3257"/>
      <c r="H35" s="3257"/>
      <c r="I35" s="3258"/>
      <c r="J35" s="1692"/>
      <c r="K35" s="1773"/>
      <c r="L35" s="1721"/>
      <c r="M35" s="1721"/>
      <c r="N35" s="1692"/>
      <c r="O35" s="1693"/>
      <c r="P35" s="1692"/>
      <c r="Q35" s="1692"/>
      <c r="R35" s="1692"/>
      <c r="S35" s="1692"/>
      <c r="T35" s="1692"/>
      <c r="U35" s="1692"/>
    </row>
    <row r="36" spans="1:21">
      <c r="A36" s="3250"/>
      <c r="B36" s="3259" t="s">
        <v>2056</v>
      </c>
      <c r="C36" s="3260"/>
      <c r="D36" s="1790"/>
      <c r="E36" s="3261"/>
      <c r="F36" s="3261"/>
      <c r="G36" s="1685" t="str">
        <f>IF(B35="场地未平整","估价结果处理","")</f>
        <v/>
      </c>
      <c r="H36" s="3262"/>
      <c r="I36" s="3262"/>
      <c r="J36" s="1692"/>
      <c r="K36" s="1773"/>
      <c r="L36" s="1721"/>
      <c r="M36" s="1721"/>
      <c r="N36" s="1692"/>
      <c r="O36" s="1693"/>
      <c r="P36" s="1692"/>
      <c r="Q36" s="1692"/>
      <c r="R36" s="1692"/>
      <c r="S36" s="1692"/>
      <c r="T36" s="1692"/>
      <c r="U36" s="1692"/>
    </row>
    <row r="37" spans="1:21" ht="28.5">
      <c r="A37" s="3250"/>
      <c r="B37" s="3280"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0"/>
      <c r="B38" s="3281"/>
      <c r="C38" s="1667" t="s">
        <v>849</v>
      </c>
      <c r="D38" s="1789">
        <f>ROUNDDOWN(MIN(('数据-取费表'!$B$2-D37)/365,D34),1)</f>
        <v>118.5</v>
      </c>
      <c r="E38" s="1725" t="s">
        <v>850</v>
      </c>
      <c r="F38" s="1692"/>
      <c r="G38" s="1692"/>
      <c r="H38" s="1692"/>
      <c r="I38" s="1705"/>
      <c r="J38" s="1692"/>
      <c r="K38" s="1773"/>
      <c r="L38" s="1692"/>
      <c r="M38" s="1692"/>
      <c r="N38" s="1692"/>
      <c r="O38" s="1692"/>
      <c r="P38" s="1692"/>
      <c r="Q38" s="1692"/>
      <c r="R38" s="1692"/>
      <c r="S38" s="1692"/>
      <c r="T38" s="1692"/>
      <c r="U38" s="1692"/>
    </row>
    <row r="39" spans="1:21">
      <c r="A39" s="3251"/>
      <c r="B39" s="3282"/>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63" t="s">
        <v>1987</v>
      </c>
      <c r="T40" s="1729" t="str">
        <f>NUMBERSTRING(7-K40,1)&amp;"通"</f>
        <v>七通</v>
      </c>
      <c r="U40" s="1692"/>
    </row>
    <row r="41" spans="1:21">
      <c r="A41" s="1661"/>
      <c r="B41" s="3255" t="s">
        <v>1721</v>
      </c>
      <c r="C41" s="3255"/>
      <c r="D41" s="3255"/>
      <c r="E41" s="3255"/>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63"/>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2894</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9" t="s">
        <v>2335</v>
      </c>
      <c r="BA2" s="2360"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21871.53</v>
      </c>
      <c r="B3" s="22">
        <f>IF(C3="否",G5-AT5,G5)</f>
        <v>32807</v>
      </c>
      <c r="C3" s="23" t="s">
        <v>1678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32807</v>
      </c>
      <c r="H5" s="27">
        <f t="shared" ref="H5:AT5" si="0">SUM(H13:H641)</f>
        <v>32807</v>
      </c>
      <c r="I5" s="27">
        <f t="shared" si="0"/>
        <v>32807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167</v>
      </c>
      <c r="AW5" s="987"/>
      <c r="AX5" s="987"/>
      <c r="AY5" s="28" t="s">
        <v>3</v>
      </c>
      <c r="AZ5" s="29">
        <f t="shared" ref="AZ5:BT5" si="1">SUM(AZ13:AZ641)</f>
        <v>32489</v>
      </c>
      <c r="BA5" s="29">
        <f t="shared" si="1"/>
        <v>32489</v>
      </c>
      <c r="BB5" s="29">
        <f t="shared" si="1"/>
        <v>32489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21871.53</v>
      </c>
      <c r="F6" s="27" t="s">
        <v>1</v>
      </c>
      <c r="G6" s="27" t="s">
        <v>2</v>
      </c>
      <c r="H6" s="33">
        <f>SUMIF(I$12:AB$12,"总值",I6:AB6)</f>
        <v>21871.53</v>
      </c>
      <c r="I6" s="27">
        <f t="shared" ref="I6:AB6" si="2">ROUND($A$3*I5/$B$3,2)</f>
        <v>21871.53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21659.53</v>
      </c>
      <c r="AZ6" s="27" t="s">
        <v>3</v>
      </c>
      <c r="BA6" s="27">
        <f>ROUND($AY$6*BA5/$AZ$5,2)</f>
        <v>21659.53</v>
      </c>
      <c r="BB6" s="27">
        <f>ROUND($AY$6*BB5/$AZ$5,2)</f>
        <v>21659.53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6"/>
      <c r="AT8" s="2327" t="s">
        <v>854</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18" t="s">
        <v>2994</v>
      </c>
      <c r="J9" s="51"/>
      <c r="K9" s="3018" t="s">
        <v>2995</v>
      </c>
      <c r="L9" s="51"/>
      <c r="M9" s="3018" t="s">
        <v>2995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8"/>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18" t="s">
        <v>3086</v>
      </c>
      <c r="J10" s="51"/>
      <c r="K10" s="3020" t="s">
        <v>2996</v>
      </c>
      <c r="L10" s="51"/>
      <c r="M10" s="3020" t="s">
        <v>2997</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19"/>
      <c r="J11" s="71"/>
      <c r="K11" s="3019"/>
      <c r="L11" s="71"/>
      <c r="M11" s="70"/>
      <c r="N11" s="71"/>
      <c r="O11" s="70"/>
      <c r="P11" s="71"/>
      <c r="Q11" s="70"/>
      <c r="R11" s="71"/>
      <c r="S11" s="70"/>
      <c r="T11" s="71"/>
      <c r="U11" s="70"/>
      <c r="V11" s="71"/>
      <c r="W11" s="70"/>
      <c r="X11" s="71"/>
      <c r="Y11" s="70"/>
      <c r="Z11" s="71"/>
      <c r="AA11" s="70"/>
      <c r="AB11" s="71"/>
      <c r="AC11" s="55"/>
      <c r="AD11" s="2333" t="s">
        <v>2332</v>
      </c>
      <c r="AE11" s="1000"/>
      <c r="AF11" s="2333" t="s">
        <v>2332</v>
      </c>
      <c r="AG11" s="1000"/>
      <c r="AH11" s="2333" t="s">
        <v>2331</v>
      </c>
      <c r="AI11" s="2334"/>
      <c r="AJ11" s="2333" t="s">
        <v>2331</v>
      </c>
      <c r="AK11" s="2332"/>
      <c r="AL11" s="998"/>
      <c r="AM11" s="1000"/>
      <c r="AN11" s="998"/>
      <c r="AO11" s="1000"/>
      <c r="AP11" s="1186"/>
      <c r="AQ11" s="1188"/>
      <c r="AR11" s="1186"/>
      <c r="AS11" s="1188"/>
      <c r="AT11" s="1001"/>
      <c r="AU11" s="45"/>
      <c r="AV11" s="55"/>
      <c r="AW11" s="1001"/>
      <c r="AX11" s="55"/>
      <c r="AY11" s="62"/>
      <c r="AZ11" s="62"/>
      <c r="BA11" s="62"/>
      <c r="BB11" s="50" t="str">
        <f>I10</f>
        <v>商业</v>
      </c>
      <c r="BC11" s="50" t="str">
        <f>K10</f>
        <v>车库</v>
      </c>
      <c r="BD11" s="50" t="str">
        <f>M10</f>
        <v>仓储</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13"/>
      <c r="B13" s="3013"/>
      <c r="C13" s="3013" t="s">
        <v>1952</v>
      </c>
      <c r="D13" s="3014" t="s">
        <v>1678</v>
      </c>
      <c r="E13" s="27">
        <f t="shared" ref="E13:E20" si="6">IF($C$3="是",ROUND($A$3*G13/$B$3,2),ROUND($A$3*(G13-AT13)/$B$3,2))</f>
        <v>21659.53</v>
      </c>
      <c r="F13" s="81"/>
      <c r="G13" s="82">
        <f t="shared" ref="G13:G20" si="7">H13+AC13+AT13</f>
        <v>32489</v>
      </c>
      <c r="H13" s="33">
        <f t="shared" ref="H13:H20" si="8">SUMIF(I$12:AB$12,"总值",I13:AB13)</f>
        <v>32489</v>
      </c>
      <c r="I13" s="3221">
        <v>32489</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t="str">
        <f t="shared" si="10"/>
        <v>商业</v>
      </c>
      <c r="AY13" s="994">
        <f t="shared" ref="AY13:AY20" si="11">ROUND($AY$6*AZ13/$AZ$5,2)</f>
        <v>21659.53</v>
      </c>
      <c r="AZ13" s="27">
        <f t="shared" ref="AZ13:AZ20" si="12">BA13+BL13</f>
        <v>32489</v>
      </c>
      <c r="BA13" s="27">
        <f t="shared" ref="BA13:BA20" si="13">SUM(BB13:BK13)</f>
        <v>32489</v>
      </c>
      <c r="BB13" s="27">
        <f t="shared" ref="BB13:BB20" si="14">IF($D13="是",I13-J13,0)</f>
        <v>32489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t="s">
        <v>3020</v>
      </c>
      <c r="E14" s="27">
        <f t="shared" si="6"/>
        <v>212</v>
      </c>
      <c r="F14" s="81"/>
      <c r="G14" s="82">
        <f t="shared" si="7"/>
        <v>318</v>
      </c>
      <c r="H14" s="33">
        <f t="shared" si="8"/>
        <v>318</v>
      </c>
      <c r="I14" s="3017">
        <v>318</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7"/>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1" t="s">
        <v>0</v>
      </c>
      <c r="B1" s="3291" t="s">
        <v>4</v>
      </c>
      <c r="C1" s="3291" t="s">
        <v>5</v>
      </c>
      <c r="D1" s="3292" t="s">
        <v>40</v>
      </c>
      <c r="E1" s="3292" t="s">
        <v>41</v>
      </c>
      <c r="F1" s="3292"/>
      <c r="G1" s="3292"/>
      <c r="H1" s="3292"/>
      <c r="I1" s="3292"/>
      <c r="J1" s="3292"/>
      <c r="K1" s="3292"/>
      <c r="L1" s="3292"/>
      <c r="M1" s="3292"/>
    </row>
    <row r="2" spans="1:13" ht="27" customHeight="1">
      <c r="A2" s="3291"/>
      <c r="B2" s="3291"/>
      <c r="C2" s="3291"/>
      <c r="D2" s="3292"/>
      <c r="E2" s="3292" t="s">
        <v>24</v>
      </c>
      <c r="F2" s="3292" t="s">
        <v>25</v>
      </c>
      <c r="G2" s="3292"/>
      <c r="H2" s="3292"/>
      <c r="I2" s="3292"/>
      <c r="J2" s="3292" t="s">
        <v>26</v>
      </c>
      <c r="K2" s="3292"/>
      <c r="L2" s="3292"/>
      <c r="M2" s="3292"/>
    </row>
    <row r="3" spans="1:13" ht="28.5">
      <c r="A3" s="3291"/>
      <c r="B3" s="3291"/>
      <c r="C3" s="3291"/>
      <c r="D3" s="3292"/>
      <c r="E3" s="329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2" t="s">
        <v>42</v>
      </c>
      <c r="B9" s="3292"/>
      <c r="C9" s="329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1" sqref="H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302" t="s">
        <v>202</v>
      </c>
      <c r="B2" s="3302"/>
      <c r="C2" s="3302"/>
      <c r="D2" s="1974" t="s">
        <v>203</v>
      </c>
      <c r="E2" s="106" t="s">
        <v>204</v>
      </c>
      <c r="F2" s="1983"/>
      <c r="G2" s="1196"/>
      <c r="H2" s="1197"/>
      <c r="I2" s="1198" t="s">
        <v>856</v>
      </c>
      <c r="J2" s="1983"/>
      <c r="K2" s="1983"/>
      <c r="L2" s="1983"/>
    </row>
    <row r="3" spans="1:16" ht="15.75" thickBot="1">
      <c r="A3" s="3303" t="s">
        <v>205</v>
      </c>
      <c r="B3" s="3303"/>
      <c r="C3" s="3303"/>
      <c r="D3" s="107">
        <f>'数据-基础表'!AY6</f>
        <v>21659.53</v>
      </c>
      <c r="E3" s="107">
        <f>'数据-基础表'!AZ5</f>
        <v>32489</v>
      </c>
      <c r="F3" s="1983"/>
      <c r="G3" s="279" t="s">
        <v>857</v>
      </c>
      <c r="H3" s="274" t="s">
        <v>858</v>
      </c>
      <c r="I3" s="1975">
        <f>ROUND('数据-基础表'!B3/'数据-基础表'!A3,2)</f>
        <v>1.5</v>
      </c>
      <c r="J3" s="1983"/>
      <c r="K3" s="1983"/>
      <c r="L3" s="1983"/>
    </row>
    <row r="4" spans="1:16" ht="15">
      <c r="A4" s="3304"/>
      <c r="B4" s="3305"/>
      <c r="C4" s="3306"/>
      <c r="D4" s="108" t="s">
        <v>203</v>
      </c>
      <c r="E4" s="109" t="s">
        <v>204</v>
      </c>
      <c r="F4" s="1983"/>
      <c r="G4" s="1199"/>
      <c r="H4" s="274" t="s">
        <v>859</v>
      </c>
      <c r="I4" s="1975">
        <f>ROUND(SUMIF('数据-基础表'!I9:AS9,"地上",'数据-基础表'!I5:AS5)/'数据-基础表'!A3,2)</f>
        <v>1.5</v>
      </c>
      <c r="J4" s="1983"/>
      <c r="K4" s="1983"/>
      <c r="L4" s="1983"/>
    </row>
    <row r="5" spans="1:16">
      <c r="A5" s="110" t="s">
        <v>206</v>
      </c>
      <c r="B5" s="3307" t="s">
        <v>229</v>
      </c>
      <c r="C5" s="3307"/>
      <c r="D5" s="111">
        <f>ROUND($D$3*E5/$E$3,2)</f>
        <v>0</v>
      </c>
      <c r="E5" s="112">
        <f>SUMIF('数据-基础表'!$11:$11,"住宅",'数据-基础表'!$5:$5)</f>
        <v>0</v>
      </c>
      <c r="F5" s="1983"/>
      <c r="G5" s="279" t="s">
        <v>860</v>
      </c>
      <c r="H5" s="274" t="s">
        <v>858</v>
      </c>
      <c r="I5" s="1975">
        <f>ROUND(E31/D31,2)</f>
        <v>1.5</v>
      </c>
      <c r="J5" s="1983"/>
      <c r="K5" s="1983"/>
      <c r="L5" s="1983"/>
    </row>
    <row r="6" spans="1:16" ht="15" thickBot="1">
      <c r="A6" s="113"/>
      <c r="B6" s="3307" t="s">
        <v>207</v>
      </c>
      <c r="C6" s="3307"/>
      <c r="D6" s="111">
        <f>ROUND($D$3*E6/$E$3,2)</f>
        <v>21659.53</v>
      </c>
      <c r="E6" s="112">
        <f>E3-E5</f>
        <v>32489</v>
      </c>
      <c r="F6" s="1983"/>
      <c r="G6" s="1199"/>
      <c r="H6" s="274" t="s">
        <v>859</v>
      </c>
      <c r="I6" s="1975">
        <f>ROUND(F31/D31,2)</f>
        <v>1.5</v>
      </c>
      <c r="J6" s="1983"/>
      <c r="K6" s="1983"/>
      <c r="L6" s="1983"/>
    </row>
    <row r="7" spans="1:16" ht="15">
      <c r="A7" s="3299"/>
      <c r="B7" s="3300"/>
      <c r="C7" s="3301"/>
      <c r="D7" s="108" t="s">
        <v>203</v>
      </c>
      <c r="E7" s="114" t="s">
        <v>230</v>
      </c>
      <c r="F7" s="1983"/>
      <c r="G7" s="1154" t="s">
        <v>1645</v>
      </c>
      <c r="H7" s="1155"/>
      <c r="I7" s="1845">
        <v>4</v>
      </c>
      <c r="J7" s="1983"/>
      <c r="K7" s="1983"/>
      <c r="L7" s="1983"/>
    </row>
    <row r="8" spans="1:16">
      <c r="A8" s="110" t="s">
        <v>208</v>
      </c>
      <c r="B8" s="115" t="s">
        <v>209</v>
      </c>
      <c r="C8" s="111" t="s">
        <v>210</v>
      </c>
      <c r="D8" s="111">
        <f t="shared" ref="D8:D15" si="0">ROUND($D$3*E8/$E$3,2)</f>
        <v>21659.53</v>
      </c>
      <c r="E8" s="116">
        <f>SUMIF('数据-基础表'!BB10:BK10,"地上",'数据-基础表'!BB5:BK5)</f>
        <v>32489</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21659.53</v>
      </c>
      <c r="E16" s="120">
        <f>SUM(E8:E15)</f>
        <v>32489</v>
      </c>
      <c r="F16" s="1983"/>
      <c r="G16" s="1985"/>
      <c r="H16" s="966" t="s">
        <v>218</v>
      </c>
      <c r="I16" s="967"/>
      <c r="J16" s="1983"/>
      <c r="K16" s="3293" t="s">
        <v>2568</v>
      </c>
      <c r="L16" s="3294"/>
      <c r="M16" s="3294"/>
      <c r="N16" s="3294"/>
      <c r="O16" s="3294"/>
      <c r="P16" s="3295"/>
    </row>
    <row r="17" spans="1:19" ht="15">
      <c r="A17" s="121" t="s">
        <v>215</v>
      </c>
      <c r="B17" s="122" t="s">
        <v>216</v>
      </c>
      <c r="C17" s="2297" t="s">
        <v>2315</v>
      </c>
      <c r="D17" s="108" t="s">
        <v>203</v>
      </c>
      <c r="E17" s="124" t="s">
        <v>204</v>
      </c>
      <c r="F17" s="125"/>
      <c r="G17" s="1364"/>
      <c r="H17" s="968" t="s">
        <v>217</v>
      </c>
      <c r="I17" s="969" t="s">
        <v>2314</v>
      </c>
      <c r="J17" s="1983"/>
      <c r="K17" s="3296" t="s">
        <v>2569</v>
      </c>
      <c r="L17" s="3297"/>
      <c r="M17" s="3298"/>
      <c r="N17" s="3296" t="s">
        <v>2570</v>
      </c>
      <c r="O17" s="3297"/>
      <c r="P17" s="3298"/>
      <c r="R17" s="2298" t="s">
        <v>2313</v>
      </c>
      <c r="S17" s="144"/>
    </row>
    <row r="18" spans="1:19" ht="15">
      <c r="A18" s="117"/>
      <c r="B18" s="128"/>
      <c r="C18" s="129"/>
      <c r="D18" s="2641"/>
      <c r="E18" s="130" t="s">
        <v>219</v>
      </c>
      <c r="F18" s="131" t="s">
        <v>220</v>
      </c>
      <c r="G18" s="1365" t="s">
        <v>221</v>
      </c>
      <c r="H18" s="970" t="s">
        <v>222</v>
      </c>
      <c r="I18" s="971" t="s">
        <v>223</v>
      </c>
      <c r="J18" s="1983"/>
      <c r="K18" s="2604" t="s">
        <v>2571</v>
      </c>
      <c r="L18" s="2605" t="s">
        <v>2572</v>
      </c>
      <c r="M18" s="2606" t="s">
        <v>2573</v>
      </c>
      <c r="N18" s="2604" t="s">
        <v>2571</v>
      </c>
      <c r="O18" s="2605" t="s">
        <v>2572</v>
      </c>
      <c r="P18" s="2606" t="s">
        <v>2573</v>
      </c>
      <c r="R18" s="2299" t="s">
        <v>2311</v>
      </c>
      <c r="S18" s="2299" t="s">
        <v>2312</v>
      </c>
    </row>
    <row r="19" spans="1:19">
      <c r="A19" s="133"/>
      <c r="B19" s="115" t="s">
        <v>224</v>
      </c>
      <c r="C19" s="3024" t="s">
        <v>3087</v>
      </c>
      <c r="D19" s="111">
        <f t="shared" ref="D19:D26" si="1">ROUND($D$3*E19/$E$3,2)</f>
        <v>21659.53</v>
      </c>
      <c r="E19" s="134">
        <f t="shared" ref="E19:E26" si="2">SUM(F19:G19)</f>
        <v>32489</v>
      </c>
      <c r="F19" s="135">
        <f>'数据-基础表'!I13</f>
        <v>32489</v>
      </c>
      <c r="G19" s="1366"/>
      <c r="H19" s="972">
        <f>ROUND($D$3*I19/$E$3,2)</f>
        <v>0</v>
      </c>
      <c r="I19" s="116">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21659.53</v>
      </c>
      <c r="S19" s="2300">
        <f t="shared" si="5"/>
        <v>32489</v>
      </c>
    </row>
    <row r="20" spans="1:19">
      <c r="A20" s="138"/>
      <c r="B20" s="115" t="s">
        <v>225</v>
      </c>
      <c r="C20" s="3024"/>
      <c r="D20" s="111">
        <f t="shared" si="1"/>
        <v>0</v>
      </c>
      <c r="E20" s="134">
        <f t="shared" si="2"/>
        <v>0</v>
      </c>
      <c r="F20" s="135"/>
      <c r="G20" s="1366"/>
      <c r="H20" s="972">
        <f t="shared" ref="H20:H26" si="6">ROUND($D$3*I20/$E$3,2)</f>
        <v>0</v>
      </c>
      <c r="I20" s="116">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c r="A21" s="138"/>
      <c r="B21" s="115" t="s">
        <v>225</v>
      </c>
      <c r="C21" s="3024"/>
      <c r="D21" s="111">
        <f t="shared" si="1"/>
        <v>0</v>
      </c>
      <c r="E21" s="134">
        <f t="shared" si="2"/>
        <v>0</v>
      </c>
      <c r="F21" s="135"/>
      <c r="G21" s="1366"/>
      <c r="H21" s="972">
        <f t="shared" si="6"/>
        <v>0</v>
      </c>
      <c r="I21" s="116">
        <f t="shared" si="7"/>
        <v>0</v>
      </c>
      <c r="J21" s="1983"/>
      <c r="K21" s="2607">
        <f t="shared" si="3"/>
        <v>0</v>
      </c>
      <c r="L21" s="274">
        <f t="shared" si="4"/>
        <v>0</v>
      </c>
      <c r="M21" s="2608">
        <f t="shared" si="8"/>
        <v>0</v>
      </c>
      <c r="N21" s="2609"/>
      <c r="O21" s="2610"/>
      <c r="P21" s="2611">
        <f t="shared" si="9"/>
        <v>0</v>
      </c>
      <c r="R21" s="274">
        <f t="shared" si="5"/>
        <v>0</v>
      </c>
      <c r="S21" s="2300">
        <f t="shared" si="5"/>
        <v>0</v>
      </c>
    </row>
    <row r="22" spans="1:19">
      <c r="A22" s="138"/>
      <c r="B22" s="115" t="s">
        <v>225</v>
      </c>
      <c r="C22" s="1363"/>
      <c r="D22" s="111">
        <f t="shared" si="1"/>
        <v>0</v>
      </c>
      <c r="E22" s="134">
        <f t="shared" si="2"/>
        <v>0</v>
      </c>
      <c r="F22" s="140"/>
      <c r="G22" s="1367"/>
      <c r="H22" s="972">
        <f t="shared" si="6"/>
        <v>0</v>
      </c>
      <c r="I22" s="116">
        <f t="shared" si="7"/>
        <v>0</v>
      </c>
      <c r="J22" s="1983"/>
      <c r="K22" s="2607">
        <f t="shared" si="3"/>
        <v>0</v>
      </c>
      <c r="L22" s="274">
        <f t="shared" si="4"/>
        <v>0</v>
      </c>
      <c r="M22" s="2608">
        <f t="shared" si="8"/>
        <v>0</v>
      </c>
      <c r="N22" s="2609"/>
      <c r="O22" s="2610"/>
      <c r="P22" s="2611">
        <f t="shared" si="9"/>
        <v>0</v>
      </c>
      <c r="R22" s="274">
        <f t="shared" si="5"/>
        <v>0</v>
      </c>
      <c r="S22" s="2300">
        <f t="shared" si="5"/>
        <v>0</v>
      </c>
    </row>
    <row r="23" spans="1:19">
      <c r="A23" s="138"/>
      <c r="B23" s="115" t="s">
        <v>225</v>
      </c>
      <c r="C23" s="139"/>
      <c r="D23" s="111">
        <f>ROUND($D$3*E23/$E$3,2)</f>
        <v>0</v>
      </c>
      <c r="E23" s="134">
        <f>SUM(F23:G23)</f>
        <v>0</v>
      </c>
      <c r="F23" s="140"/>
      <c r="G23" s="1367"/>
      <c r="H23" s="972">
        <f>ROUND($D$3*I23/$E$3,2)</f>
        <v>0</v>
      </c>
      <c r="I23" s="116">
        <f t="shared" si="7"/>
        <v>0</v>
      </c>
      <c r="J23" s="1983"/>
      <c r="K23" s="2607">
        <f t="shared" si="3"/>
        <v>0</v>
      </c>
      <c r="L23" s="274">
        <f t="shared" si="4"/>
        <v>0</v>
      </c>
      <c r="M23" s="2608">
        <f t="shared" si="8"/>
        <v>0</v>
      </c>
      <c r="N23" s="2609"/>
      <c r="O23" s="2610"/>
      <c r="P23" s="2611">
        <f t="shared" si="9"/>
        <v>0</v>
      </c>
      <c r="R23" s="274">
        <f t="shared" si="5"/>
        <v>0</v>
      </c>
      <c r="S23" s="2300">
        <f t="shared" si="5"/>
        <v>0</v>
      </c>
    </row>
    <row r="24" spans="1:19">
      <c r="A24" s="138"/>
      <c r="B24" s="115" t="s">
        <v>225</v>
      </c>
      <c r="C24" s="139"/>
      <c r="D24" s="111">
        <f>ROUND($D$3*E24/$E$3,2)</f>
        <v>0</v>
      </c>
      <c r="E24" s="134">
        <f>SUM(F24:G24)</f>
        <v>0</v>
      </c>
      <c r="F24" s="140"/>
      <c r="G24" s="1367"/>
      <c r="H24" s="972">
        <f>ROUND($D$3*I24/$E$3,2)</f>
        <v>0</v>
      </c>
      <c r="I24" s="116">
        <f t="shared" si="7"/>
        <v>0</v>
      </c>
      <c r="J24" s="1983"/>
      <c r="K24" s="2607">
        <f t="shared" si="3"/>
        <v>0</v>
      </c>
      <c r="L24" s="274">
        <f t="shared" si="4"/>
        <v>0</v>
      </c>
      <c r="M24" s="2608">
        <f t="shared" si="8"/>
        <v>0</v>
      </c>
      <c r="N24" s="2609"/>
      <c r="O24" s="2610"/>
      <c r="P24" s="2611">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07">
        <f t="shared" si="3"/>
        <v>0</v>
      </c>
      <c r="L25" s="274">
        <f t="shared" si="4"/>
        <v>0</v>
      </c>
      <c r="M25" s="2608">
        <f t="shared" si="8"/>
        <v>0</v>
      </c>
      <c r="N25" s="2609"/>
      <c r="O25" s="2610"/>
      <c r="P25" s="2611">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12">
        <f t="shared" si="3"/>
        <v>0</v>
      </c>
      <c r="L26" s="279">
        <f t="shared" si="4"/>
        <v>0</v>
      </c>
      <c r="M26" s="146">
        <f t="shared" si="8"/>
        <v>0</v>
      </c>
      <c r="N26" s="2613"/>
      <c r="O26" s="2614"/>
      <c r="P26" s="2615">
        <f t="shared" si="9"/>
        <v>0</v>
      </c>
      <c r="R26" s="274">
        <f t="shared" si="5"/>
        <v>0</v>
      </c>
      <c r="S26" s="2300">
        <f t="shared" si="5"/>
        <v>0</v>
      </c>
    </row>
    <row r="27" spans="1:19" ht="15.75" thickBot="1">
      <c r="A27" s="138"/>
      <c r="B27" s="111"/>
      <c r="C27" s="127" t="s">
        <v>214</v>
      </c>
      <c r="D27" s="134">
        <f>SUM(D19:D26)</f>
        <v>21659.53</v>
      </c>
      <c r="E27" s="143">
        <f>IF(SUM(E19:E26)='数据-基础表'!BA5,SUM(E19:E26),IF(F27="地上面积有误","面积有误","地下面积有误"))</f>
        <v>32489</v>
      </c>
      <c r="F27" s="134">
        <f>IF(SUM(F19:F26)=E8,SUM(F19:F26),"地上面积有误")</f>
        <v>32489</v>
      </c>
      <c r="G27" s="112">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21659.53</v>
      </c>
      <c r="S27" s="274">
        <f>IF(SUM(S19:S26)=$E$3,SUM(S19:S26),SUM(S19:S26)&amp;"误差"&amp;ROUND(SUM(S19:S26)-E3,2))</f>
        <v>32489</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2324</v>
      </c>
      <c r="D31" s="1370">
        <f>D27+D30</f>
        <v>21659.53</v>
      </c>
      <c r="E31" s="1370">
        <f>E27+E30</f>
        <v>32489</v>
      </c>
      <c r="F31" s="1371">
        <f>F27+F30</f>
        <v>32489</v>
      </c>
      <c r="G31" s="1372">
        <f>G27+G30</f>
        <v>0</v>
      </c>
      <c r="H31" s="1983"/>
      <c r="I31" s="1983"/>
      <c r="J31" s="1983"/>
      <c r="K31" s="1983"/>
      <c r="L31" s="1983"/>
    </row>
    <row r="32" spans="1:19">
      <c r="A32" s="1983"/>
      <c r="B32" s="2362" t="s">
        <v>2323</v>
      </c>
      <c r="C32" s="2646"/>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8" t="s">
        <v>233</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234</v>
      </c>
      <c r="B2" s="2337">
        <f>项目基本情况!D3</f>
        <v>43276</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7" t="s">
        <v>2830</v>
      </c>
      <c r="O5" s="163" t="s">
        <v>245</v>
      </c>
      <c r="P5" s="165" t="s">
        <v>246</v>
      </c>
      <c r="Q5" s="166" t="s">
        <v>247</v>
      </c>
      <c r="R5" s="167" t="s">
        <v>248</v>
      </c>
      <c r="S5" s="2620" t="s">
        <v>2574</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2325</v>
      </c>
      <c r="AI5" s="171" t="s">
        <v>2294</v>
      </c>
      <c r="AJ5" s="171" t="s">
        <v>257</v>
      </c>
      <c r="AK5" s="159" t="s">
        <v>258</v>
      </c>
      <c r="AL5" s="159" t="s">
        <v>259</v>
      </c>
      <c r="AM5" s="172" t="s">
        <v>260</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商业</v>
      </c>
      <c r="B6" s="2336" t="str">
        <f>IF(A6=0,"","经营性")</f>
        <v>经营性</v>
      </c>
      <c r="C6" s="173" t="s">
        <v>3086</v>
      </c>
      <c r="D6" s="2307">
        <f>SUMIF(项目基本情况!D$15:I$15,C6,项目基本情况!D$18:I$18)</f>
        <v>40</v>
      </c>
      <c r="E6" s="2308">
        <f>IF(B6="","",SUMIF(项目基本情况!D$15:I$15,C6,项目基本情况!D$17:I$17))</f>
        <v>57210</v>
      </c>
      <c r="F6" s="174">
        <f>SUMIF(项目基本情况!D$15:I$15,C6,项目基本情况!D$19:I$19)</f>
        <v>38.17</v>
      </c>
      <c r="G6" s="175">
        <f>IF(ISERROR(ROUND(POWER(1+H6,D6-F6)*(POWER(1+H6,F6)-1)/(POWER(1+H6,D6)-1),3)),0,ROUND(POWER(1+H6,D6-F6)*(POWER(1+H6,F6)-1)/(POWER(1+H6,D6)-1),3))</f>
        <v>0.98599999999999999</v>
      </c>
      <c r="H6" s="3025">
        <v>5.5E-2</v>
      </c>
      <c r="I6" s="3025">
        <v>0.06</v>
      </c>
      <c r="J6" s="176">
        <v>0.08</v>
      </c>
      <c r="K6" s="179">
        <f>SUMIF('数据-汇总表'!C$19:C$33,'数据-取费表'!A6,'数据-汇总表'!E$19:E$33)</f>
        <v>32489</v>
      </c>
      <c r="L6" s="3216">
        <v>2800</v>
      </c>
      <c r="M6" s="177">
        <f t="shared" ref="M6:M14" si="0">ROUND(K6*L6/10000,0)</f>
        <v>9097</v>
      </c>
      <c r="N6" s="3027">
        <v>0</v>
      </c>
      <c r="O6" s="177">
        <f>IF($N$5="成新度","——",ROUND(M6*N6,0))</f>
        <v>0</v>
      </c>
      <c r="P6" s="178">
        <f>IF($N$5="成新度","——",M6-O6)</f>
        <v>9097</v>
      </c>
      <c r="Q6" s="3028">
        <v>0.35</v>
      </c>
      <c r="R6" s="179">
        <f>SUMIF('数据-汇总表'!C$19:C$33,A6,'数据-汇总表'!R$19:R$33)</f>
        <v>21659.53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141"/>
      <c r="AI6" s="187"/>
      <c r="AJ6" s="188"/>
      <c r="AK6" s="189">
        <v>1.4999999999999999E-2</v>
      </c>
      <c r="AL6" s="190">
        <v>2E-3</v>
      </c>
      <c r="AM6" s="3039">
        <v>0.02</v>
      </c>
      <c r="AN6" s="2391"/>
      <c r="AO6" s="1999"/>
      <c r="AP6" s="1202">
        <f>ROUND(1-1/(1+H6)^F6,3)</f>
        <v>0.87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3" t="s">
        <v>2997</v>
      </c>
      <c r="D7" s="2307">
        <f>SUMIF(项目基本情况!D$15:I$15,C7,项目基本情况!D$18:I$18)</f>
        <v>50</v>
      </c>
      <c r="E7" s="2308" t="str">
        <f>IF(B7="","",SUMIF(项目基本情况!D$15:I$15,C7,项目基本情况!D$17:I$17))</f>
        <v/>
      </c>
      <c r="F7" s="174">
        <f>SUMIF(项目基本情况!D$15:I$15,C7,项目基本情况!D$19:I$19)</f>
        <v>48.18</v>
      </c>
      <c r="G7" s="175">
        <f t="shared" ref="G7:G11" si="2">IF(ISERROR(ROUND(POWER(1+H7,D7-F7)*(POWER(1+H7,F7)-1)/(POWER(1+H7,D7)-1),3)),0,ROUND(POWER(1+H7,D7-F7)*(POWER(1+H7,F7)-1)/(POWER(1+H7,D7)-1),3))</f>
        <v>0.99</v>
      </c>
      <c r="H7" s="3025">
        <v>4.4999999999999998E-2</v>
      </c>
      <c r="I7" s="3025">
        <v>0.05</v>
      </c>
      <c r="J7" s="176">
        <v>0.08</v>
      </c>
      <c r="K7" s="179">
        <f>SUMIF('数据-汇总表'!C$19:C$33,'数据-取费表'!A7,'数据-汇总表'!E$19:E$33)</f>
        <v>0</v>
      </c>
      <c r="L7" s="3026">
        <v>2000</v>
      </c>
      <c r="M7" s="177">
        <f t="shared" si="0"/>
        <v>0</v>
      </c>
      <c r="N7" s="3027">
        <v>0</v>
      </c>
      <c r="O7" s="177">
        <f t="shared" ref="O7:O14" si="3">IF($N$5="成新度","——",ROUND(M7*N7,0))</f>
        <v>0</v>
      </c>
      <c r="P7" s="178">
        <f t="shared" ref="P7:P14" si="4">IF($N$5="成新度","——",M7-O7)</f>
        <v>0</v>
      </c>
      <c r="Q7" s="3028">
        <v>0.05</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0.8</v>
      </c>
      <c r="V7" s="181">
        <v>0.02</v>
      </c>
      <c r="W7" s="181">
        <v>0.1</v>
      </c>
      <c r="X7" s="2320"/>
      <c r="Y7" s="182">
        <v>1</v>
      </c>
      <c r="Z7" s="183"/>
      <c r="AA7" s="176"/>
      <c r="AB7" s="176"/>
      <c r="AC7" s="2323"/>
      <c r="AD7" s="184"/>
      <c r="AE7" s="970" t="e">
        <f t="shared" ref="AE7:AE13" ca="1" si="6">IF(AN7="",0,SUMIF(INDIRECT("'"&amp;AN7&amp;"'"&amp;"!E:E"),$AE$5,INDIRECT("'"&amp;AN7&amp;"'"&amp;"!F:F")))</f>
        <v>#N/A</v>
      </c>
      <c r="AF7" s="141"/>
      <c r="AG7" s="1211">
        <f t="shared" ref="AG7:AG13" si="7">IF(AF7="",0,AE7-AF7)</f>
        <v>0</v>
      </c>
      <c r="AH7" s="141"/>
      <c r="AI7" s="187">
        <v>365</v>
      </c>
      <c r="AJ7" s="188"/>
      <c r="AK7" s="189">
        <v>1.4999999999999999E-2</v>
      </c>
      <c r="AL7" s="190">
        <v>2E-3</v>
      </c>
      <c r="AM7" s="3039">
        <v>0.02</v>
      </c>
      <c r="AN7" s="2391" t="s">
        <v>3026</v>
      </c>
      <c r="AO7" s="1999"/>
      <c r="AP7" s="1202">
        <f t="shared" ref="AP7:AP13" si="8">ROUND(1-1/(1+H7)^F7,3)</f>
        <v>0.88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5"/>
      <c r="I8" s="3025"/>
      <c r="J8" s="176"/>
      <c r="K8" s="179">
        <f>SUMIF('数据-汇总表'!C$19:C$33,'数据-取费表'!A8,'数据-汇总表'!E$19:E$33)</f>
        <v>0</v>
      </c>
      <c r="L8" s="3026"/>
      <c r="M8" s="177">
        <f>ROUND(K8*L8/10000,0)</f>
        <v>0</v>
      </c>
      <c r="N8" s="3027"/>
      <c r="O8" s="177">
        <f t="shared" si="3"/>
        <v>0</v>
      </c>
      <c r="P8" s="178">
        <f t="shared" si="4"/>
        <v>0</v>
      </c>
      <c r="Q8" s="3028">
        <v>0.05</v>
      </c>
      <c r="R8" s="179">
        <f>SUMIF('数据-汇总表'!C$19:C$33,A8,'数据-汇总表'!R$19:R$33)</f>
        <v>0</v>
      </c>
      <c r="S8" s="132">
        <f>IF('数据-汇总表'!$I$17="按面积比例",SUMIF('数据-汇总表'!C$19:C$33,A8,'数据-汇总表'!K$19:K$33),SUMIF('数据-汇总表'!C$19:C$33,A8,'数据-汇总表'!N$19:N$33))</f>
        <v>0</v>
      </c>
      <c r="T8" s="2233" t="str">
        <f t="shared" si="5"/>
        <v>0</v>
      </c>
      <c r="U8" s="180">
        <v>1</v>
      </c>
      <c r="V8" s="181">
        <v>0.02</v>
      </c>
      <c r="W8" s="181">
        <v>0.1</v>
      </c>
      <c r="X8" s="2320"/>
      <c r="Y8" s="182">
        <v>1</v>
      </c>
      <c r="Z8" s="183"/>
      <c r="AA8" s="176"/>
      <c r="AB8" s="176"/>
      <c r="AC8" s="2323"/>
      <c r="AD8" s="184"/>
      <c r="AE8" s="970" t="e">
        <f t="shared" ca="1" si="6"/>
        <v>#N/A</v>
      </c>
      <c r="AF8" s="141"/>
      <c r="AG8" s="1211">
        <f t="shared" si="7"/>
        <v>0</v>
      </c>
      <c r="AH8" s="141"/>
      <c r="AI8" s="187">
        <v>365</v>
      </c>
      <c r="AJ8" s="188"/>
      <c r="AK8" s="189">
        <v>1.4999999999999999E-2</v>
      </c>
      <c r="AL8" s="190">
        <v>2E-3</v>
      </c>
      <c r="AM8" s="3039">
        <v>0.02</v>
      </c>
      <c r="AN8" s="2391" t="s">
        <v>3028</v>
      </c>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261</v>
      </c>
      <c r="B16" s="199"/>
      <c r="C16" s="200"/>
      <c r="D16" s="201"/>
      <c r="E16" s="199"/>
      <c r="F16" s="199"/>
      <c r="G16" s="202">
        <f>ROUND(SUMPRODUCT(G6:G13,K6:K13)/SUMPRODUCT((G6:G13&gt;0)*(K6:K13)),3)</f>
        <v>0.98599999999999999</v>
      </c>
      <c r="H16" s="203">
        <f>ROUND(SUMPRODUCT(H6:H13,K6:K13)/SUMPRODUCT((H6:H13&gt;0)*(K6:K13)),3)</f>
        <v>5.5E-2</v>
      </c>
      <c r="I16" s="204"/>
      <c r="J16" s="204"/>
      <c r="K16" s="205">
        <f>SUM(K6:K15)</f>
        <v>32489</v>
      </c>
      <c r="L16" s="206">
        <f>ROUND(M16*10000/SUM(K6:K14),0)</f>
        <v>2800</v>
      </c>
      <c r="M16" s="206">
        <f>SUM(M6:M14)</f>
        <v>9097</v>
      </c>
      <c r="N16" s="207">
        <f>ROUND(SUMPRODUCT(M6:M14,N6:N14)/M16,3)</f>
        <v>0</v>
      </c>
      <c r="O16" s="206">
        <f>SUM(O6:O14)</f>
        <v>0</v>
      </c>
      <c r="P16" s="206">
        <f>SUM(P6:P14)</f>
        <v>9097</v>
      </c>
      <c r="Q16" s="208">
        <f>ROUND(SUMPRODUCT(Q6:Q13,K6:K13)/SUMPRODUCT((Q6:Q13&gt;0)*(K6:K13)),2)</f>
        <v>0.35</v>
      </c>
      <c r="R16" s="2310">
        <f>SUM(R6:R13)</f>
        <v>21659.53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0.87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3215">
        <v>1</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 customHeight="1">
      <c r="A27" s="226" t="s">
        <v>2340</v>
      </c>
      <c r="B27" s="227">
        <v>1365.5</v>
      </c>
      <c r="C27" s="2366" t="s">
        <v>2344</v>
      </c>
      <c r="D27" s="3186"/>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2341</v>
      </c>
      <c r="B28" s="229">
        <v>136.5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272</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273</v>
      </c>
      <c r="B31" s="230">
        <f>B30-B32</f>
        <v>170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274</v>
      </c>
      <c r="B32" s="1376">
        <v>30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277</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278</v>
      </c>
      <c r="B34" s="233">
        <v>0.03</v>
      </c>
      <c r="C34" s="2364" t="s">
        <v>2896</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275</v>
      </c>
      <c r="B35" s="229">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276</v>
      </c>
      <c r="B36" s="234">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279</v>
      </c>
      <c r="B37" s="236">
        <v>0.03</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280</v>
      </c>
      <c r="B38" s="233">
        <v>0.03</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4.3499999999999997E-2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282</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283</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284</v>
      </c>
      <c r="B44" s="3217">
        <v>0.05</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285</v>
      </c>
      <c r="B45" s="240">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286</v>
      </c>
      <c r="B46" s="240">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074"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0.03</v>
      </c>
      <c r="C48" s="3075"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289</v>
      </c>
      <c r="B49" s="240">
        <v>5.0000000000000001E-4</v>
      </c>
      <c r="C49" s="3075"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293</v>
      </c>
      <c r="B53" s="250" t="s">
        <v>1096</v>
      </c>
      <c r="C53" s="3076" t="s">
        <v>2906</v>
      </c>
      <c r="D53" s="3077"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2908</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2909</v>
      </c>
      <c r="B55" s="186">
        <v>0.01</v>
      </c>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2910</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2911</v>
      </c>
      <c r="B57" s="186"/>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2912</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2913</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ht="49.5">
      <c r="A64" s="252"/>
      <c r="D64" s="1998"/>
      <c r="E64" s="3187" t="s">
        <v>3021</v>
      </c>
      <c r="K64" s="57"/>
      <c r="L64" s="57"/>
    </row>
    <row r="65" spans="1:12" s="1997" customFormat="1" ht="49.5">
      <c r="A65" s="252"/>
      <c r="D65" s="1998"/>
      <c r="E65" s="3187" t="s">
        <v>3022</v>
      </c>
      <c r="K65" s="57"/>
      <c r="L65" s="57"/>
    </row>
    <row r="66" spans="1:12" s="1997" customFormat="1" ht="33">
      <c r="A66" s="252"/>
      <c r="D66" s="1998"/>
      <c r="E66" s="3187" t="s">
        <v>3023</v>
      </c>
      <c r="K66" s="57"/>
      <c r="L66" s="57"/>
    </row>
    <row r="67" spans="1:12" s="1997" customFormat="1" ht="33">
      <c r="A67" s="252"/>
      <c r="D67" s="1998"/>
      <c r="E67" s="3187" t="s">
        <v>3024</v>
      </c>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08" t="s">
        <v>1663</v>
      </c>
      <c r="B1" s="3309"/>
      <c r="C1" s="3309"/>
      <c r="D1" s="3309"/>
      <c r="E1" s="3309"/>
      <c r="F1" s="3309"/>
      <c r="G1" s="3309"/>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42.75">
      <c r="A3" s="1225" t="s">
        <v>1666</v>
      </c>
      <c r="B3" s="1226" t="s">
        <v>1653</v>
      </c>
      <c r="C3" s="3196" t="s">
        <v>3094</v>
      </c>
      <c r="D3" s="2008"/>
      <c r="E3" s="1227" t="s">
        <v>1666</v>
      </c>
      <c r="F3" s="1228" t="s">
        <v>1654</v>
      </c>
      <c r="G3" s="3083" t="s">
        <v>2922</v>
      </c>
      <c r="H3" s="2007"/>
      <c r="I3" s="2007"/>
      <c r="J3" s="2007"/>
      <c r="K3" s="2007"/>
      <c r="L3" s="2007"/>
      <c r="M3" s="2007"/>
      <c r="N3" s="2007"/>
      <c r="O3" s="2007"/>
      <c r="P3" s="2007"/>
      <c r="Q3" s="2007"/>
      <c r="R3" s="2007"/>
    </row>
    <row r="4" spans="1:18" ht="40.5">
      <c r="A4" s="1227"/>
      <c r="B4" s="1229" t="s">
        <v>1667</v>
      </c>
      <c r="C4" s="3198" t="s">
        <v>3101</v>
      </c>
      <c r="D4" s="2008"/>
      <c r="E4" s="1230"/>
      <c r="F4" s="1231" t="s">
        <v>1668</v>
      </c>
      <c r="G4" s="3082" t="s">
        <v>2919</v>
      </c>
      <c r="H4" s="2007"/>
      <c r="I4" s="2007"/>
      <c r="J4" s="2007"/>
      <c r="K4" s="2007"/>
      <c r="L4" s="2007"/>
      <c r="M4" s="2007"/>
      <c r="N4" s="2007"/>
      <c r="O4" s="2007"/>
      <c r="P4" s="2007"/>
      <c r="Q4" s="2007"/>
      <c r="R4" s="2007"/>
    </row>
    <row r="5" spans="1:18" ht="41.25">
      <c r="A5" s="1227"/>
      <c r="B5" s="1229" t="s">
        <v>1669</v>
      </c>
      <c r="C5" s="3081" t="s">
        <v>3095</v>
      </c>
      <c r="D5" s="2008"/>
      <c r="E5" s="1230"/>
      <c r="F5" s="1229" t="s">
        <v>2548</v>
      </c>
      <c r="G5" s="3082" t="s">
        <v>2920</v>
      </c>
      <c r="H5" s="2007"/>
      <c r="I5" s="2007"/>
      <c r="J5" s="2007"/>
      <c r="K5" s="2007"/>
      <c r="L5" s="2007"/>
      <c r="M5" s="2007"/>
      <c r="N5" s="2007"/>
      <c r="O5" s="2007"/>
      <c r="P5" s="2007"/>
      <c r="Q5" s="2007"/>
      <c r="R5" s="2007"/>
    </row>
    <row r="6" spans="1:18" ht="27">
      <c r="A6" s="1227"/>
      <c r="B6" s="1229" t="s">
        <v>1655</v>
      </c>
      <c r="C6" s="3197" t="s">
        <v>3096</v>
      </c>
      <c r="D6" s="2008"/>
      <c r="E6" s="1230"/>
      <c r="F6" s="1229" t="s">
        <v>2549</v>
      </c>
      <c r="G6" s="3082" t="s">
        <v>2918</v>
      </c>
      <c r="H6" s="2007"/>
      <c r="I6" s="2007"/>
      <c r="J6" s="2007"/>
      <c r="K6" s="2007"/>
      <c r="L6" s="2007"/>
      <c r="M6" s="2007"/>
      <c r="N6" s="2007"/>
      <c r="O6" s="2007"/>
      <c r="P6" s="2007"/>
      <c r="Q6" s="2007"/>
      <c r="R6" s="2007"/>
    </row>
    <row r="7" spans="1:18" ht="41.25" thickBot="1">
      <c r="A7" s="1227"/>
      <c r="B7" s="1229" t="s">
        <v>2548</v>
      </c>
      <c r="C7" s="3197" t="s">
        <v>3097</v>
      </c>
      <c r="D7" s="2009"/>
      <c r="E7" s="1232"/>
      <c r="F7" s="1233" t="s">
        <v>1670</v>
      </c>
      <c r="G7" s="3084" t="s">
        <v>2921</v>
      </c>
      <c r="H7" s="2007"/>
      <c r="I7" s="2007"/>
      <c r="J7" s="2007"/>
      <c r="K7" s="2007"/>
      <c r="L7" s="2007"/>
      <c r="M7" s="2007"/>
      <c r="N7" s="2007"/>
      <c r="O7" s="2007"/>
      <c r="P7" s="2007"/>
      <c r="Q7" s="2007"/>
      <c r="R7" s="2007"/>
    </row>
    <row r="8" spans="1:18" ht="27">
      <c r="A8" s="1227"/>
      <c r="B8" s="1229" t="s">
        <v>2549</v>
      </c>
      <c r="C8" s="3197" t="s">
        <v>3098</v>
      </c>
      <c r="D8" s="2009"/>
      <c r="E8" s="2009"/>
      <c r="F8" s="1552"/>
      <c r="G8" s="1552"/>
      <c r="H8" s="2007"/>
      <c r="I8" s="2007"/>
      <c r="J8" s="2007"/>
      <c r="K8" s="2007"/>
      <c r="L8" s="2007"/>
      <c r="M8" s="2007"/>
      <c r="N8" s="2007"/>
      <c r="O8" s="2007"/>
      <c r="P8" s="2007"/>
      <c r="Q8" s="2007"/>
      <c r="R8" s="2007"/>
    </row>
    <row r="9" spans="1:18" ht="54">
      <c r="A9" s="1227"/>
      <c r="B9" s="1229" t="s">
        <v>1656</v>
      </c>
      <c r="C9" s="3198" t="s">
        <v>3099</v>
      </c>
      <c r="D9" s="2008"/>
      <c r="E9" s="2009"/>
      <c r="F9" s="1552"/>
      <c r="G9" s="1552"/>
      <c r="H9" s="2007"/>
      <c r="I9" s="2007"/>
      <c r="J9" s="2007"/>
      <c r="K9" s="2007"/>
      <c r="L9" s="2007"/>
      <c r="M9" s="2007"/>
      <c r="N9" s="2007"/>
      <c r="O9" s="2007"/>
      <c r="P9" s="2007"/>
      <c r="Q9" s="2007"/>
      <c r="R9" s="2007"/>
    </row>
    <row r="10" spans="1:18" s="2015" customFormat="1" ht="14.25" thickBot="1">
      <c r="A10" s="1234"/>
      <c r="B10" s="1235" t="s">
        <v>1671</v>
      </c>
      <c r="C10" s="3199" t="s">
        <v>3100</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2"/>
      <c r="E13" s="2577"/>
      <c r="F13" s="2577"/>
      <c r="G13" s="2577"/>
    </row>
    <row r="14" spans="1:18" ht="14.25" thickBot="1">
      <c r="A14" s="1236"/>
      <c r="B14" s="1237"/>
      <c r="C14" s="1238" t="s">
        <v>1664</v>
      </c>
      <c r="D14" s="2008"/>
      <c r="E14" s="1239"/>
      <c r="F14" s="1239"/>
      <c r="G14" s="1221" t="s">
        <v>1665</v>
      </c>
    </row>
    <row r="15" spans="1:18" ht="40.5">
      <c r="A15" s="2587" t="s">
        <v>1657</v>
      </c>
      <c r="B15" s="1240" t="s">
        <v>1653</v>
      </c>
      <c r="C15" s="1241" t="str">
        <f>C3</f>
        <v>骊山新家园、骊山下的院子，一般</v>
      </c>
      <c r="D15" s="2008"/>
      <c r="E15" s="2584" t="s">
        <v>1658</v>
      </c>
      <c r="F15" s="1240" t="s">
        <v>1673</v>
      </c>
      <c r="G15" s="1242" t="str">
        <f>G3</f>
        <v>估价对象位于XX开发区，园区建设成熟度XX，产业集聚程度XX</v>
      </c>
    </row>
    <row r="16" spans="1:18" ht="40.5">
      <c r="A16" s="2588"/>
      <c r="B16" s="1243" t="s">
        <v>1667</v>
      </c>
      <c r="C16" s="1244" t="str">
        <f>C4</f>
        <v>多为社区底商，一般</v>
      </c>
      <c r="D16" s="2008"/>
      <c r="E16" s="2585"/>
      <c r="F16" s="1245" t="s">
        <v>1668</v>
      </c>
      <c r="G16" s="1003" t="str">
        <f>G4</f>
        <v>估价对象周边道路状况、公共交通通达情况、停车便捷程度，综合评价交通便捷度较好</v>
      </c>
    </row>
    <row r="17" spans="1:7" ht="40.5">
      <c r="A17" s="2588"/>
      <c r="B17" s="1243" t="s">
        <v>1669</v>
      </c>
      <c r="C17" s="1244" t="str">
        <f>C5</f>
        <v>估价对象位于XX商圈，周边办公楼项目较多，入驻率高，办公集聚程度较好</v>
      </c>
      <c r="D17" s="2009"/>
      <c r="E17" s="2585"/>
      <c r="F17" s="1245" t="s">
        <v>1674</v>
      </c>
      <c r="G17" s="2793"/>
    </row>
    <row r="18" spans="1:7" ht="40.5">
      <c r="A18" s="2588"/>
      <c r="B18" s="1245" t="s">
        <v>1655</v>
      </c>
      <c r="C18" s="1003" t="str">
        <f>C6</f>
        <v>临支路，1公里内无公共交通，较差</v>
      </c>
      <c r="D18" s="2009"/>
      <c r="E18" s="2585"/>
      <c r="F18" s="1245" t="s">
        <v>1670</v>
      </c>
      <c r="G18" s="1003" t="str">
        <f>G7</f>
        <v>该园区内是否有污染型企业，绿化情况，卫生条件，整体环境状况判断</v>
      </c>
    </row>
    <row r="19" spans="1:7" ht="27">
      <c r="A19" s="2588"/>
      <c r="B19" s="1245" t="s">
        <v>1659</v>
      </c>
      <c r="C19" s="3200" t="s">
        <v>3102</v>
      </c>
      <c r="D19" s="2008"/>
      <c r="E19" s="2585"/>
      <c r="F19" s="1229" t="s">
        <v>2548</v>
      </c>
      <c r="G19" s="1003" t="str">
        <f>G5</f>
        <v>估价对象所在区域公共配套设施齐备情况</v>
      </c>
    </row>
    <row r="20" spans="1:7" ht="54">
      <c r="A20" s="2588"/>
      <c r="B20" s="1245" t="s">
        <v>1660</v>
      </c>
      <c r="C20" s="1244" t="str">
        <f>C9</f>
        <v>贾平凹文化艺术馆、鹦鹉寺公园、西安工程大学、北京大学光华管理学院西安分院，较好</v>
      </c>
      <c r="D20" s="2009"/>
      <c r="E20" s="2585"/>
      <c r="F20" s="1229" t="s">
        <v>2549</v>
      </c>
      <c r="G20" s="1003" t="str">
        <f>G6</f>
        <v>估价对象所在区域基础设施水平</v>
      </c>
    </row>
    <row r="21" spans="1:7" ht="27">
      <c r="A21" s="2588"/>
      <c r="B21" s="1229" t="s">
        <v>2548</v>
      </c>
      <c r="C21" s="1003" t="str">
        <f>C7</f>
        <v>估价对象所在区域公共配套设施齐备情况一般</v>
      </c>
      <c r="D21" s="2008"/>
      <c r="E21" s="2585"/>
      <c r="F21" s="1245" t="s">
        <v>1661</v>
      </c>
      <c r="G21" s="3085"/>
    </row>
    <row r="22" spans="1:7" ht="27">
      <c r="A22" s="2588"/>
      <c r="B22" s="1229" t="s">
        <v>2549</v>
      </c>
      <c r="C22" s="1003" t="str">
        <f>C8</f>
        <v>估价对象所在区域基础设施水平七通</v>
      </c>
      <c r="D22" s="2008"/>
      <c r="E22" s="2585"/>
      <c r="F22" s="1245" t="s">
        <v>1671</v>
      </c>
      <c r="G22" s="2793"/>
    </row>
    <row r="23" spans="1:7" ht="15" thickBot="1">
      <c r="A23" s="2588"/>
      <c r="B23" s="1245" t="s">
        <v>1661</v>
      </c>
      <c r="C23" s="3085" t="s">
        <v>3103</v>
      </c>
      <c r="E23" s="2586"/>
      <c r="F23" s="1246" t="s">
        <v>1675</v>
      </c>
      <c r="G23" s="3086"/>
    </row>
    <row r="24" spans="1:7" ht="14.25" thickBot="1">
      <c r="A24" s="2589"/>
      <c r="B24" s="1246" t="s">
        <v>1662</v>
      </c>
      <c r="C24" s="1247" t="str">
        <f>C10</f>
        <v>支路——芷阳二路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5" t="s">
        <v>2846</v>
      </c>
      <c r="B1" s="3045">
        <f>SUM(B14:B23)</f>
        <v>32489</v>
      </c>
      <c r="C1" s="3046"/>
      <c r="D1" s="3046"/>
      <c r="E1" s="3046"/>
      <c r="F1" s="3046"/>
    </row>
    <row r="2" spans="1:9" ht="16.5">
      <c r="A2" s="3045" t="s">
        <v>2847</v>
      </c>
      <c r="B2" s="3045">
        <f>SUM(C14:C23)</f>
        <v>21659.53</v>
      </c>
      <c r="C2" s="3046"/>
      <c r="D2" s="3046"/>
      <c r="E2" s="3046"/>
      <c r="F2" s="3046"/>
    </row>
    <row r="3" spans="1:9" ht="16.5">
      <c r="A3" s="3045" t="s">
        <v>2848</v>
      </c>
      <c r="B3" s="3047">
        <f>项目基本情况!D3</f>
        <v>43276</v>
      </c>
      <c r="C3" s="3046"/>
      <c r="D3" s="3046"/>
      <c r="E3" s="3046"/>
      <c r="F3" s="3046"/>
    </row>
    <row r="4" spans="1:9" ht="33">
      <c r="A4" s="3045" t="s">
        <v>2849</v>
      </c>
      <c r="B4" s="3045" t="s">
        <v>2850</v>
      </c>
      <c r="C4" s="3045" t="s">
        <v>2851</v>
      </c>
      <c r="D4" s="3045" t="s">
        <v>2852</v>
      </c>
      <c r="E4" s="3046"/>
      <c r="F4" s="3046"/>
    </row>
    <row r="5" spans="1:9" ht="16.5">
      <c r="A5" s="3045" t="s">
        <v>2853</v>
      </c>
      <c r="B5" s="3045">
        <f ca="1">SUM(D14:D23)</f>
        <v>7052</v>
      </c>
      <c r="C5" s="3045">
        <f ca="1">ROUND(B5*10000/$B$1,0)</f>
        <v>2171</v>
      </c>
      <c r="D5" s="3045">
        <f ca="1">ROUND(B5*10000/$B$2,0)</f>
        <v>3256</v>
      </c>
      <c r="E5" s="3046"/>
      <c r="F5" s="3046"/>
    </row>
    <row r="6" spans="1:9" ht="16.5">
      <c r="A6" s="3045" t="s">
        <v>2854</v>
      </c>
      <c r="B6" s="3045">
        <f>SUM(G14:G23)</f>
        <v>0</v>
      </c>
      <c r="C6" s="3045">
        <f t="shared" ref="C6:C8" si="0">ROUND(B6*10000/$B$1,0)</f>
        <v>0</v>
      </c>
      <c r="D6" s="3045">
        <f t="shared" ref="D6:D8" si="1">ROUND(B6*10000/$B$2,0)</f>
        <v>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32489</v>
      </c>
      <c r="C14" s="3049">
        <f>结果表!K38</f>
        <v>21659.53</v>
      </c>
      <c r="D14" s="3049">
        <f ca="1">结果表!C42</f>
        <v>7052</v>
      </c>
      <c r="E14" s="3049">
        <f ca="1">ROUND(D14*10000/B14,0)</f>
        <v>2171</v>
      </c>
      <c r="F14" s="3049">
        <f ca="1">ROUND(D14*10000/C14,0)</f>
        <v>3256</v>
      </c>
      <c r="G14" s="3049" t="str">
        <f>结果表!C44</f>
        <v>——</v>
      </c>
      <c r="H14" s="3049" t="str">
        <f>结果表!C45</f>
        <v>——</v>
      </c>
      <c r="I14" s="3049" t="str">
        <f>结果表!C46</f>
        <v>——</v>
      </c>
    </row>
    <row r="15" spans="1:9" ht="16.5">
      <c r="A15" s="3052" t="s">
        <v>2863</v>
      </c>
      <c r="B15" s="3053"/>
      <c r="C15" s="3053"/>
      <c r="D15" s="3053"/>
      <c r="E15" s="3049" t="e">
        <f t="shared" ref="E15:E23" si="2">ROUND(D15*10000/B15,0)</f>
        <v>#DIV/0!</v>
      </c>
      <c r="F15" s="3049" t="e">
        <f t="shared" ref="F15:F23" si="3">ROUND(D15*10000/C15,0)</f>
        <v>#DIV/0!</v>
      </c>
      <c r="G15" s="3050"/>
      <c r="H15" s="3050"/>
      <c r="I15" s="3053"/>
    </row>
    <row r="16" spans="1:9" ht="16.5">
      <c r="A16" s="3052" t="s">
        <v>2864</v>
      </c>
      <c r="B16" s="3053"/>
      <c r="C16" s="3053"/>
      <c r="D16" s="3053"/>
      <c r="E16" s="3049" t="e">
        <f t="shared" si="2"/>
        <v>#DIV/0!</v>
      </c>
      <c r="F16" s="3049" t="e">
        <f t="shared" si="3"/>
        <v>#DIV/0!</v>
      </c>
      <c r="G16" s="3050"/>
      <c r="H16" s="3050"/>
      <c r="I16" s="3053"/>
    </row>
    <row r="17" spans="1:9" ht="16.5">
      <c r="A17" s="3052" t="s">
        <v>2865</v>
      </c>
      <c r="B17" s="3053"/>
      <c r="C17" s="3053"/>
      <c r="D17" s="3053"/>
      <c r="E17" s="3049" t="e">
        <f t="shared" si="2"/>
        <v>#DIV/0!</v>
      </c>
      <c r="F17" s="3049" t="e">
        <f t="shared" si="3"/>
        <v>#DIV/0!</v>
      </c>
      <c r="G17" s="3050"/>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2057</v>
      </c>
      <c r="B1" s="1776"/>
      <c r="C1" s="1804" t="s">
        <v>2058</v>
      </c>
      <c r="D1" s="1805" t="s">
        <v>3034</v>
      </c>
      <c r="E1" s="1804" t="s">
        <v>2059</v>
      </c>
      <c r="F1" s="1806" t="s">
        <v>3035</v>
      </c>
      <c r="G1" s="310"/>
      <c r="H1" s="310"/>
      <c r="I1" s="310"/>
      <c r="J1" s="2028"/>
      <c r="K1" s="2028"/>
      <c r="L1" s="2028"/>
      <c r="M1" s="2028"/>
      <c r="N1" s="2028"/>
      <c r="O1" s="2028"/>
      <c r="P1" s="2028"/>
      <c r="Q1" s="2028"/>
      <c r="R1" s="2028"/>
      <c r="S1" s="2028"/>
      <c r="T1" s="2028"/>
      <c r="U1" s="2028"/>
      <c r="V1" s="2028"/>
    </row>
    <row r="2" spans="1:22" ht="21.75" customHeight="1" thickBot="1">
      <c r="A2" s="3346" t="str">
        <f>项目基本情况!K2</f>
        <v>出让国有建设用地使用权</v>
      </c>
      <c r="B2" s="3347"/>
      <c r="C2" s="3348"/>
      <c r="D2" s="3348"/>
      <c r="E2" s="3348"/>
      <c r="F2" s="3348"/>
      <c r="G2" s="3347"/>
      <c r="H2" s="3347"/>
      <c r="I2" s="3349"/>
      <c r="J2" s="2029"/>
      <c r="K2" s="2028"/>
      <c r="L2" s="2028"/>
      <c r="M2" s="2028"/>
      <c r="N2" s="2028"/>
      <c r="O2" s="2028"/>
      <c r="P2" s="2028"/>
      <c r="Q2" s="2028"/>
      <c r="R2" s="2028"/>
      <c r="S2" s="2028"/>
      <c r="T2" s="2028"/>
      <c r="U2" s="2028"/>
      <c r="V2" s="2028"/>
    </row>
    <row r="3" spans="1:22" ht="14.25">
      <c r="A3" s="3339" t="s">
        <v>297</v>
      </c>
      <c r="B3" s="3340"/>
      <c r="C3" s="3340"/>
      <c r="D3" s="3340"/>
      <c r="E3" s="3340"/>
      <c r="F3" s="3340"/>
      <c r="G3" s="3340"/>
      <c r="H3" s="3340"/>
      <c r="I3" s="3340"/>
      <c r="J3" s="2029"/>
      <c r="K3" s="2028"/>
      <c r="L3" s="2028"/>
      <c r="M3" s="2028"/>
      <c r="N3" s="2028"/>
      <c r="O3" s="2028"/>
      <c r="P3" s="2028"/>
      <c r="Q3" s="2028"/>
      <c r="R3" s="2028"/>
      <c r="S3" s="2028"/>
      <c r="T3" s="2028"/>
      <c r="U3" s="2028"/>
      <c r="V3" s="2028"/>
    </row>
    <row r="4" spans="1:22" ht="14.25">
      <c r="A4" s="257" t="s">
        <v>298</v>
      </c>
      <c r="B4" s="258" t="s">
        <v>299</v>
      </c>
      <c r="C4" s="259" t="s">
        <v>3036</v>
      </c>
      <c r="D4" s="259" t="s">
        <v>3037</v>
      </c>
      <c r="E4" s="3311" t="s">
        <v>300</v>
      </c>
      <c r="F4" s="3312"/>
      <c r="G4" s="3312"/>
      <c r="H4" s="3312"/>
      <c r="I4" s="3341"/>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0" t="s">
        <v>301</v>
      </c>
      <c r="B5" s="3336">
        <v>25</v>
      </c>
      <c r="C5" s="3334"/>
      <c r="D5" s="3338"/>
      <c r="E5" s="260" t="s">
        <v>302</v>
      </c>
      <c r="F5" s="261"/>
      <c r="G5" s="261"/>
      <c r="H5" s="261"/>
      <c r="I5" s="262"/>
      <c r="J5" s="2029"/>
      <c r="K5" s="2028"/>
      <c r="L5" s="2028"/>
      <c r="M5" s="2028"/>
      <c r="N5" s="2028"/>
      <c r="O5" s="2028"/>
      <c r="P5" s="2028"/>
      <c r="Q5" s="2028"/>
      <c r="R5" s="2028"/>
      <c r="S5" s="2028"/>
      <c r="T5" s="2028"/>
      <c r="U5" s="2028"/>
      <c r="V5" s="2028"/>
    </row>
    <row r="6" spans="1:22" ht="14.25">
      <c r="A6" s="3310"/>
      <c r="B6" s="3336"/>
      <c r="C6" s="3337"/>
      <c r="D6" s="3338"/>
      <c r="E6" s="260" t="s">
        <v>303</v>
      </c>
      <c r="F6" s="261"/>
      <c r="G6" s="261"/>
      <c r="H6" s="261"/>
      <c r="I6" s="262"/>
      <c r="J6" s="2029"/>
      <c r="K6" s="2028"/>
      <c r="L6" s="2028"/>
      <c r="M6" s="2028"/>
      <c r="N6" s="2028"/>
      <c r="O6" s="2028"/>
      <c r="P6" s="2028"/>
      <c r="Q6" s="2028"/>
      <c r="R6" s="2028"/>
      <c r="S6" s="2028"/>
      <c r="T6" s="2028"/>
      <c r="U6" s="2028"/>
      <c r="V6" s="2028"/>
    </row>
    <row r="7" spans="1:22" ht="14.25">
      <c r="A7" s="3310"/>
      <c r="B7" s="3336"/>
      <c r="C7" s="3335"/>
      <c r="D7" s="3338"/>
      <c r="E7" s="260" t="s">
        <v>304</v>
      </c>
      <c r="F7" s="261"/>
      <c r="G7" s="261"/>
      <c r="H7" s="261"/>
      <c r="I7" s="262"/>
      <c r="J7" s="2029"/>
      <c r="K7" s="2028"/>
      <c r="L7" s="2028"/>
      <c r="M7" s="2028"/>
      <c r="N7" s="2028"/>
      <c r="O7" s="2028"/>
      <c r="P7" s="2028"/>
      <c r="Q7" s="2028"/>
      <c r="R7" s="2028"/>
      <c r="S7" s="2028"/>
      <c r="T7" s="2028"/>
      <c r="U7" s="2028"/>
      <c r="V7" s="2028"/>
    </row>
    <row r="8" spans="1:22" ht="14.25">
      <c r="A8" s="3310" t="s">
        <v>305</v>
      </c>
      <c r="B8" s="3336">
        <v>15</v>
      </c>
      <c r="C8" s="3334"/>
      <c r="D8" s="3338"/>
      <c r="E8" s="260" t="s">
        <v>306</v>
      </c>
      <c r="F8" s="261"/>
      <c r="G8" s="261"/>
      <c r="H8" s="261"/>
      <c r="I8" s="262"/>
      <c r="J8" s="2029"/>
      <c r="K8" s="2028"/>
      <c r="L8" s="2028"/>
      <c r="M8" s="2028"/>
      <c r="N8" s="2028"/>
      <c r="O8" s="2028"/>
      <c r="P8" s="2028"/>
      <c r="Q8" s="2028"/>
      <c r="R8" s="2028"/>
      <c r="S8" s="2028"/>
      <c r="T8" s="2028"/>
      <c r="U8" s="2028"/>
      <c r="V8" s="2028"/>
    </row>
    <row r="9" spans="1:22" ht="14.25">
      <c r="A9" s="3310"/>
      <c r="B9" s="3336"/>
      <c r="C9" s="3335"/>
      <c r="D9" s="3338"/>
      <c r="E9" s="260" t="s">
        <v>307</v>
      </c>
      <c r="F9" s="261"/>
      <c r="G9" s="261"/>
      <c r="H9" s="261"/>
      <c r="I9" s="262"/>
      <c r="J9" s="2029"/>
      <c r="K9" s="2028"/>
      <c r="L9" s="2028"/>
      <c r="M9" s="2028"/>
      <c r="N9" s="2028"/>
      <c r="O9" s="2028"/>
      <c r="P9" s="2028"/>
      <c r="Q9" s="2028"/>
      <c r="R9" s="2028"/>
      <c r="S9" s="2028"/>
      <c r="T9" s="2028"/>
      <c r="U9" s="2028"/>
      <c r="V9" s="2028"/>
    </row>
    <row r="10" spans="1:22" ht="14.25">
      <c r="A10" s="3310" t="s">
        <v>308</v>
      </c>
      <c r="B10" s="3336">
        <v>15</v>
      </c>
      <c r="C10" s="3334"/>
      <c r="D10" s="3338"/>
      <c r="E10" s="260" t="s">
        <v>309</v>
      </c>
      <c r="F10" s="261"/>
      <c r="G10" s="261"/>
      <c r="H10" s="261"/>
      <c r="I10" s="262"/>
      <c r="J10" s="2029"/>
      <c r="K10" s="2028"/>
      <c r="L10" s="2028"/>
      <c r="M10" s="2028"/>
      <c r="N10" s="2028"/>
      <c r="O10" s="2028"/>
      <c r="P10" s="2028"/>
      <c r="Q10" s="2028"/>
      <c r="R10" s="2028"/>
      <c r="S10" s="2028"/>
      <c r="T10" s="2028"/>
      <c r="U10" s="2028"/>
      <c r="V10" s="2028"/>
    </row>
    <row r="11" spans="1:22" ht="14.25">
      <c r="A11" s="3310"/>
      <c r="B11" s="3336"/>
      <c r="C11" s="3335"/>
      <c r="D11" s="3338"/>
      <c r="E11" s="260" t="s">
        <v>310</v>
      </c>
      <c r="F11" s="261"/>
      <c r="G11" s="261"/>
      <c r="H11" s="261"/>
      <c r="I11" s="262"/>
      <c r="J11" s="2029"/>
      <c r="K11" s="2028"/>
      <c r="L11" s="2028"/>
      <c r="M11" s="2028"/>
      <c r="N11" s="2028"/>
      <c r="O11" s="2028"/>
      <c r="P11" s="2028"/>
      <c r="Q11" s="2028"/>
      <c r="R11" s="2028"/>
      <c r="S11" s="2028"/>
      <c r="T11" s="2028"/>
      <c r="U11" s="2028"/>
      <c r="V11" s="2028"/>
    </row>
    <row r="12" spans="1:22" ht="14.25">
      <c r="A12" s="3310" t="s">
        <v>311</v>
      </c>
      <c r="B12" s="3336">
        <v>15</v>
      </c>
      <c r="C12" s="3334"/>
      <c r="D12" s="3338"/>
      <c r="E12" s="260" t="s">
        <v>312</v>
      </c>
      <c r="F12" s="261"/>
      <c r="G12" s="261"/>
      <c r="H12" s="261"/>
      <c r="I12" s="262"/>
      <c r="J12" s="2029"/>
      <c r="K12" s="2028"/>
      <c r="L12" s="2028"/>
      <c r="M12" s="2028"/>
      <c r="N12" s="2028"/>
      <c r="O12" s="2028"/>
      <c r="P12" s="2028"/>
      <c r="Q12" s="2028"/>
      <c r="R12" s="2028"/>
      <c r="S12" s="2028"/>
      <c r="T12" s="2028"/>
      <c r="U12" s="2028"/>
      <c r="V12" s="2028"/>
    </row>
    <row r="13" spans="1:22" ht="14.25">
      <c r="A13" s="3310"/>
      <c r="B13" s="3336"/>
      <c r="C13" s="3335"/>
      <c r="D13" s="3338"/>
      <c r="E13" s="260" t="s">
        <v>313</v>
      </c>
      <c r="F13" s="261"/>
      <c r="G13" s="261"/>
      <c r="H13" s="261"/>
      <c r="I13" s="262"/>
      <c r="J13" s="2029"/>
      <c r="K13" s="2028"/>
      <c r="L13" s="2028"/>
      <c r="M13" s="2028"/>
      <c r="N13" s="2028"/>
      <c r="O13" s="2028"/>
      <c r="P13" s="2028"/>
      <c r="Q13" s="2028"/>
      <c r="R13" s="2028"/>
      <c r="S13" s="2028"/>
      <c r="T13" s="2028"/>
      <c r="U13" s="2028"/>
      <c r="V13" s="2028"/>
    </row>
    <row r="14" spans="1:22" ht="14.25">
      <c r="A14" s="3310" t="s">
        <v>314</v>
      </c>
      <c r="B14" s="3336">
        <v>30</v>
      </c>
      <c r="C14" s="3334">
        <v>0.55000000000000004</v>
      </c>
      <c r="D14" s="3338">
        <f>1-C14</f>
        <v>0.44999999999999996</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10"/>
      <c r="B15" s="3336"/>
      <c r="C15" s="3337"/>
      <c r="D15" s="3338"/>
      <c r="E15" s="260" t="s">
        <v>316</v>
      </c>
      <c r="F15" s="261"/>
      <c r="G15" s="261"/>
      <c r="H15" s="261"/>
      <c r="I15" s="262"/>
      <c r="J15" s="2029"/>
      <c r="K15" s="2028"/>
      <c r="L15" s="2028"/>
      <c r="M15" s="2028"/>
      <c r="N15" s="2028"/>
      <c r="O15" s="2028"/>
      <c r="P15" s="2028"/>
      <c r="Q15" s="2028"/>
      <c r="R15" s="2028"/>
      <c r="S15" s="2028"/>
      <c r="T15" s="2028"/>
      <c r="U15" s="2028"/>
      <c r="V15" s="2028"/>
    </row>
    <row r="16" spans="1:22" ht="14.25">
      <c r="A16" s="3310"/>
      <c r="B16" s="3336"/>
      <c r="C16" s="3335"/>
      <c r="D16" s="3338"/>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0.55000000000000004</v>
      </c>
      <c r="D17" s="264">
        <f>SUM(D5:D16)</f>
        <v>0.44999999999999996</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319</v>
      </c>
      <c r="B18" s="105"/>
      <c r="C18" s="266">
        <f>ROUND(C17/SUM(C17:D17),2)</f>
        <v>0.55000000000000004</v>
      </c>
      <c r="D18" s="266">
        <f>1-C18</f>
        <v>0.44999999999999996</v>
      </c>
      <c r="E18" s="310"/>
      <c r="F18" s="310"/>
      <c r="G18" s="310"/>
      <c r="H18" s="310"/>
      <c r="I18" s="310"/>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2939</v>
      </c>
      <c r="D19" s="270">
        <f ca="1">SUMIF(INDIRECT("'"&amp;D4&amp;"'"&amp;"!A:A"),结果表!B19,INDIRECT("'"&amp;D4&amp;"'"&amp;"!B:B"))</f>
        <v>12080</v>
      </c>
      <c r="E19" s="267" t="s">
        <v>322</v>
      </c>
      <c r="F19" s="268" t="s">
        <v>321</v>
      </c>
      <c r="G19" s="271">
        <f ca="1">ROUND(C19*$C$18+D19*$D$18,0)</f>
        <v>7052</v>
      </c>
      <c r="H19" s="272" t="s">
        <v>323</v>
      </c>
      <c r="I19" s="310"/>
      <c r="J19" s="2028"/>
      <c r="K19" s="2028"/>
      <c r="L19" s="2028"/>
      <c r="M19" s="2028"/>
      <c r="N19" s="2028"/>
      <c r="O19" s="2028"/>
      <c r="P19" s="2028"/>
      <c r="Q19" s="2028"/>
      <c r="R19" s="2028"/>
      <c r="S19" s="2028"/>
      <c r="T19" s="2028"/>
      <c r="U19" s="2028"/>
      <c r="V19" s="2028"/>
    </row>
    <row r="20" spans="1:26" ht="15">
      <c r="A20" s="273"/>
      <c r="B20" s="274" t="s">
        <v>324</v>
      </c>
      <c r="C20" s="275">
        <f ca="1">SUMIF(INDIRECT("'"&amp;C4&amp;"'"&amp;"!A:A"),结果表!B20,INDIRECT("'"&amp;C4&amp;"'"&amp;"!B:B"))</f>
        <v>905</v>
      </c>
      <c r="D20" s="276">
        <f ca="1">SUMIF(INDIRECT("'"&amp;D4&amp;"'"&amp;"!A:A"),结果表!B20,INDIRECT("'"&amp;D4&amp;"'"&amp;"!B:B"))</f>
        <v>3718</v>
      </c>
      <c r="E20" s="273"/>
      <c r="F20" s="274" t="s">
        <v>324</v>
      </c>
      <c r="G20" s="277">
        <f ca="1">ROUND(C20*$C$18+D20*$D$18,0)</f>
        <v>2171</v>
      </c>
      <c r="H20" s="278" t="s">
        <v>325</v>
      </c>
      <c r="I20" s="310"/>
      <c r="J20" s="2028"/>
      <c r="K20" s="2028"/>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1357</v>
      </c>
      <c r="D21" s="151">
        <f ca="1">SUMIF(INDIRECT("'"&amp;D4&amp;"'"&amp;"!A:A"),结果表!B21,INDIRECT("'"&amp;D4&amp;"'"&amp;"!B:B"))</f>
        <v>5577</v>
      </c>
      <c r="E21" s="273"/>
      <c r="F21" s="279" t="s">
        <v>326</v>
      </c>
      <c r="G21" s="281">
        <f ca="1">ROUND(C21*$C$18+D21*$D$18,0)</f>
        <v>3256</v>
      </c>
      <c r="H21" s="1249" t="s">
        <v>325</v>
      </c>
      <c r="I21" s="310"/>
      <c r="J21" s="2028"/>
      <c r="K21" s="2028"/>
      <c r="L21" s="2028"/>
      <c r="M21" s="2028"/>
      <c r="N21" s="2028"/>
      <c r="O21" s="2028"/>
      <c r="P21" s="2028"/>
      <c r="Q21" s="2028"/>
      <c r="R21" s="2028"/>
      <c r="S21" s="2028"/>
      <c r="T21" s="2028"/>
      <c r="U21" s="2028"/>
      <c r="V21" s="2028"/>
    </row>
    <row r="22" spans="1:26" ht="15.75" thickBot="1">
      <c r="A22" s="126" t="s">
        <v>327</v>
      </c>
      <c r="B22" s="1250"/>
      <c r="C22" s="1251"/>
      <c r="D22" s="282">
        <f ca="1">IF(C19&lt;D19,D19/C19-1,C19/D19-1)</f>
        <v>3.1102415787682887</v>
      </c>
      <c r="E22" s="283"/>
      <c r="F22" s="284"/>
      <c r="G22" s="285">
        <f ca="1">ROUND(G19/('数据-汇总表'!D3/666.67),0)</f>
        <v>217</v>
      </c>
      <c r="H22" s="286" t="s">
        <v>328</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16" t="s">
        <v>329</v>
      </c>
      <c r="B24" s="268" t="s">
        <v>321</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17"/>
      <c r="B25" s="1319" t="s">
        <v>330</v>
      </c>
      <c r="C25" s="289">
        <f>IF(B30=0,0,C30)</f>
        <v>0</v>
      </c>
      <c r="D25" s="290"/>
      <c r="E25" s="310"/>
      <c r="F25" s="310"/>
      <c r="G25" s="310"/>
      <c r="H25" s="310"/>
      <c r="I25" s="310"/>
      <c r="J25" s="2028"/>
      <c r="K25" s="1253" t="str">
        <f ca="1">项目基本情况!B16&amp;"国有建设用地使用权价格："&amp;O38&amp;"万元"</f>
        <v>出让国有建设用地使用权价格：7052万元</v>
      </c>
      <c r="L25" s="1254"/>
      <c r="M25" s="1254"/>
      <c r="N25" s="1254"/>
      <c r="O25" s="1255"/>
      <c r="P25" s="2028"/>
      <c r="Q25" s="2028"/>
      <c r="R25" s="2028"/>
      <c r="S25" s="2028"/>
      <c r="T25" s="2028"/>
      <c r="U25" s="2028"/>
      <c r="V25" s="2028"/>
    </row>
    <row r="26" spans="1:26" s="1252" customFormat="1" ht="18">
      <c r="A26" s="292" t="s">
        <v>331</v>
      </c>
      <c r="B26" s="293" t="s">
        <v>332</v>
      </c>
      <c r="C26" s="293" t="s">
        <v>333</v>
      </c>
      <c r="D26" s="294" t="s">
        <v>334</v>
      </c>
      <c r="E26" s="310"/>
      <c r="F26" s="310"/>
      <c r="G26" s="310"/>
      <c r="H26" s="310"/>
      <c r="I26" s="310"/>
      <c r="J26" s="2028"/>
      <c r="K26" s="1256" t="str">
        <f ca="1">"大写金额：人民币"&amp;NUMBERSTRING(INT(O38*10000),2)&amp;"元整"</f>
        <v>大写金额：人民币柒仟零伍拾贰万元整</v>
      </c>
      <c r="L26" s="1250"/>
      <c r="M26" s="1250"/>
      <c r="N26" s="1250"/>
      <c r="O26" s="1249"/>
      <c r="P26" s="2028"/>
      <c r="Q26" s="2028"/>
      <c r="R26" s="2028"/>
      <c r="S26" s="2028"/>
      <c r="T26" s="2028"/>
      <c r="U26" s="2028"/>
      <c r="V26" s="2028"/>
      <c r="W26" s="291"/>
      <c r="X26" s="291"/>
      <c r="Y26" s="291"/>
      <c r="Z26" s="291"/>
    </row>
    <row r="27" spans="1:26" ht="18">
      <c r="A27" s="3214" t="s">
        <v>3169</v>
      </c>
      <c r="B27" s="293"/>
      <c r="C27" s="293"/>
      <c r="D27" s="294"/>
      <c r="E27" s="310"/>
      <c r="F27" s="310"/>
      <c r="G27" s="310"/>
      <c r="H27" s="310"/>
      <c r="I27" s="310"/>
      <c r="J27" s="2028"/>
      <c r="K27" s="1256" t="str">
        <f ca="1">"单位面积地价："&amp;M38&amp;"元/平方米"</f>
        <v>单位面积地价：3256元/平方米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楼面地价：2171元/平方米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28" t="s">
        <v>335</v>
      </c>
      <c r="B30" s="308"/>
      <c r="C30" s="308"/>
      <c r="D30" s="309"/>
      <c r="E30" s="3129" t="s">
        <v>2969</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7" t="s">
        <v>336</v>
      </c>
      <c r="B32" s="1380" t="s">
        <v>1688</v>
      </c>
      <c r="C32" s="1381">
        <f ca="1">G19-C24</f>
        <v>7052</v>
      </c>
      <c r="D32" s="1382" t="s">
        <v>1689</v>
      </c>
      <c r="E32" s="310"/>
      <c r="F32" s="310"/>
      <c r="G32" s="310"/>
      <c r="H32" s="310"/>
      <c r="I32" s="310"/>
      <c r="J32" s="2028"/>
      <c r="K32" s="2463" t="e">
        <f>IF(K31="——","——","大写金额：人民币"&amp;NUMBERSTRING(INT(O40*10000),2)&amp;"元整")</f>
        <v>#VALUE!</v>
      </c>
      <c r="L32" s="2466"/>
      <c r="M32" s="2466"/>
      <c r="N32" s="2466"/>
      <c r="O32" s="2467"/>
      <c r="P32" s="2028"/>
      <c r="V32" s="2028"/>
    </row>
    <row r="33" spans="1:26" ht="18.75" thickBot="1">
      <c r="A33" s="297" t="s">
        <v>339</v>
      </c>
      <c r="B33" s="1383" t="s">
        <v>1690</v>
      </c>
      <c r="C33" s="263">
        <f ca="1">ROUND(C32*10000/'数据-汇总表'!E3,0)</f>
        <v>2171</v>
      </c>
      <c r="D33" s="1384" t="s">
        <v>1691</v>
      </c>
      <c r="E33" s="3316" t="s">
        <v>337</v>
      </c>
      <c r="F33" s="295" t="s">
        <v>338</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1692</v>
      </c>
      <c r="C34" s="263">
        <f ca="1">ROUND(C32*10000/'数据-汇总表'!D3,0)</f>
        <v>3256</v>
      </c>
      <c r="D34" s="1386" t="s">
        <v>1691</v>
      </c>
      <c r="E34" s="3357"/>
      <c r="F34" s="127" t="s">
        <v>340</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217</v>
      </c>
      <c r="D35" s="1389" t="s">
        <v>1693</v>
      </c>
      <c r="E35" s="3358"/>
      <c r="F35" s="300" t="s">
        <v>341</v>
      </c>
      <c r="G35" s="980"/>
      <c r="H35" s="979" t="s">
        <v>342</v>
      </c>
      <c r="I35" s="310"/>
      <c r="J35" s="2028"/>
      <c r="K35" s="3331" t="s">
        <v>349</v>
      </c>
      <c r="L35" s="3331" t="s">
        <v>350</v>
      </c>
      <c r="M35" s="1262" t="s">
        <v>351</v>
      </c>
      <c r="N35" s="3331" t="s">
        <v>352</v>
      </c>
      <c r="O35" s="3331" t="s">
        <v>353</v>
      </c>
      <c r="P35" s="2028"/>
      <c r="V35" s="2028"/>
    </row>
    <row r="36" spans="1:26" ht="16.5" customHeight="1">
      <c r="A36" s="302" t="s">
        <v>343</v>
      </c>
      <c r="B36" s="303" t="s">
        <v>332</v>
      </c>
      <c r="C36" s="304" t="s">
        <v>344</v>
      </c>
      <c r="D36" s="304" t="s">
        <v>345</v>
      </c>
      <c r="E36" s="305" t="s">
        <v>346</v>
      </c>
      <c r="F36" s="310"/>
      <c r="G36" s="310"/>
      <c r="H36" s="310"/>
      <c r="I36" s="310"/>
      <c r="J36" s="2030"/>
      <c r="K36" s="3332"/>
      <c r="L36" s="3332"/>
      <c r="M36" s="1264" t="s">
        <v>354</v>
      </c>
      <c r="N36" s="3332"/>
      <c r="O36" s="3332"/>
      <c r="P36" s="2028"/>
      <c r="V36" s="2028"/>
    </row>
    <row r="37" spans="1:26" ht="16.5" customHeight="1" thickBot="1">
      <c r="A37" s="1258" t="s">
        <v>347</v>
      </c>
      <c r="B37" s="306"/>
      <c r="C37" s="293"/>
      <c r="D37" s="293"/>
      <c r="E37" s="294"/>
      <c r="F37" s="310"/>
      <c r="G37" s="310"/>
      <c r="H37" s="310"/>
      <c r="I37" s="310"/>
      <c r="J37" s="2030"/>
      <c r="K37" s="3333"/>
      <c r="L37" s="3333"/>
      <c r="M37" s="1265"/>
      <c r="N37" s="3333"/>
      <c r="O37" s="3333"/>
      <c r="P37" s="2028"/>
      <c r="V37" s="2028"/>
    </row>
    <row r="38" spans="1:26" ht="16.5" customHeight="1" thickBot="1">
      <c r="A38" s="1258" t="s">
        <v>348</v>
      </c>
      <c r="B38" s="306"/>
      <c r="C38" s="293"/>
      <c r="D38" s="293"/>
      <c r="E38" s="294"/>
      <c r="F38" s="310"/>
      <c r="G38" s="310"/>
      <c r="H38" s="310"/>
      <c r="I38" s="310"/>
      <c r="J38" s="2030"/>
      <c r="K38" s="1266">
        <f>'数据-汇总表'!D3</f>
        <v>21659.53</v>
      </c>
      <c r="L38" s="1267">
        <f>'数据-汇总表'!E3</f>
        <v>32489</v>
      </c>
      <c r="M38" s="1267">
        <f ca="1">C34</f>
        <v>3256</v>
      </c>
      <c r="N38" s="1267">
        <f ca="1">C33</f>
        <v>2171</v>
      </c>
      <c r="O38" s="1268">
        <f ca="1">C32</f>
        <v>7052</v>
      </c>
      <c r="P38" s="2028"/>
      <c r="V38" s="2028"/>
    </row>
    <row r="39" spans="1:26" ht="16.5" customHeight="1" thickBot="1">
      <c r="A39" s="1263"/>
      <c r="B39" s="307"/>
      <c r="C39" s="308"/>
      <c r="D39" s="308"/>
      <c r="E39" s="309"/>
      <c r="F39" s="310"/>
      <c r="G39" s="310"/>
      <c r="H39" s="310"/>
      <c r="I39" s="310"/>
      <c r="J39" s="2030"/>
      <c r="K39" s="3376" t="str">
        <f>MID(A44,3,LEN(A44)-2)</f>
        <v/>
      </c>
      <c r="L39" s="3377"/>
      <c r="M39" s="3377"/>
      <c r="N39" s="3378"/>
      <c r="O39" s="1391" t="str">
        <f>C44</f>
        <v>——</v>
      </c>
      <c r="P39" s="2028"/>
      <c r="V39" s="2028"/>
    </row>
    <row r="40" spans="1:26" ht="19.5" thickBot="1">
      <c r="A40" s="104" t="s">
        <v>872</v>
      </c>
      <c r="B40" s="310"/>
      <c r="C40" s="310"/>
      <c r="D40" s="310"/>
      <c r="E40" s="310"/>
      <c r="F40" s="310"/>
      <c r="G40" s="310"/>
      <c r="H40" s="310"/>
      <c r="I40" s="310"/>
      <c r="J40" s="2030"/>
      <c r="K40" s="3376" t="str">
        <f t="shared" ref="K40:K41" si="0">MID(A45,3,LEN(A45)-2)</f>
        <v/>
      </c>
      <c r="L40" s="3377"/>
      <c r="M40" s="3377"/>
      <c r="N40" s="3378"/>
      <c r="O40" s="1391" t="str">
        <f>C45</f>
        <v>——</v>
      </c>
      <c r="P40" s="2028"/>
      <c r="V40" s="2028"/>
    </row>
    <row r="41" spans="1:26" ht="16.5" thickBot="1">
      <c r="A41" s="311" t="s">
        <v>355</v>
      </c>
      <c r="B41" s="312"/>
      <c r="C41" s="313" t="s">
        <v>356</v>
      </c>
      <c r="D41" s="314" t="s">
        <v>357</v>
      </c>
      <c r="E41" s="314" t="s">
        <v>358</v>
      </c>
      <c r="F41" s="315" t="s">
        <v>359</v>
      </c>
      <c r="G41" s="310"/>
      <c r="H41" s="310"/>
      <c r="I41" s="310"/>
      <c r="J41" s="2030"/>
      <c r="K41" s="3376" t="str">
        <f t="shared" si="0"/>
        <v/>
      </c>
      <c r="L41" s="3377"/>
      <c r="M41" s="3377"/>
      <c r="N41" s="3378"/>
      <c r="O41" s="1391" t="str">
        <f>C46</f>
        <v>——</v>
      </c>
      <c r="P41" s="2028"/>
      <c r="V41" s="2028"/>
    </row>
    <row r="42" spans="1:26" ht="29.25">
      <c r="A42" s="3318" t="s">
        <v>2069</v>
      </c>
      <c r="B42" s="3319"/>
      <c r="C42" s="263">
        <f ca="1">C32</f>
        <v>7052</v>
      </c>
      <c r="D42" s="316">
        <f ca="1">C33</f>
        <v>2171</v>
      </c>
      <c r="E42" s="316">
        <f ca="1">C34</f>
        <v>3256</v>
      </c>
      <c r="F42" s="317">
        <f ca="1">C35</f>
        <v>217</v>
      </c>
      <c r="G42" s="310"/>
      <c r="H42" s="310"/>
      <c r="I42" s="318"/>
      <c r="J42" s="2030"/>
      <c r="K42" s="1269" t="s">
        <v>360</v>
      </c>
      <c r="L42" s="2047" t="s">
        <v>361</v>
      </c>
      <c r="M42" s="1270" t="s">
        <v>362</v>
      </c>
      <c r="N42" s="2048" t="s">
        <v>363</v>
      </c>
      <c r="O42" s="2049" t="s">
        <v>364</v>
      </c>
      <c r="P42" s="2028"/>
      <c r="V42" s="2028"/>
    </row>
    <row r="43" spans="1:26" ht="30">
      <c r="A43" s="3329" t="s">
        <v>2732</v>
      </c>
      <c r="B43" s="3330"/>
      <c r="C43" s="263">
        <f>IF(H33="正常操作",G33+G34+G35,G34+G35)</f>
        <v>0</v>
      </c>
      <c r="D43" s="316" t="s">
        <v>43</v>
      </c>
      <c r="E43" s="316" t="s">
        <v>44</v>
      </c>
      <c r="F43" s="317" t="s">
        <v>44</v>
      </c>
      <c r="G43" s="2866" t="s">
        <v>951</v>
      </c>
      <c r="H43" s="310"/>
      <c r="I43" s="318"/>
      <c r="J43" s="2030"/>
      <c r="K43" s="1271" t="str">
        <f>C4</f>
        <v>比较法-住宅、综合</v>
      </c>
      <c r="L43" s="1272">
        <f ca="1">IF(L42="估价结果/万元",C19,C20)</f>
        <v>2939</v>
      </c>
      <c r="M43" s="1273">
        <f>C18</f>
        <v>0.55000000000000004</v>
      </c>
      <c r="N43" s="1274">
        <f ca="1">IF(N42="测算结果/万元",G19,G20)</f>
        <v>7052</v>
      </c>
      <c r="O43" s="1275">
        <f ca="1">IF(O42="最终结果/万元",C32,C33)</f>
        <v>7052</v>
      </c>
      <c r="P43" s="2028"/>
      <c r="V43" s="2028"/>
    </row>
    <row r="44" spans="1:26" ht="30.75" thickBot="1">
      <c r="A44" s="3318" t="str">
        <f>IF(OR(项目基本情况!E8="抵押价格",项目基本情况!E8="已注销及未注销"),"3.抵押价格","——")</f>
        <v>——</v>
      </c>
      <c r="B44" s="3319"/>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12080</v>
      </c>
      <c r="M44" s="1278">
        <f>D18</f>
        <v>0.44999999999999996</v>
      </c>
      <c r="N44" s="1279"/>
      <c r="O44" s="1280"/>
      <c r="P44" s="2028"/>
      <c r="V44" s="2028"/>
    </row>
    <row r="45" spans="1:26" ht="15">
      <c r="A45" s="3324" t="str">
        <f>IF(项目基本情况!E8="已注销及未注销","4.抵押担保权已注销时的抵押价格",IF(项目基本情况!E8="已注销","3.抵押担保权已注销时的抵押价格","——"))</f>
        <v>——</v>
      </c>
      <c r="B45" s="3325"/>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20" t="str">
        <f>IF(项目基本情况!E9="抵押净值",IF(A45="——","4.抵押净值","5.抵押净值"),"——")</f>
        <v>——</v>
      </c>
      <c r="B46" s="3321"/>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365</v>
      </c>
      <c r="B47" s="1281"/>
      <c r="C47" s="321" t="s">
        <v>366</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367</v>
      </c>
      <c r="G53" s="336"/>
      <c r="H53" s="336"/>
      <c r="I53" s="337" t="s">
        <v>368</v>
      </c>
      <c r="J53" s="2031"/>
      <c r="K53" s="2028"/>
      <c r="L53" s="2028"/>
      <c r="M53" s="2028"/>
      <c r="N53" s="2028"/>
      <c r="O53" s="2028"/>
      <c r="P53" s="2028"/>
      <c r="Q53" s="2028"/>
      <c r="R53" s="2028"/>
      <c r="S53" s="2028"/>
      <c r="T53" s="2028"/>
      <c r="U53" s="2028"/>
      <c r="V53" s="2028"/>
    </row>
    <row r="54" spans="1:22" ht="12.75">
      <c r="A54" s="256"/>
      <c r="B54" s="338"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370</v>
      </c>
      <c r="J56" s="2031"/>
      <c r="K56" s="2028"/>
      <c r="L56" s="2028"/>
      <c r="M56" s="2028"/>
      <c r="N56" s="2028"/>
      <c r="O56" s="2028"/>
      <c r="P56" s="2028"/>
      <c r="Q56" s="2028"/>
      <c r="R56" s="2028"/>
      <c r="S56" s="2028"/>
      <c r="T56" s="2028"/>
      <c r="U56" s="2028"/>
      <c r="V56" s="2028"/>
    </row>
    <row r="57" spans="1:22" ht="12.75">
      <c r="A57" s="256"/>
      <c r="B57" s="338"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372</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65" t="s">
        <v>373</v>
      </c>
      <c r="B63" s="3366"/>
      <c r="C63" s="3367"/>
      <c r="D63" s="340">
        <f ca="1">ROUND(C42*F63,0)</f>
        <v>4231</v>
      </c>
      <c r="E63" s="301" t="s">
        <v>374</v>
      </c>
      <c r="F63" s="341">
        <v>0.6</v>
      </c>
      <c r="G63" s="342" t="s">
        <v>375</v>
      </c>
      <c r="H63" s="310"/>
      <c r="I63" s="310"/>
      <c r="J63" s="2028"/>
      <c r="K63" s="2028"/>
      <c r="L63" s="2028"/>
      <c r="M63" s="2028"/>
      <c r="N63" s="2028"/>
      <c r="O63" s="2028"/>
      <c r="P63" s="310"/>
      <c r="Q63" s="2028"/>
      <c r="R63" s="2028"/>
      <c r="S63" s="2028"/>
      <c r="T63" s="2028"/>
      <c r="U63" s="2028"/>
      <c r="V63" s="2028"/>
    </row>
    <row r="64" spans="1:22" ht="14.25" customHeight="1">
      <c r="A64" s="3326" t="s">
        <v>377</v>
      </c>
      <c r="B64" s="3327"/>
      <c r="C64" s="3327"/>
      <c r="D64" s="3327"/>
      <c r="E64" s="3327"/>
      <c r="F64" s="3327"/>
      <c r="G64" s="3328"/>
      <c r="H64" s="1286"/>
      <c r="I64" s="946"/>
      <c r="J64" s="1990"/>
      <c r="K64" s="1560" t="s">
        <v>376</v>
      </c>
      <c r="L64" s="11"/>
      <c r="M64" s="11"/>
      <c r="N64" s="11"/>
      <c r="O64" s="11"/>
      <c r="P64" s="310"/>
      <c r="Q64" s="2028"/>
      <c r="R64" s="2028"/>
      <c r="S64" s="2028"/>
      <c r="T64" s="2028"/>
      <c r="U64" s="2028"/>
      <c r="V64" s="2028"/>
    </row>
    <row r="65" spans="1:22" ht="12" customHeight="1">
      <c r="A65" s="343" t="s">
        <v>379</v>
      </c>
      <c r="B65" s="344"/>
      <c r="C65" s="345"/>
      <c r="D65" s="346" t="s">
        <v>380</v>
      </c>
      <c r="E65" s="53" t="s">
        <v>381</v>
      </c>
      <c r="F65" s="347" t="s">
        <v>382</v>
      </c>
      <c r="G65" s="348" t="s">
        <v>383</v>
      </c>
      <c r="H65" s="1286"/>
      <c r="I65" s="946"/>
      <c r="J65" s="1990"/>
      <c r="K65" s="1287"/>
      <c r="L65" s="1288"/>
      <c r="M65" s="1288"/>
      <c r="N65" s="1320" t="s">
        <v>378</v>
      </c>
      <c r="O65" s="1321"/>
      <c r="P65" s="1322"/>
      <c r="Q65" s="2028"/>
      <c r="R65" s="2028"/>
      <c r="S65" s="2028"/>
      <c r="T65" s="2028"/>
      <c r="U65" s="2028"/>
      <c r="V65" s="2028"/>
    </row>
    <row r="66" spans="1:22" ht="25.5">
      <c r="A66" s="3322" t="s">
        <v>385</v>
      </c>
      <c r="B66" s="3323"/>
      <c r="C66" s="3323"/>
      <c r="D66" s="260">
        <f ca="1">IF(H66="情况1",0,IF(H66="情况2",D70,IF(H66="情况3",D71,IF(H66="情况4",D72))))</f>
        <v>222</v>
      </c>
      <c r="E66" s="991" t="str">
        <f>IF(H66="情况4","(销售额-原购置价)×税（费）率","销售额×税（费）率")</f>
        <v>销售额×税（费）率</v>
      </c>
      <c r="F66" s="349">
        <f>IF(H66="情况1","免征",'数据-取费表'!B41)</f>
        <v>5.5000000000000007E-2</v>
      </c>
      <c r="G66" s="350" t="s">
        <v>386</v>
      </c>
      <c r="H66" s="191" t="s">
        <v>387</v>
      </c>
      <c r="I66" s="1286"/>
      <c r="J66" s="2034"/>
      <c r="K66" s="1289">
        <v>1</v>
      </c>
      <c r="L66" s="3380" t="s">
        <v>384</v>
      </c>
      <c r="M66" s="3381"/>
      <c r="N66" s="2458"/>
      <c r="O66" s="2459"/>
      <c r="P66" s="2460"/>
      <c r="Q66" s="2028"/>
      <c r="R66" s="2028"/>
      <c r="S66" s="2028"/>
      <c r="T66" s="2028"/>
      <c r="U66" s="2028"/>
      <c r="V66" s="2028"/>
    </row>
    <row r="67" spans="1:22" ht="25.5" customHeight="1">
      <c r="A67" s="351" t="s">
        <v>389</v>
      </c>
      <c r="B67" s="3313" t="s">
        <v>390</v>
      </c>
      <c r="C67" s="3313"/>
      <c r="D67" s="352">
        <v>0</v>
      </c>
      <c r="E67" s="41" t="s">
        <v>391</v>
      </c>
      <c r="F67" s="62" t="s">
        <v>21</v>
      </c>
      <c r="G67" s="3368"/>
      <c r="H67" s="310"/>
      <c r="I67" s="1290"/>
      <c r="J67" s="2035"/>
      <c r="K67" s="1976">
        <v>2</v>
      </c>
      <c r="L67" s="3379" t="s">
        <v>388</v>
      </c>
      <c r="M67" s="3379"/>
      <c r="N67" s="1323">
        <f>'数据-取费表'!B2</f>
        <v>43276</v>
      </c>
      <c r="O67" s="1323"/>
      <c r="P67" s="1323"/>
      <c r="Q67" s="2028"/>
      <c r="R67" s="2028"/>
      <c r="S67" s="2028"/>
      <c r="T67" s="2028"/>
      <c r="U67" s="2028"/>
      <c r="V67" s="2028"/>
    </row>
    <row r="68" spans="1:22" ht="25.5" customHeight="1">
      <c r="A68" s="353"/>
      <c r="B68" s="3313" t="s">
        <v>393</v>
      </c>
      <c r="C68" s="3313"/>
      <c r="D68" s="354"/>
      <c r="E68" s="77"/>
      <c r="F68" s="355"/>
      <c r="G68" s="3369"/>
      <c r="H68" s="310"/>
      <c r="I68" s="1290"/>
      <c r="J68" s="2035"/>
      <c r="K68" s="1976">
        <v>3</v>
      </c>
      <c r="L68" s="3379" t="s">
        <v>392</v>
      </c>
      <c r="M68" s="3379"/>
      <c r="N68" s="1291">
        <f ca="1">C42</f>
        <v>7052</v>
      </c>
      <c r="O68" s="1291"/>
      <c r="P68" s="1291"/>
      <c r="Q68" s="2028"/>
      <c r="R68" s="2028"/>
      <c r="S68" s="2028"/>
      <c r="T68" s="2028"/>
      <c r="U68" s="2028"/>
      <c r="V68" s="2028"/>
    </row>
    <row r="69" spans="1:22" ht="12" customHeight="1">
      <c r="A69" s="356"/>
      <c r="B69" s="3313" t="s">
        <v>394</v>
      </c>
      <c r="C69" s="3313"/>
      <c r="D69" s="357"/>
      <c r="E69" s="73"/>
      <c r="F69" s="355"/>
      <c r="G69" s="3370"/>
      <c r="H69" s="310"/>
      <c r="I69" s="1290"/>
      <c r="J69" s="2035"/>
      <c r="K69" s="1292">
        <v>4</v>
      </c>
      <c r="L69" s="3384" t="s">
        <v>2885</v>
      </c>
      <c r="M69" s="3385"/>
      <c r="N69" s="1293" t="str">
        <f>C44</f>
        <v>——</v>
      </c>
      <c r="O69" s="1293"/>
      <c r="P69" s="1293"/>
      <c r="Q69" s="2028"/>
      <c r="R69" s="2028"/>
      <c r="S69" s="2028"/>
      <c r="T69" s="2028"/>
      <c r="U69" s="2028"/>
      <c r="V69" s="2028"/>
    </row>
    <row r="70" spans="1:22" ht="24" customHeight="1">
      <c r="A70" s="358" t="s">
        <v>395</v>
      </c>
      <c r="B70" s="3313" t="s">
        <v>396</v>
      </c>
      <c r="C70" s="3313"/>
      <c r="D70" s="357">
        <f ca="1">ROUND(D63*'数据-取费表'!B41/(1+'数据-取费表'!C42),0)</f>
        <v>222</v>
      </c>
      <c r="E70" s="17" t="s">
        <v>397</v>
      </c>
      <c r="F70" s="359">
        <f>'数据-取费表'!B41</f>
        <v>5.5000000000000007E-2</v>
      </c>
      <c r="G70" s="360"/>
      <c r="H70" s="310"/>
      <c r="I70" s="1290"/>
      <c r="J70" s="2035"/>
      <c r="K70" s="3062"/>
      <c r="L70" s="3063"/>
      <c r="M70" s="3063"/>
      <c r="N70" s="3064" t="s">
        <v>2890</v>
      </c>
      <c r="O70" s="3063"/>
      <c r="P70" s="3065"/>
      <c r="Q70" s="2028"/>
      <c r="R70" s="2028"/>
      <c r="S70" s="2028"/>
      <c r="T70" s="2028"/>
      <c r="U70" s="2028"/>
      <c r="V70" s="2028"/>
    </row>
    <row r="71" spans="1:22" ht="12" customHeight="1">
      <c r="A71" s="358" t="s">
        <v>403</v>
      </c>
      <c r="B71" s="3314" t="s">
        <v>404</v>
      </c>
      <c r="C71" s="3315"/>
      <c r="D71" s="357">
        <f ca="1">ROUND(D63*'数据-取费表'!B41/(1+'数据-取费表'!C42),0)</f>
        <v>222</v>
      </c>
      <c r="E71" s="17" t="s">
        <v>397</v>
      </c>
      <c r="F71" s="359">
        <f>'数据-取费表'!B41</f>
        <v>5.5000000000000007E-2</v>
      </c>
      <c r="G71" s="360"/>
      <c r="H71" s="310"/>
      <c r="I71" s="1290"/>
      <c r="J71" s="2035"/>
      <c r="K71" s="3061" t="s">
        <v>398</v>
      </c>
      <c r="L71" s="3386" t="s">
        <v>399</v>
      </c>
      <c r="M71" s="3386"/>
      <c r="N71" s="3061" t="s">
        <v>400</v>
      </c>
      <c r="O71" s="3061" t="s">
        <v>401</v>
      </c>
      <c r="P71" s="3061" t="s">
        <v>402</v>
      </c>
      <c r="Q71" s="2028"/>
      <c r="R71" s="2028"/>
      <c r="S71" s="2028"/>
      <c r="T71" s="2028"/>
      <c r="U71" s="2028"/>
      <c r="V71" s="2028"/>
    </row>
    <row r="72" spans="1:22" ht="12" customHeight="1">
      <c r="A72" s="358" t="s">
        <v>406</v>
      </c>
      <c r="B72" s="3314" t="s">
        <v>407</v>
      </c>
      <c r="C72" s="3315"/>
      <c r="D72" s="357">
        <f ca="1">C86</f>
        <v>112</v>
      </c>
      <c r="E72" s="73" t="s">
        <v>408</v>
      </c>
      <c r="F72" s="359">
        <f>'数据-取费表'!B41</f>
        <v>5.5000000000000007E-2</v>
      </c>
      <c r="G72" s="360"/>
      <c r="H72" s="1296"/>
      <c r="I72" s="1290"/>
      <c r="J72" s="2035"/>
      <c r="K72" s="1976">
        <v>1</v>
      </c>
      <c r="L72" s="3361" t="s">
        <v>405</v>
      </c>
      <c r="M72" s="3361"/>
      <c r="N72" s="1294">
        <f ca="1">D66</f>
        <v>222</v>
      </c>
      <c r="O72" s="1859" t="str">
        <f>E66</f>
        <v>销售额×税（费）率</v>
      </c>
      <c r="P72" s="1295">
        <f>F66</f>
        <v>5.5000000000000007E-2</v>
      </c>
      <c r="Q72" s="2028"/>
      <c r="R72" s="2028"/>
      <c r="S72" s="2028"/>
      <c r="T72" s="2028"/>
      <c r="U72" s="2028"/>
      <c r="V72" s="2028"/>
    </row>
    <row r="73" spans="1:22" ht="24" customHeight="1">
      <c r="A73" s="3355" t="s">
        <v>410</v>
      </c>
      <c r="B73" s="3323"/>
      <c r="C73" s="3323"/>
      <c r="D73" s="361">
        <f>IF(H73="个人住宅",0,ROUND(D63*I73,0))</f>
        <v>0</v>
      </c>
      <c r="E73" s="17" t="s">
        <v>411</v>
      </c>
      <c r="F73" s="359" t="str">
        <f>IF(H73="正常",I73,"免征")</f>
        <v>免征</v>
      </c>
      <c r="G73" s="360"/>
      <c r="H73" s="191" t="s">
        <v>2457</v>
      </c>
      <c r="I73" s="359">
        <f>'数据-取费表'!B49</f>
        <v>5.0000000000000001E-4</v>
      </c>
      <c r="J73" s="2035"/>
      <c r="K73" s="1976">
        <v>2</v>
      </c>
      <c r="L73" s="3361" t="s">
        <v>409</v>
      </c>
      <c r="M73" s="3361"/>
      <c r="N73" s="1294">
        <f t="shared" ref="N73:P74" si="1">D73</f>
        <v>0</v>
      </c>
      <c r="O73" s="1859" t="str">
        <f t="shared" si="1"/>
        <v>销售额×税（费）率</v>
      </c>
      <c r="P73" s="1295" t="str">
        <f t="shared" si="1"/>
        <v>免征</v>
      </c>
      <c r="Q73" s="2028"/>
      <c r="R73" s="2028"/>
      <c r="S73" s="2028"/>
      <c r="T73" s="2028"/>
      <c r="U73" s="2028"/>
      <c r="V73" s="2028"/>
    </row>
    <row r="74" spans="1:22" ht="24.75">
      <c r="A74" s="3355" t="s">
        <v>414</v>
      </c>
      <c r="B74" s="3323"/>
      <c r="C74" s="3323"/>
      <c r="D74" s="361">
        <f ca="1">IF(H74="个人住宅",D75,D76)</f>
        <v>1744</v>
      </c>
      <c r="E74" s="17" t="s">
        <v>415</v>
      </c>
      <c r="F74" s="359" t="str">
        <f>IF(H74="正常",F76,"免征")</f>
        <v>——</v>
      </c>
      <c r="G74" s="981" t="s">
        <v>416</v>
      </c>
      <c r="H74" s="362" t="s">
        <v>412</v>
      </c>
      <c r="I74" s="42"/>
      <c r="J74" s="2035"/>
      <c r="K74" s="1976">
        <v>3</v>
      </c>
      <c r="L74" s="3361" t="s">
        <v>413</v>
      </c>
      <c r="M74" s="3361"/>
      <c r="N74" s="1294">
        <f t="shared" ca="1" si="1"/>
        <v>1744</v>
      </c>
      <c r="O74" s="1859" t="str">
        <f t="shared" si="1"/>
        <v>增值额×税（费）率</v>
      </c>
      <c r="P74" s="1297" t="str">
        <f t="shared" si="1"/>
        <v>——</v>
      </c>
      <c r="Q74" s="2028"/>
      <c r="R74" s="2028"/>
      <c r="S74" s="2028"/>
      <c r="T74" s="2028"/>
      <c r="U74" s="2028"/>
      <c r="V74" s="2028"/>
    </row>
    <row r="75" spans="1:22" ht="24">
      <c r="A75" s="358" t="s">
        <v>417</v>
      </c>
      <c r="B75" s="3311" t="s">
        <v>418</v>
      </c>
      <c r="C75" s="3341"/>
      <c r="D75" s="363">
        <v>0</v>
      </c>
      <c r="E75" s="41" t="s">
        <v>419</v>
      </c>
      <c r="F75" s="364"/>
      <c r="G75" s="360"/>
      <c r="H75" s="42"/>
      <c r="I75" s="42"/>
      <c r="J75" s="2035"/>
      <c r="K75" s="3054">
        <f>IF(H77="非个人房产","",4)</f>
        <v>4</v>
      </c>
      <c r="L75" s="3361" t="str">
        <f>IF(H77="非个人房产","——","个人所得税")</f>
        <v>个人所得税</v>
      </c>
      <c r="M75" s="3361"/>
      <c r="N75" s="1298">
        <f ca="1">D77</f>
        <v>42</v>
      </c>
      <c r="O75" s="1872" t="str">
        <f>E77</f>
        <v>销售额×税（费）率</v>
      </c>
      <c r="P75" s="1299">
        <f>F77</f>
        <v>0.01</v>
      </c>
      <c r="Q75" s="2028"/>
      <c r="R75" s="2028"/>
      <c r="S75" s="2028"/>
      <c r="T75" s="2028"/>
      <c r="U75" s="2028"/>
      <c r="V75" s="2028"/>
    </row>
    <row r="76" spans="1:22" ht="24.75">
      <c r="A76" s="358" t="s">
        <v>395</v>
      </c>
      <c r="B76" s="3311" t="s">
        <v>421</v>
      </c>
      <c r="C76" s="3312"/>
      <c r="D76" s="361">
        <f ca="1">IF(H76="转让取得",C99,C115)</f>
        <v>1744</v>
      </c>
      <c r="E76" s="17" t="s">
        <v>422</v>
      </c>
      <c r="F76" s="53" t="s">
        <v>21</v>
      </c>
      <c r="G76" s="360"/>
      <c r="H76" s="362" t="s">
        <v>423</v>
      </c>
      <c r="I76" s="42"/>
      <c r="J76" s="2035"/>
      <c r="K76" s="3054" t="str">
        <f>IF(项目基本情况!K6="上海银行",IF(K75="",4,K75+1),"")</f>
        <v/>
      </c>
      <c r="L76" s="3372" t="str">
        <f>IF(项目基本情况!K6="上海银行","其他处置费用","")</f>
        <v/>
      </c>
      <c r="M76" s="3373"/>
      <c r="N76" s="1294" t="str">
        <f>IF(项目基本情况!K6="上海银行",N89,"")</f>
        <v/>
      </c>
      <c r="O76" s="3374" t="str">
        <f>IF(项目基本情况!K6="上海银行","包含处置中涉及的律师、诉讼、拍卖、评估等费用","")</f>
        <v/>
      </c>
      <c r="P76" s="3375"/>
      <c r="Q76" s="2028"/>
      <c r="R76" s="2028"/>
      <c r="S76" s="2028"/>
      <c r="T76" s="2028"/>
      <c r="U76" s="2028"/>
      <c r="V76" s="2028"/>
    </row>
    <row r="77" spans="1:22" ht="26.25" thickBot="1">
      <c r="A77" s="3363" t="s">
        <v>425</v>
      </c>
      <c r="B77" s="3364"/>
      <c r="C77" s="3364"/>
      <c r="D77" s="365">
        <f ca="1">IF(H77="非个人房产","——",IF(H77="个人住宅",0,ROUND(D63*I77,0)))</f>
        <v>42</v>
      </c>
      <c r="E77" s="366" t="str">
        <f>IF(H77="非个人房产","——","销售额×税（费）率")</f>
        <v>销售额×税（费）率</v>
      </c>
      <c r="F77" s="367">
        <f>IF(H77="非个人房产","——",IF(H77="个人住宅","免征",I77))</f>
        <v>0.01</v>
      </c>
      <c r="G77" s="982" t="s">
        <v>416</v>
      </c>
      <c r="H77" s="362" t="s">
        <v>2886</v>
      </c>
      <c r="I77" s="368">
        <v>0.01</v>
      </c>
      <c r="J77" s="2035"/>
      <c r="K77" s="3362">
        <f>IF(AND(K75="",K76=""),4,IF(项目基本情况!K6="上海银行",K76+1,K75+1))</f>
        <v>5</v>
      </c>
      <c r="L77" s="3361" t="s">
        <v>2887</v>
      </c>
      <c r="M77" s="3060" t="s">
        <v>420</v>
      </c>
      <c r="N77" s="1300"/>
      <c r="O77" s="1301">
        <f ca="1">SUMIF(N72:N76,"&lt;9e307")</f>
        <v>2008</v>
      </c>
      <c r="P77" s="1302"/>
      <c r="Q77" s="3058" t="e">
        <f ca="1">O77/N69</f>
        <v>#VALUE!</v>
      </c>
      <c r="R77" s="2028"/>
      <c r="S77" s="2028"/>
      <c r="T77" s="2028"/>
      <c r="U77" s="2028"/>
      <c r="V77" s="2028"/>
    </row>
    <row r="78" spans="1:22" ht="12" customHeight="1">
      <c r="A78" s="1303"/>
      <c r="B78" s="310"/>
      <c r="C78" s="310"/>
      <c r="D78" s="310"/>
      <c r="E78" s="42"/>
      <c r="F78" s="42"/>
      <c r="G78" s="42"/>
      <c r="H78" s="1001"/>
      <c r="I78" s="310"/>
      <c r="J78" s="2035"/>
      <c r="K78" s="3362"/>
      <c r="L78" s="3361"/>
      <c r="M78" s="3060" t="s">
        <v>424</v>
      </c>
      <c r="N78" s="1300"/>
      <c r="O78" s="1301" t="str">
        <f ca="1">NUMBERSTRING(INT(O77*10000),2)&amp;"元整"</f>
        <v>贰仟零捌万元整</v>
      </c>
      <c r="P78" s="1302"/>
      <c r="Q78" s="2028"/>
      <c r="R78" s="2028"/>
      <c r="S78" s="2028"/>
      <c r="T78" s="2028"/>
      <c r="U78" s="2028"/>
      <c r="V78" s="2028"/>
    </row>
    <row r="79" spans="1:22" ht="13.5" thickBot="1">
      <c r="A79" s="3356" t="s">
        <v>426</v>
      </c>
      <c r="B79" s="3356"/>
      <c r="C79" s="3356"/>
      <c r="D79" s="3356"/>
      <c r="E79" s="3356"/>
      <c r="F79" s="42"/>
      <c r="G79" s="42"/>
      <c r="H79" s="1001"/>
      <c r="I79" s="310"/>
      <c r="J79" s="2035"/>
      <c r="K79" s="3382">
        <f>K77+1</f>
        <v>6</v>
      </c>
      <c r="L79" s="3361" t="s">
        <v>2888</v>
      </c>
      <c r="M79" s="3060" t="s">
        <v>420</v>
      </c>
      <c r="N79" s="1300"/>
      <c r="O79" s="1301" t="e">
        <f ca="1">N69-O77</f>
        <v>#VALUE!</v>
      </c>
      <c r="P79" s="1302"/>
      <c r="Q79" s="2028"/>
      <c r="R79" s="2028"/>
      <c r="S79" s="2028"/>
      <c r="T79" s="2028"/>
      <c r="U79" s="2028"/>
      <c r="V79" s="2028"/>
    </row>
    <row r="80" spans="1:22" ht="12.75">
      <c r="A80" s="3351" t="s">
        <v>427</v>
      </c>
      <c r="B80" s="3352"/>
      <c r="C80" s="992"/>
      <c r="D80" s="992" t="s">
        <v>428</v>
      </c>
      <c r="E80" s="369" t="s">
        <v>429</v>
      </c>
      <c r="F80" s="42"/>
      <c r="G80" s="42"/>
      <c r="H80" s="1001"/>
      <c r="I80" s="310"/>
      <c r="J80" s="2028"/>
      <c r="K80" s="3383"/>
      <c r="L80" s="3361"/>
      <c r="M80" s="3060" t="s">
        <v>424</v>
      </c>
      <c r="N80" s="1300"/>
      <c r="O80" s="1301" t="e">
        <f ca="1">NUMBERSTRING(INT(O79*10000),2)&amp;"元整"</f>
        <v>#VALUE!</v>
      </c>
      <c r="P80" s="1302"/>
      <c r="Q80" s="2028"/>
      <c r="R80" s="2028"/>
      <c r="S80" s="2028"/>
      <c r="T80" s="2028"/>
      <c r="U80" s="2028"/>
      <c r="V80" s="2028"/>
    </row>
    <row r="81" spans="1:26" ht="13.5" thickBot="1">
      <c r="A81" s="380" t="s">
        <v>1823</v>
      </c>
      <c r="B81" s="370" t="s">
        <v>430</v>
      </c>
      <c r="C81" s="371">
        <f ca="1">ROUND((C82+C83)/(1+'数据-取费表'!C42),0)</f>
        <v>4030</v>
      </c>
      <c r="D81" s="372"/>
      <c r="E81" s="373"/>
      <c r="F81" s="42"/>
      <c r="G81" s="42"/>
      <c r="H81" s="1001"/>
      <c r="I81" s="310"/>
      <c r="J81" s="2028"/>
      <c r="K81" s="3054">
        <f>K79+1</f>
        <v>7</v>
      </c>
      <c r="L81" s="3359" t="s">
        <v>2889</v>
      </c>
      <c r="M81" s="3360"/>
      <c r="N81" s="1304"/>
      <c r="O81" s="1305" t="e">
        <f ca="1">ROUND(O79*10000/'数据-汇总表'!E3,0)</f>
        <v>#VALUE!</v>
      </c>
      <c r="P81" s="1306"/>
      <c r="Q81" s="2028"/>
      <c r="R81" s="2028"/>
      <c r="S81" s="2028"/>
      <c r="T81" s="2028"/>
      <c r="U81" s="2028"/>
      <c r="V81" s="2028"/>
    </row>
    <row r="82" spans="1:26" ht="13.5" thickTop="1">
      <c r="A82" s="374" t="s">
        <v>1824</v>
      </c>
      <c r="B82" s="375" t="s">
        <v>431</v>
      </c>
      <c r="C82" s="376">
        <f ca="1">D63</f>
        <v>4231</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1825</v>
      </c>
      <c r="B83" s="375" t="s">
        <v>432</v>
      </c>
      <c r="C83" s="379">
        <v>0</v>
      </c>
      <c r="D83" s="377"/>
      <c r="E83" s="378"/>
      <c r="F83" s="42"/>
      <c r="G83" s="42"/>
      <c r="H83" s="1001"/>
      <c r="I83" s="310"/>
      <c r="J83" s="2028"/>
      <c r="K83" s="3371"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0" t="s">
        <v>1826</v>
      </c>
      <c r="B84" s="381" t="s">
        <v>433</v>
      </c>
      <c r="C84" s="382">
        <v>2000</v>
      </c>
      <c r="D84" s="383" t="s">
        <v>19</v>
      </c>
      <c r="E84" s="3099" t="s">
        <v>2941</v>
      </c>
      <c r="F84" s="42"/>
      <c r="G84" s="42"/>
      <c r="H84" s="1001"/>
      <c r="I84" s="310"/>
      <c r="J84" s="2028"/>
      <c r="K84" s="3371"/>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0" t="s">
        <v>1827</v>
      </c>
      <c r="B85" s="381" t="s">
        <v>434</v>
      </c>
      <c r="C85" s="384">
        <f ca="1">C81-C84</f>
        <v>2030</v>
      </c>
      <c r="D85" s="377" t="s">
        <v>19</v>
      </c>
      <c r="E85" s="378"/>
      <c r="F85" s="42"/>
      <c r="G85" s="42"/>
      <c r="H85" s="1001"/>
      <c r="I85" s="310"/>
      <c r="J85" s="2028"/>
      <c r="K85" s="3371"/>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5" t="s">
        <v>1828</v>
      </c>
      <c r="B86" s="386" t="s">
        <v>435</v>
      </c>
      <c r="C86" s="387">
        <f ca="1">IF(C85&lt;=0,0,ROUND(C85*D86,0))</f>
        <v>112</v>
      </c>
      <c r="D86" s="388">
        <f>'数据-取费表'!B41</f>
        <v>5.5000000000000007E-2</v>
      </c>
      <c r="E86" s="389"/>
      <c r="F86" s="42"/>
      <c r="G86" s="42"/>
      <c r="H86" s="1001"/>
      <c r="I86" s="310"/>
      <c r="J86" s="2028"/>
      <c r="K86" s="3371"/>
      <c r="L86" s="3066" t="s">
        <v>2881</v>
      </c>
      <c r="M86" s="3056" t="e">
        <f>N69*0.5%</f>
        <v>#VALUE!</v>
      </c>
      <c r="N86" s="53"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371"/>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0"/>
      <c r="Q87" s="2028"/>
      <c r="R87" s="2028"/>
      <c r="S87" s="2028"/>
      <c r="T87" s="2028"/>
      <c r="U87" s="2028"/>
      <c r="V87" s="2028"/>
      <c r="W87" s="291"/>
      <c r="X87" s="291"/>
      <c r="Y87" s="291"/>
      <c r="Z87" s="291"/>
    </row>
    <row r="88" spans="1:26" s="1312" customFormat="1" ht="15" thickBot="1">
      <c r="A88" s="3353" t="s">
        <v>436</v>
      </c>
      <c r="B88" s="3354"/>
      <c r="C88" s="3354"/>
      <c r="D88" s="3354"/>
      <c r="E88" s="3354"/>
      <c r="F88" s="3354"/>
      <c r="G88" s="3354"/>
      <c r="H88" s="3354"/>
      <c r="I88" s="1313"/>
      <c r="J88" s="2036"/>
      <c r="K88" s="3371"/>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2" customFormat="1" ht="14.25">
      <c r="A89" s="3351" t="s">
        <v>427</v>
      </c>
      <c r="B89" s="3352"/>
      <c r="C89" s="992"/>
      <c r="D89" s="992" t="s">
        <v>428</v>
      </c>
      <c r="E89" s="390" t="s">
        <v>437</v>
      </c>
      <c r="F89" s="391"/>
      <c r="G89" s="391"/>
      <c r="H89" s="392"/>
      <c r="I89" s="1314"/>
      <c r="J89" s="2038"/>
      <c r="K89" s="3371"/>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2" customFormat="1" ht="14.25">
      <c r="A90" s="380" t="s">
        <v>1823</v>
      </c>
      <c r="B90" s="381" t="s">
        <v>438</v>
      </c>
      <c r="C90" s="384">
        <f ca="1">ROUND(D63/(1+'数据-取费表'!C42),0)</f>
        <v>4030</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1829</v>
      </c>
      <c r="B91" s="347" t="s">
        <v>439</v>
      </c>
      <c r="C91" s="384">
        <f ca="1">C92+C96</f>
        <v>2581</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1831</v>
      </c>
      <c r="B93" s="375" t="s">
        <v>441</v>
      </c>
      <c r="C93" s="395">
        <v>2000</v>
      </c>
      <c r="D93" s="377" t="s">
        <v>19</v>
      </c>
      <c r="E93" s="396" t="s">
        <v>442</v>
      </c>
      <c r="F93" s="397" t="s">
        <v>443</v>
      </c>
      <c r="G93" s="396" t="s">
        <v>444</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1832</v>
      </c>
      <c r="B94" s="399" t="s">
        <v>445</v>
      </c>
      <c r="C94" s="377">
        <f>IF(F93="购房发票",ROUND(C93*H93*5%,0),0)</f>
        <v>500</v>
      </c>
      <c r="D94" s="400">
        <v>0.05</v>
      </c>
      <c r="E94" s="3314" t="s">
        <v>446</v>
      </c>
      <c r="F94" s="3313"/>
      <c r="G94" s="3313"/>
      <c r="H94" s="3350"/>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2431</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1834</v>
      </c>
      <c r="B96" s="375" t="s">
        <v>449</v>
      </c>
      <c r="C96" s="404">
        <f ca="1">ROUND(D63*D96/(1+'数据-取费表'!C42),0)</f>
        <v>20</v>
      </c>
      <c r="D96" s="405">
        <f>'数据-取费表'!B43</f>
        <v>5.000000000000001E-3</v>
      </c>
      <c r="E96" s="3342" t="s">
        <v>2430</v>
      </c>
      <c r="F96" s="3343"/>
      <c r="G96" s="3343"/>
      <c r="H96" s="3344"/>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1" t="s">
        <v>450</v>
      </c>
      <c r="C97" s="384">
        <f ca="1">C90-C91</f>
        <v>1449</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1" t="s">
        <v>451</v>
      </c>
      <c r="C98" s="406">
        <f ca="1">IF(C97&lt;=0,0,C97/C91)</f>
        <v>0.56141030608291365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6" t="s">
        <v>452</v>
      </c>
      <c r="C99" s="407">
        <f ca="1">ROUND(IF(C97&lt;=0,0,IF(C98&gt;=200%,C97*60%-C91*35%,IF(C98&gt;=100%,C97*50%-C91*15%,IF(C98&gt;=50%,C97*40%-C91*5%,IF(C98&lt;50%,C97*30%,0))))),0)</f>
        <v>451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53" t="s">
        <v>453</v>
      </c>
      <c r="B101" s="3354"/>
      <c r="C101" s="3354"/>
      <c r="D101" s="3354"/>
      <c r="E101" s="3354"/>
      <c r="F101" s="3354"/>
      <c r="G101" s="3354"/>
      <c r="H101" s="3354"/>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51" t="s">
        <v>427</v>
      </c>
      <c r="B102" s="3352"/>
      <c r="C102" s="992"/>
      <c r="D102" s="992" t="s">
        <v>428</v>
      </c>
      <c r="E102" s="390" t="s">
        <v>437</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1823</v>
      </c>
      <c r="B103" s="381" t="s">
        <v>438</v>
      </c>
      <c r="C103" s="384">
        <f ca="1">ROUND(D63/(1+'数据-取费表'!C42),0)</f>
        <v>4030</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1829</v>
      </c>
      <c r="B104" s="347" t="s">
        <v>439</v>
      </c>
      <c r="C104" s="384">
        <f ca="1">IF(H106="仅含出让金",C105+C108+C109+C110+C111+C112,C105+C109+C110+C111+C112)</f>
        <v>710</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1830</v>
      </c>
      <c r="B105" s="375" t="s">
        <v>454</v>
      </c>
      <c r="C105" s="404">
        <f>C106+C107</f>
        <v>572</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1831</v>
      </c>
      <c r="B106" s="375" t="s">
        <v>455</v>
      </c>
      <c r="C106" s="415">
        <v>555</v>
      </c>
      <c r="D106" s="405"/>
      <c r="E106" s="416" t="s">
        <v>456</v>
      </c>
      <c r="F106" s="984"/>
      <c r="G106" s="417" t="s">
        <v>457</v>
      </c>
      <c r="H106" s="418"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5" t="s">
        <v>460</v>
      </c>
      <c r="C109" s="404">
        <f>IF(H109="——",IF(F1="现房",'剩余法-现房'!C18,'剩余法-待开发'!C18),I109)</f>
        <v>55</v>
      </c>
      <c r="D109" s="405"/>
      <c r="E109" s="3345" t="s">
        <v>461</v>
      </c>
      <c r="F109" s="3343"/>
      <c r="G109" s="3343"/>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5" t="s">
        <v>462</v>
      </c>
      <c r="C110" s="404">
        <f>ROUND((C105+C108+C109)*D110,0)</f>
        <v>63</v>
      </c>
      <c r="D110" s="405">
        <v>0.1</v>
      </c>
      <c r="E110" s="3345" t="s">
        <v>463</v>
      </c>
      <c r="F110" s="3343"/>
      <c r="G110" s="3343"/>
      <c r="H110" s="3344"/>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5" t="s">
        <v>449</v>
      </c>
      <c r="C111" s="404">
        <f ca="1">ROUND(D63*D111/(1+'数据-取费表'!C42),0)</f>
        <v>20</v>
      </c>
      <c r="D111" s="405">
        <f>'数据-取费表'!B43</f>
        <v>5.000000000000001E-3</v>
      </c>
      <c r="E111" s="3342" t="s">
        <v>2430</v>
      </c>
      <c r="F111" s="3343"/>
      <c r="G111" s="3343"/>
      <c r="H111" s="3344"/>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5" t="s">
        <v>464</v>
      </c>
      <c r="C112" s="404">
        <f>ROUND(C108*D112,0)</f>
        <v>0</v>
      </c>
      <c r="D112" s="405">
        <v>0.2</v>
      </c>
      <c r="E112" s="3345" t="s">
        <v>2455</v>
      </c>
      <c r="F112" s="3343"/>
      <c r="G112" s="3343"/>
      <c r="H112" s="3344"/>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1" t="s">
        <v>450</v>
      </c>
      <c r="C113" s="384">
        <f ca="1">ROUND(C103-C104,0)</f>
        <v>3320</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1" t="s">
        <v>451</v>
      </c>
      <c r="C114" s="406">
        <f ca="1">IF(C113&lt;=0,0,C113/C104)</f>
        <v>4.676056338028169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6" t="s">
        <v>452</v>
      </c>
      <c r="C115" s="407">
        <f ca="1">ROUND(IF(C113&lt;=0,0,IF(C114&gt;=200%,C113*60%-C104*35%,IF(C114&gt;=100%,C113*50%-C104*15%,IF(C114&gt;=50%,C113*40%-C104*5%,IF(C114&lt;50%,C113*30%,0))))),0)</f>
        <v>1744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465</v>
      </c>
      <c r="B1" s="2809"/>
      <c r="C1" s="2104"/>
      <c r="D1" s="2104"/>
      <c r="E1" s="2104"/>
      <c r="F1" s="2104"/>
      <c r="G1" s="2104"/>
      <c r="H1" s="2104"/>
      <c r="I1" s="2104"/>
      <c r="J1" s="2104"/>
      <c r="K1" s="421">
        <f>MATCH(B1,'数据-取费表'!A6:A16,0)+5</f>
        <v>7</v>
      </c>
    </row>
    <row r="2" spans="1:41" s="2041" customFormat="1" ht="18" customHeight="1">
      <c r="A2" s="422" t="s">
        <v>466</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467</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468</v>
      </c>
      <c r="D5" s="2104"/>
      <c r="E5" s="2104"/>
      <c r="F5" s="2104"/>
      <c r="G5" s="2104"/>
      <c r="H5" s="2104"/>
      <c r="I5" s="2104"/>
      <c r="J5" s="2104"/>
      <c r="K5" s="2104"/>
    </row>
    <row r="6" spans="1:41" s="2111" customFormat="1" ht="16.5" customHeight="1">
      <c r="A6" s="431" t="s">
        <v>2654</v>
      </c>
      <c r="B6" s="432"/>
      <c r="C6" s="1622">
        <f>SUM(C10:K10)</f>
        <v>0</v>
      </c>
      <c r="D6" s="2109"/>
      <c r="E6" s="2109"/>
      <c r="F6" s="2109"/>
      <c r="G6" s="2109"/>
      <c r="H6" s="2109"/>
      <c r="I6" s="2109"/>
      <c r="J6" s="2109"/>
      <c r="K6" s="2110"/>
    </row>
    <row r="7" spans="1:41" s="2113" customFormat="1" ht="15">
      <c r="A7" s="433" t="s">
        <v>469</v>
      </c>
      <c r="B7" s="434" t="s">
        <v>470</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471</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469</v>
      </c>
      <c r="B12" s="443" t="s">
        <v>470</v>
      </c>
      <c r="C12" s="444" t="s">
        <v>474</v>
      </c>
      <c r="D12" s="445" t="s">
        <v>475</v>
      </c>
      <c r="E12" s="445" t="s">
        <v>476</v>
      </c>
      <c r="F12" s="445" t="s">
        <v>477</v>
      </c>
      <c r="G12" s="443"/>
      <c r="H12" s="446"/>
      <c r="I12" s="446"/>
      <c r="J12" s="446"/>
      <c r="K12" s="447"/>
    </row>
    <row r="13" spans="1:41" s="2116" customFormat="1" ht="13.5" customHeight="1">
      <c r="A13" s="1632" t="s">
        <v>1848</v>
      </c>
      <c r="B13" s="448" t="s">
        <v>478</v>
      </c>
      <c r="C13" s="449">
        <f ca="1">IF(B1="",'数据-取费表'!M16,INDIRECT("'数据-取费表'!M"&amp;$K$1)+INDIRECT("'数据-取费表'!t"&amp;$K$1))</f>
        <v>9097</v>
      </c>
      <c r="D13" s="450"/>
      <c r="E13" s="364"/>
      <c r="F13" s="451"/>
      <c r="G13" s="443"/>
      <c r="H13" s="446"/>
      <c r="I13" s="446"/>
      <c r="J13" s="446"/>
      <c r="K13" s="447"/>
    </row>
    <row r="14" spans="1:41" s="2116" customFormat="1" ht="13.5" customHeight="1">
      <c r="A14" s="1632" t="s">
        <v>1849</v>
      </c>
      <c r="B14" s="448" t="s">
        <v>479</v>
      </c>
      <c r="C14" s="53">
        <f ca="1">ROUND(C13*F14,0)</f>
        <v>273</v>
      </c>
      <c r="D14" s="450"/>
      <c r="E14" s="364"/>
      <c r="F14" s="452">
        <f>'数据-取费表'!B33</f>
        <v>0.03</v>
      </c>
      <c r="G14" s="443" t="s">
        <v>501</v>
      </c>
      <c r="H14" s="446"/>
      <c r="I14" s="446"/>
      <c r="J14" s="446"/>
      <c r="K14" s="447"/>
    </row>
    <row r="15" spans="1:41" s="2116" customFormat="1" ht="13.5" customHeight="1">
      <c r="A15" s="1632" t="s">
        <v>1850</v>
      </c>
      <c r="B15" s="448" t="s">
        <v>481</v>
      </c>
      <c r="C15" s="53">
        <f ca="1">ROUND(IF(B1="",SUMIF('数据-取费表'!C:C,"住宅",'数据-取费表'!M:M)*F15,IF(INDIRECT("'数据-取费表'!c"&amp;$K$1)="住宅",INDIRECT("'数据-取费表'!M"&amp;$K$1)*F15,0)),0)</f>
        <v>0</v>
      </c>
      <c r="D15" s="450"/>
      <c r="E15" s="364"/>
      <c r="F15" s="452">
        <f>'数据-取费表'!B34</f>
        <v>0.03</v>
      </c>
      <c r="G15" s="443" t="s">
        <v>501</v>
      </c>
      <c r="H15" s="446"/>
      <c r="I15" s="446"/>
      <c r="J15" s="446"/>
      <c r="K15" s="447"/>
    </row>
    <row r="16" spans="1:41" s="2117" customFormat="1" ht="13.5" customHeight="1">
      <c r="A16" s="1632" t="s">
        <v>1851</v>
      </c>
      <c r="B16" s="448" t="s">
        <v>483</v>
      </c>
      <c r="C16" s="53">
        <f ca="1">ROUND(D16*E16/10000,0)</f>
        <v>650</v>
      </c>
      <c r="D16" s="450">
        <f ca="1">IF(B1="",'数据-汇总表'!E3,INDIRECT("'数据-取费表'!K"&amp;$K$1)+INDIRECT("'数据-取费表'!S"&amp;$K$1))</f>
        <v>32489</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484</v>
      </c>
      <c r="C17" s="453">
        <f ca="1">ROUND(C13*F17,0)</f>
        <v>136</v>
      </c>
      <c r="D17" s="454"/>
      <c r="E17" s="453"/>
      <c r="F17" s="455">
        <f>'数据-取费表'!B36</f>
        <v>1.4999999999999999E-2</v>
      </c>
      <c r="G17" s="443" t="s">
        <v>501</v>
      </c>
      <c r="H17" s="456"/>
      <c r="I17" s="456"/>
      <c r="J17" s="456"/>
      <c r="K17" s="457"/>
    </row>
    <row r="18" spans="1:14" s="2119" customFormat="1" ht="13.5" customHeight="1">
      <c r="A18" s="1633" t="s">
        <v>1853</v>
      </c>
      <c r="B18" s="458" t="s">
        <v>486</v>
      </c>
      <c r="C18" s="459">
        <f ca="1">SUM(C13:C17)</f>
        <v>10156</v>
      </c>
      <c r="D18" s="460"/>
      <c r="E18" s="461"/>
      <c r="F18" s="461"/>
      <c r="G18" s="1325" t="s">
        <v>2434</v>
      </c>
      <c r="H18" s="446"/>
      <c r="I18" s="446"/>
      <c r="J18" s="446"/>
      <c r="K18" s="447"/>
    </row>
    <row r="19" spans="1:14" s="2119" customFormat="1" ht="13.5" customHeight="1">
      <c r="A19" s="1633" t="s">
        <v>1854</v>
      </c>
      <c r="B19" s="458" t="s">
        <v>492</v>
      </c>
      <c r="C19" s="459">
        <f ca="1">ROUND(C18*F19,0)</f>
        <v>305</v>
      </c>
      <c r="D19" s="461"/>
      <c r="E19" s="461"/>
      <c r="F19" s="465">
        <f>'数据-取费表'!B37</f>
        <v>0.03</v>
      </c>
      <c r="G19" s="443" t="s">
        <v>502</v>
      </c>
      <c r="H19" s="446"/>
      <c r="I19" s="446"/>
      <c r="J19" s="446"/>
      <c r="K19" s="447"/>
      <c r="L19" s="2121"/>
      <c r="M19" s="2121"/>
      <c r="N19" s="2121"/>
    </row>
    <row r="20" spans="1:14" s="2119" customFormat="1" ht="13.5" customHeight="1">
      <c r="A20" s="1633" t="s">
        <v>1855</v>
      </c>
      <c r="B20" s="458" t="s">
        <v>503</v>
      </c>
      <c r="C20" s="3030">
        <f>F20</f>
        <v>0.03</v>
      </c>
      <c r="D20" s="468" t="s">
        <v>504</v>
      </c>
      <c r="E20" s="468"/>
      <c r="F20" s="485">
        <f>'数据-取费表'!B38</f>
        <v>0.03</v>
      </c>
      <c r="G20" s="1325" t="s">
        <v>505</v>
      </c>
      <c r="H20" s="446"/>
      <c r="I20" s="446"/>
      <c r="J20" s="446"/>
      <c r="K20" s="447"/>
      <c r="L20" s="2121"/>
      <c r="M20" s="2121"/>
      <c r="N20" s="2121"/>
    </row>
    <row r="21" spans="1:14" s="2121" customFormat="1" ht="13.5" customHeight="1">
      <c r="A21" s="1633" t="s">
        <v>1858</v>
      </c>
      <c r="B21" s="460" t="s">
        <v>493</v>
      </c>
      <c r="C21" s="469">
        <f ca="1">C22</f>
        <v>228</v>
      </c>
      <c r="D21" s="466">
        <f ca="1">C23</f>
        <v>6.9999999999999999E-4</v>
      </c>
      <c r="E21" s="468" t="s">
        <v>506</v>
      </c>
      <c r="F21" s="470">
        <f ca="1">'数据-取费表'!B40</f>
        <v>4.3499999999999997E-2</v>
      </c>
      <c r="G21" s="1325" t="str">
        <f>IF('数据-取费表'!B22&lt;=1,"单利计息。","复利计息。")&amp;"建造成本、管理费用及销售费用产生的利息。"</f>
        <v>单利计息。建造成本、管理费用及销售费用产生的利息。</v>
      </c>
      <c r="H21" s="446"/>
      <c r="I21" s="446"/>
      <c r="J21" s="446"/>
      <c r="K21" s="447"/>
      <c r="L21" s="2118" t="s">
        <v>2456</v>
      </c>
    </row>
    <row r="22" spans="1:14" s="2120" customFormat="1" ht="13.5" customHeight="1">
      <c r="A22" s="1632" t="s">
        <v>1848</v>
      </c>
      <c r="B22" s="1326" t="s">
        <v>2437</v>
      </c>
      <c r="C22" s="486">
        <f ca="1">ROUND(IF('数据-取费表'!B22&lt;=1,(C18+C19)*F21*'数据-取费表'!B20/2,(C18+C19)*(POWER((1+F21),'数据-取费表'!B20/2)-1)),0)</f>
        <v>228</v>
      </c>
      <c r="D22" s="471"/>
      <c r="E22" s="472"/>
      <c r="F22" s="473"/>
      <c r="G22" s="2567" t="str">
        <f>IF('数据-取费表'!B22&lt;=1,"((1)+(2))×年利率×建设期÷2","((1)+(2))×((1+年利率)^(建设期÷2)-1)")</f>
        <v>((1)+(2))×年利率×建设期÷2</v>
      </c>
      <c r="H22" s="456"/>
      <c r="I22" s="456"/>
      <c r="J22" s="456"/>
      <c r="K22" s="457"/>
    </row>
    <row r="23" spans="1:14" s="2120" customFormat="1" ht="13.5" customHeight="1">
      <c r="A23" s="1632" t="s">
        <v>1849</v>
      </c>
      <c r="B23" s="1326" t="s">
        <v>507</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销售费用率×年利率×建设期÷2</v>
      </c>
      <c r="H23" s="456"/>
      <c r="I23" s="456"/>
      <c r="J23" s="456"/>
      <c r="K23" s="457"/>
    </row>
    <row r="24" spans="1:14" s="2120" customFormat="1" ht="13.5" customHeight="1">
      <c r="A24" s="1633" t="s">
        <v>1859</v>
      </c>
      <c r="B24" s="3032" t="s">
        <v>2834</v>
      </c>
      <c r="C24" s="477">
        <f ca="1">C25</f>
        <v>3661</v>
      </c>
      <c r="D24" s="488">
        <f ca="1">C26</f>
        <v>1.0500000000000001E-2</v>
      </c>
      <c r="E24" s="468" t="s">
        <v>506</v>
      </c>
      <c r="F24" s="478">
        <f ca="1">IF(B1="",'数据-取费表'!Q16,INDIRECT("'数据-取费表'!q"&amp;$K$1))</f>
        <v>0.35</v>
      </c>
      <c r="G24" s="443"/>
      <c r="H24" s="446"/>
      <c r="I24" s="446"/>
      <c r="J24" s="446"/>
      <c r="K24" s="447"/>
    </row>
    <row r="25" spans="1:14" s="2120" customFormat="1" ht="13.5" customHeight="1">
      <c r="A25" s="1632" t="s">
        <v>1848</v>
      </c>
      <c r="B25" s="1326" t="s">
        <v>2438</v>
      </c>
      <c r="C25" s="489">
        <f ca="1">ROUND((C18+C19)*F24,0)</f>
        <v>3661</v>
      </c>
      <c r="D25" s="471"/>
      <c r="E25" s="472"/>
      <c r="F25" s="479"/>
      <c r="G25" s="1324" t="s">
        <v>2435</v>
      </c>
      <c r="H25" s="456"/>
      <c r="I25" s="456"/>
      <c r="J25" s="456"/>
      <c r="K25" s="457"/>
    </row>
    <row r="26" spans="1:14" s="2120" customFormat="1" ht="13.5" customHeight="1">
      <c r="A26" s="1632" t="s">
        <v>1849</v>
      </c>
      <c r="B26" s="1326" t="s">
        <v>508</v>
      </c>
      <c r="C26" s="490">
        <f ca="1">ROUND(F20*F24,4)</f>
        <v>1.0500000000000001E-2</v>
      </c>
      <c r="D26" s="471"/>
      <c r="E26" s="480"/>
      <c r="F26" s="479"/>
      <c r="G26" s="1324" t="s">
        <v>509</v>
      </c>
      <c r="H26" s="456"/>
      <c r="I26" s="456"/>
      <c r="J26" s="456"/>
      <c r="K26" s="457"/>
    </row>
    <row r="27" spans="1:14" s="2120" customFormat="1" ht="13.5" customHeight="1">
      <c r="A27" s="1636" t="s">
        <v>1867</v>
      </c>
      <c r="B27" s="458" t="s">
        <v>510</v>
      </c>
      <c r="C27" s="3031">
        <f>ROUND(F27/(1+'数据-取费表'!C42),4)</f>
        <v>5.2400000000000002E-2</v>
      </c>
      <c r="D27" s="461" t="s">
        <v>2832</v>
      </c>
      <c r="E27" s="461"/>
      <c r="F27" s="465">
        <f>'数据-取费表'!B41</f>
        <v>5.5000000000000007E-2</v>
      </c>
      <c r="G27" s="1960" t="s">
        <v>2293</v>
      </c>
      <c r="H27" s="446"/>
      <c r="I27" s="446"/>
      <c r="J27" s="446"/>
      <c r="K27" s="447"/>
    </row>
    <row r="28" spans="1:14" s="2121" customFormat="1" ht="13.5" customHeight="1">
      <c r="A28" s="1636" t="s">
        <v>1868</v>
      </c>
      <c r="B28" s="475" t="s">
        <v>511</v>
      </c>
      <c r="C28" s="469">
        <f ca="1">ROUND((C18+C19+C21+C24)/(1-C20-D21-D24-C27),0)</f>
        <v>15832</v>
      </c>
      <c r="D28" s="476"/>
      <c r="E28" s="468"/>
      <c r="F28" s="470"/>
      <c r="G28" s="1325" t="s">
        <v>2436</v>
      </c>
      <c r="H28" s="446"/>
      <c r="I28" s="446"/>
      <c r="J28" s="446"/>
      <c r="K28" s="447"/>
    </row>
    <row r="29" spans="1:14" s="2121" customFormat="1" ht="13.5" customHeight="1">
      <c r="A29" s="1636" t="s">
        <v>1869</v>
      </c>
      <c r="B29" s="475" t="s">
        <v>512</v>
      </c>
      <c r="C29" s="491">
        <f ca="1">IF(B1="",'数据-取费表'!N16,INDIRECT("'数据-取费表'!N"&amp;$K$1))</f>
        <v>0</v>
      </c>
      <c r="D29" s="492"/>
      <c r="E29" s="493"/>
      <c r="F29" s="494"/>
      <c r="G29" s="443"/>
      <c r="H29" s="446"/>
      <c r="I29" s="446"/>
      <c r="J29" s="446"/>
      <c r="K29" s="447"/>
    </row>
    <row r="30" spans="1:14" s="2121" customFormat="1" ht="13.5" customHeight="1">
      <c r="A30" s="442">
        <v>2</v>
      </c>
      <c r="B30" s="475" t="s">
        <v>513</v>
      </c>
      <c r="C30" s="496">
        <f ca="1">ROUND(C28*C29,0)</f>
        <v>0</v>
      </c>
      <c r="D30" s="492"/>
      <c r="E30" s="497"/>
      <c r="F30" s="498"/>
      <c r="G30" s="1327" t="s">
        <v>514</v>
      </c>
      <c r="H30" s="495"/>
      <c r="I30" s="495"/>
      <c r="J30" s="446"/>
      <c r="K30" s="447"/>
    </row>
    <row r="31" spans="1:14" s="2126" customFormat="1" ht="13.5" customHeight="1">
      <c r="A31" s="2482" t="s">
        <v>1865</v>
      </c>
      <c r="B31" s="1328"/>
      <c r="C31" s="499">
        <f>ROUND(C6*F31/(1+'数据-取费表'!C42),0)</f>
        <v>0</v>
      </c>
      <c r="D31" s="1329"/>
      <c r="E31" s="1329"/>
      <c r="F31" s="500">
        <f>'数据-取费表'!B41</f>
        <v>5.5000000000000007E-2</v>
      </c>
      <c r="G31" s="1330"/>
      <c r="H31" s="1330"/>
      <c r="I31" s="1330"/>
      <c r="J31" s="1331"/>
      <c r="K31" s="1332"/>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8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M48" sqref="M4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466</v>
      </c>
      <c r="B2" s="507">
        <f>F68</f>
        <v>2939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905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519</v>
      </c>
      <c r="B4" s="426">
        <f>IF(B48="单位面积地价",C50,ROUND(B2*10000/'数据-汇总表'!D3,0))</f>
        <v>1357</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90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520</v>
      </c>
      <c r="B6" s="512"/>
      <c r="C6" s="3396" t="s">
        <v>521</v>
      </c>
      <c r="D6" s="3397"/>
      <c r="E6" s="3396" t="s">
        <v>522</v>
      </c>
      <c r="F6" s="3397"/>
      <c r="G6" s="3396" t="s">
        <v>523</v>
      </c>
      <c r="H6" s="3397"/>
      <c r="I6" s="3396" t="s">
        <v>524</v>
      </c>
      <c r="J6" s="3397"/>
      <c r="K6" s="513" t="s">
        <v>525</v>
      </c>
      <c r="L6" s="2133"/>
      <c r="M6" s="2132"/>
      <c r="N6" s="2132"/>
      <c r="O6" s="2134"/>
      <c r="P6" s="3398" t="s">
        <v>526</v>
      </c>
      <c r="Q6" s="3399"/>
      <c r="R6" s="3404" t="s">
        <v>522</v>
      </c>
      <c r="S6" s="3405"/>
      <c r="T6" s="3404" t="s">
        <v>523</v>
      </c>
      <c r="U6" s="3405"/>
      <c r="V6" s="3391" t="s">
        <v>524</v>
      </c>
      <c r="W6" s="3391"/>
      <c r="X6" s="1566"/>
      <c r="Y6" s="3404" t="s">
        <v>526</v>
      </c>
      <c r="Z6" s="3405"/>
      <c r="AA6" s="3393" t="s">
        <v>522</v>
      </c>
      <c r="AB6" s="3394" t="s">
        <v>523</v>
      </c>
      <c r="AC6" s="3393" t="s">
        <v>524</v>
      </c>
    </row>
    <row r="7" spans="1:30" ht="20.25">
      <c r="A7" s="514"/>
      <c r="B7" s="515"/>
      <c r="C7" s="3412" t="s">
        <v>2928</v>
      </c>
      <c r="D7" s="3413"/>
      <c r="E7" s="3412" t="str">
        <f>土地案例商业!A2</f>
        <v>临潼区秦陵街办王硷村道路以东</v>
      </c>
      <c r="F7" s="3413"/>
      <c r="G7" s="3412" t="str">
        <f>土地案例商业!A3</f>
        <v>临潼区陇海铁路南侧、108国道北侧</v>
      </c>
      <c r="H7" s="3413"/>
      <c r="I7" s="3412" t="str">
        <f>土地案例商业!A4</f>
        <v>临潼区陇海铁路南侧、108国道西侧</v>
      </c>
      <c r="J7" s="3413"/>
      <c r="K7" s="513"/>
      <c r="L7" s="2133"/>
      <c r="M7" s="2132"/>
      <c r="N7" s="2132"/>
      <c r="O7" s="2134"/>
      <c r="P7" s="3400"/>
      <c r="Q7" s="3401"/>
      <c r="R7" s="3406"/>
      <c r="S7" s="3407"/>
      <c r="T7" s="3406"/>
      <c r="U7" s="3407"/>
      <c r="V7" s="3391"/>
      <c r="W7" s="3391"/>
      <c r="X7" s="1566"/>
      <c r="Y7" s="3406"/>
      <c r="Z7" s="3407"/>
      <c r="AA7" s="3394"/>
      <c r="AB7" s="3394"/>
      <c r="AC7" s="3394"/>
    </row>
    <row r="8" spans="1:30" ht="21" thickBot="1">
      <c r="A8" s="514"/>
      <c r="B8" s="515"/>
      <c r="C8" s="3414" t="s">
        <v>2932</v>
      </c>
      <c r="D8" s="3415"/>
      <c r="E8" s="3414" t="s">
        <v>2932</v>
      </c>
      <c r="F8" s="3415"/>
      <c r="G8" s="3410" t="s">
        <v>2932</v>
      </c>
      <c r="H8" s="3411"/>
      <c r="I8" s="3410" t="s">
        <v>2932</v>
      </c>
      <c r="J8" s="3411"/>
      <c r="K8" s="513" t="s">
        <v>527</v>
      </c>
      <c r="L8" s="2133"/>
      <c r="M8" s="2132"/>
      <c r="N8" s="2132"/>
      <c r="O8" s="2134"/>
      <c r="P8" s="3402"/>
      <c r="Q8" s="3403"/>
      <c r="R8" s="3406"/>
      <c r="S8" s="3407"/>
      <c r="T8" s="3408"/>
      <c r="U8" s="3409"/>
      <c r="V8" s="3391"/>
      <c r="W8" s="3391"/>
      <c r="X8" s="1566"/>
      <c r="Y8" s="3408"/>
      <c r="Z8" s="3409"/>
      <c r="AA8" s="3395"/>
      <c r="AB8" s="3395"/>
      <c r="AC8" s="3395"/>
    </row>
    <row r="9" spans="1:30" s="1218" customFormat="1" ht="21" thickBot="1">
      <c r="A9" s="2912"/>
      <c r="B9" s="2919" t="s">
        <v>528</v>
      </c>
      <c r="C9" s="2911">
        <f>'数据-取费表'!B2</f>
        <v>43276</v>
      </c>
      <c r="D9" s="519">
        <v>100</v>
      </c>
      <c r="E9" s="520" t="str">
        <f>土地案例商业!H2</f>
        <v>2017-12-01</v>
      </c>
      <c r="F9" s="521">
        <f>SUMIF(72:72,YEAR(E9)&amp;"-"&amp;INT((MONTH(E9)+2)/3),73:73)</f>
        <v>98</v>
      </c>
      <c r="G9" s="522" t="str">
        <f>土地案例商业!H3</f>
        <v>2017-04-07</v>
      </c>
      <c r="H9" s="519">
        <f>SUMIF(72:72,YEAR(G9)&amp;"-"&amp;INT((MONTH(G9)+2)/3),73:73)</f>
        <v>96</v>
      </c>
      <c r="I9" s="522" t="str">
        <f>土地案例商业!H4</f>
        <v>2017-02-28</v>
      </c>
      <c r="J9" s="519">
        <f>SUMIF(72:72,YEAR(I9)&amp;"-"&amp;INT((MONTH(I9)+2)/3),73:73)</f>
        <v>94</v>
      </c>
      <c r="K9" s="523"/>
      <c r="L9" s="2135"/>
      <c r="M9" s="2132"/>
      <c r="N9" s="2132"/>
      <c r="O9" s="2136"/>
      <c r="P9" s="3421" t="s">
        <v>529</v>
      </c>
      <c r="Q9" s="3423"/>
      <c r="R9" s="1567" t="s">
        <v>8</v>
      </c>
      <c r="S9" s="1568">
        <f t="shared" ref="S9:S17" si="0">F9</f>
        <v>98</v>
      </c>
      <c r="T9" s="1567" t="s">
        <v>8</v>
      </c>
      <c r="U9" s="1568">
        <f t="shared" ref="U9:U17" si="1">H9</f>
        <v>96</v>
      </c>
      <c r="V9" s="1567" t="s">
        <v>8</v>
      </c>
      <c r="W9" s="1568">
        <f t="shared" ref="W9:W17" si="2">J9</f>
        <v>94</v>
      </c>
      <c r="X9" s="1569"/>
      <c r="Y9" s="3421" t="s">
        <v>529</v>
      </c>
      <c r="Z9" s="3422"/>
      <c r="AA9" s="1570">
        <f>D9/F9</f>
        <v>1.0204081632653061</v>
      </c>
      <c r="AB9" s="1570">
        <f>D9/H9</f>
        <v>1.0416666666666667</v>
      </c>
      <c r="AC9" s="1570">
        <f>D9/J9</f>
        <v>1.0638297872340425</v>
      </c>
    </row>
    <row r="10" spans="1:30" s="1218" customFormat="1" ht="21" thickBot="1">
      <c r="A10" s="2913"/>
      <c r="B10" s="2920" t="s">
        <v>530</v>
      </c>
      <c r="C10" s="855" t="s">
        <v>531</v>
      </c>
      <c r="D10" s="519">
        <v>100</v>
      </c>
      <c r="E10" s="524" t="s">
        <v>3016</v>
      </c>
      <c r="F10" s="521">
        <f>SUMIF(75:75,E10,76:76)-SUMIF(75:75,C10,76:76)+100</f>
        <v>100</v>
      </c>
      <c r="G10" s="524" t="s">
        <v>3016</v>
      </c>
      <c r="H10" s="519">
        <f>SUMIF(75:75,G10,76:76)-SUMIF(75:75,C10,76:76)+100</f>
        <v>100</v>
      </c>
      <c r="I10" s="524" t="s">
        <v>3016</v>
      </c>
      <c r="J10" s="519">
        <f>SUMIF(75:75,I10,76:76)-SUMIF(75:75,C10,76:76)+100</f>
        <v>100</v>
      </c>
      <c r="K10" s="523"/>
      <c r="L10" s="2135"/>
      <c r="M10" s="2132"/>
      <c r="N10" s="2132"/>
      <c r="O10" s="2136"/>
      <c r="P10" s="3421" t="s">
        <v>532</v>
      </c>
      <c r="Q10" s="3422"/>
      <c r="R10" s="1567" t="s">
        <v>8</v>
      </c>
      <c r="S10" s="1568">
        <f t="shared" si="0"/>
        <v>100</v>
      </c>
      <c r="T10" s="1567" t="s">
        <v>8</v>
      </c>
      <c r="U10" s="1568">
        <f t="shared" si="1"/>
        <v>100</v>
      </c>
      <c r="V10" s="1567" t="s">
        <v>8</v>
      </c>
      <c r="W10" s="1568">
        <f t="shared" si="2"/>
        <v>100</v>
      </c>
      <c r="X10" s="1569"/>
      <c r="Y10" s="3421" t="s">
        <v>532</v>
      </c>
      <c r="Z10" s="3422"/>
      <c r="AA10" s="1570">
        <f t="shared" ref="AA10:AA47" si="3">D10/F10</f>
        <v>1</v>
      </c>
      <c r="AB10" s="1570">
        <f t="shared" ref="AB10:AB47" si="4">D10/H10</f>
        <v>1</v>
      </c>
      <c r="AC10" s="1570">
        <f t="shared" ref="AC10:AC47" si="5">D10/J10</f>
        <v>1</v>
      </c>
    </row>
    <row r="11" spans="1:30" s="1218" customFormat="1" ht="20.25">
      <c r="A11" s="2914"/>
      <c r="B11" s="2921" t="s">
        <v>2758</v>
      </c>
      <c r="C11" s="2908" t="s">
        <v>922</v>
      </c>
      <c r="D11" s="253">
        <v>100</v>
      </c>
      <c r="E11" s="2908" t="s">
        <v>922</v>
      </c>
      <c r="F11" s="253">
        <f>SUMIF(77:77,E11,78:78)-SUMIF(77:77,C11,78:78)+100</f>
        <v>100</v>
      </c>
      <c r="G11" s="2908" t="s">
        <v>922</v>
      </c>
      <c r="H11" s="253">
        <f>SUMIF(77:77,G11,78:78)-SUMIF(77:77,C11,78:78)+100</f>
        <v>100</v>
      </c>
      <c r="I11" s="2908" t="s">
        <v>922</v>
      </c>
      <c r="J11" s="253">
        <f>SUMIF(77:77,I11,78:78)-SUMIF(77:77,C11,78:78)+100</f>
        <v>100</v>
      </c>
      <c r="K11" s="523"/>
      <c r="L11" s="2135"/>
      <c r="M11" s="2132"/>
      <c r="N11" s="2132"/>
      <c r="O11" s="2137"/>
      <c r="P11" s="3390" t="s">
        <v>534</v>
      </c>
      <c r="Q11" s="1149" t="str">
        <f t="shared" ref="Q11:Q17" si="6">B11</f>
        <v>用途</v>
      </c>
      <c r="R11" s="1567" t="s">
        <v>8</v>
      </c>
      <c r="S11" s="1568">
        <f t="shared" si="0"/>
        <v>100</v>
      </c>
      <c r="T11" s="1567" t="s">
        <v>8</v>
      </c>
      <c r="U11" s="1568">
        <f t="shared" si="1"/>
        <v>100</v>
      </c>
      <c r="V11" s="1567" t="s">
        <v>8</v>
      </c>
      <c r="W11" s="1568">
        <f t="shared" si="2"/>
        <v>100</v>
      </c>
      <c r="X11" s="1569"/>
      <c r="Y11" s="3336" t="s">
        <v>535</v>
      </c>
      <c r="Z11" s="1148" t="str">
        <f t="shared" ref="Z11:Z17" si="7">Q11</f>
        <v>用途</v>
      </c>
      <c r="AA11" s="1570">
        <f t="shared" si="3"/>
        <v>1</v>
      </c>
      <c r="AB11" s="1570">
        <f t="shared" si="4"/>
        <v>1</v>
      </c>
      <c r="AC11" s="1570">
        <f t="shared" si="5"/>
        <v>1</v>
      </c>
    </row>
    <row r="12" spans="1:30" s="1336" customFormat="1" ht="27">
      <c r="A12" s="2915"/>
      <c r="B12" s="2920" t="s">
        <v>2759</v>
      </c>
      <c r="C12" s="908" t="s">
        <v>3088</v>
      </c>
      <c r="D12" s="254">
        <v>100</v>
      </c>
      <c r="E12" s="528" t="s">
        <v>3088</v>
      </c>
      <c r="F12" s="254">
        <f>ROUND(100/'数据-取费表'!G16,0)</f>
        <v>101</v>
      </c>
      <c r="G12" s="529" t="s">
        <v>3088</v>
      </c>
      <c r="H12" s="254">
        <f>ROUND(100/'数据-取费表'!G16,0)</f>
        <v>101</v>
      </c>
      <c r="I12" s="529" t="s">
        <v>3089</v>
      </c>
      <c r="J12" s="254">
        <f>ROUND(100/'数据-取费表'!G16,0)</f>
        <v>101</v>
      </c>
      <c r="K12" s="530"/>
      <c r="L12" s="2138"/>
      <c r="M12" s="2132"/>
      <c r="N12" s="2132"/>
      <c r="O12" s="2139"/>
      <c r="P12" s="3390"/>
      <c r="Q12" s="1149" t="str">
        <f t="shared" si="6"/>
        <v>土地使用年限（年）</v>
      </c>
      <c r="R12" s="1567" t="s">
        <v>8</v>
      </c>
      <c r="S12" s="1568">
        <f t="shared" si="0"/>
        <v>101</v>
      </c>
      <c r="T12" s="1567" t="s">
        <v>8</v>
      </c>
      <c r="U12" s="1568">
        <f t="shared" si="1"/>
        <v>101</v>
      </c>
      <c r="V12" s="1567" t="s">
        <v>8</v>
      </c>
      <c r="W12" s="1568">
        <f t="shared" si="2"/>
        <v>101</v>
      </c>
      <c r="X12" s="1569"/>
      <c r="Y12" s="3336"/>
      <c r="Z12" s="1148" t="str">
        <f t="shared" si="7"/>
        <v>土地使用年限（年）</v>
      </c>
      <c r="AA12" s="1570">
        <f t="shared" si="3"/>
        <v>0.99009900990099009</v>
      </c>
      <c r="AB12" s="1570">
        <f t="shared" si="4"/>
        <v>0.99009900990099009</v>
      </c>
      <c r="AC12" s="1570">
        <f t="shared" si="5"/>
        <v>0.99009900990099009</v>
      </c>
    </row>
    <row r="13" spans="1:30" ht="20.25">
      <c r="A13" s="2916"/>
      <c r="B13" s="2920" t="s">
        <v>2760</v>
      </c>
      <c r="C13" s="533">
        <v>1.5</v>
      </c>
      <c r="D13" s="254">
        <v>100</v>
      </c>
      <c r="E13" s="532">
        <v>1.2</v>
      </c>
      <c r="F13" s="254">
        <f>LOOKUP(E13,82:82,83:83)-LOOKUP(C13,82:82,83:83)+100</f>
        <v>100</v>
      </c>
      <c r="G13" s="533">
        <v>2</v>
      </c>
      <c r="H13" s="254">
        <f>LOOKUP(G13,82:82,83:83)-LOOKUP(C13,82:82,83:83)+100</f>
        <v>101</v>
      </c>
      <c r="I13" s="532">
        <v>2</v>
      </c>
      <c r="J13" s="254">
        <f>LOOKUP(I13,82:82,83:83)-LOOKUP(C13,82:82,83:83)+100</f>
        <v>101</v>
      </c>
      <c r="K13" s="534">
        <v>1</v>
      </c>
      <c r="L13" s="2140"/>
      <c r="M13" s="2132"/>
      <c r="N13" s="2132"/>
      <c r="O13" s="2141"/>
      <c r="P13" s="3390"/>
      <c r="Q13" s="1149" t="str">
        <f t="shared" si="6"/>
        <v>容积率</v>
      </c>
      <c r="R13" s="1567" t="s">
        <v>8</v>
      </c>
      <c r="S13" s="1568">
        <f t="shared" si="0"/>
        <v>100</v>
      </c>
      <c r="T13" s="1567" t="s">
        <v>8</v>
      </c>
      <c r="U13" s="1568">
        <f t="shared" si="1"/>
        <v>101</v>
      </c>
      <c r="V13" s="1567" t="s">
        <v>8</v>
      </c>
      <c r="W13" s="1568">
        <f t="shared" si="2"/>
        <v>101</v>
      </c>
      <c r="X13" s="1569"/>
      <c r="Y13" s="3336"/>
      <c r="Z13" s="1148" t="str">
        <f t="shared" si="7"/>
        <v>容积率</v>
      </c>
      <c r="AA13" s="1570">
        <f t="shared" si="3"/>
        <v>1</v>
      </c>
      <c r="AB13" s="1570">
        <f t="shared" si="4"/>
        <v>0.99009900990099009</v>
      </c>
      <c r="AC13" s="1570">
        <f t="shared" si="5"/>
        <v>0.99009900990099009</v>
      </c>
    </row>
    <row r="14" spans="1:30" s="1218" customFormat="1" ht="20.25" hidden="1">
      <c r="A14" s="2913"/>
      <c r="B14" s="2922" t="s">
        <v>2761</v>
      </c>
      <c r="C14" s="2909"/>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90"/>
      <c r="Q14" s="1149" t="str">
        <f t="shared" si="6"/>
        <v>配建</v>
      </c>
      <c r="R14" s="1567" t="s">
        <v>8</v>
      </c>
      <c r="S14" s="1568">
        <f t="shared" si="0"/>
        <v>100</v>
      </c>
      <c r="T14" s="1567" t="s">
        <v>8</v>
      </c>
      <c r="U14" s="1568">
        <f t="shared" si="1"/>
        <v>100</v>
      </c>
      <c r="V14" s="1567" t="s">
        <v>8</v>
      </c>
      <c r="W14" s="1568">
        <f t="shared" si="2"/>
        <v>100</v>
      </c>
      <c r="X14" s="1569"/>
      <c r="Y14" s="3336"/>
      <c r="Z14" s="1148" t="str">
        <f t="shared" si="7"/>
        <v>配建</v>
      </c>
      <c r="AA14" s="1570">
        <f>D14/F14</f>
        <v>1</v>
      </c>
      <c r="AB14" s="1570">
        <f>D14/H14</f>
        <v>1</v>
      </c>
      <c r="AC14" s="1570">
        <f>D14/J14</f>
        <v>1</v>
      </c>
    </row>
    <row r="15" spans="1:30" ht="20.25" hidden="1">
      <c r="A15" s="2917"/>
      <c r="B15" s="2923">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90"/>
      <c r="Q15" s="1149">
        <f t="shared" si="6"/>
        <v>111</v>
      </c>
      <c r="R15" s="1567" t="s">
        <v>8</v>
      </c>
      <c r="S15" s="1568">
        <f t="shared" si="0"/>
        <v>100</v>
      </c>
      <c r="T15" s="1567" t="s">
        <v>8</v>
      </c>
      <c r="U15" s="1568">
        <f t="shared" si="1"/>
        <v>100</v>
      </c>
      <c r="V15" s="1567" t="s">
        <v>8</v>
      </c>
      <c r="W15" s="1568">
        <f t="shared" si="2"/>
        <v>100</v>
      </c>
      <c r="X15" s="1569"/>
      <c r="Y15" s="3336"/>
      <c r="Z15" s="1148">
        <f t="shared" si="7"/>
        <v>111</v>
      </c>
      <c r="AA15" s="1570">
        <f>D15/F15</f>
        <v>1</v>
      </c>
      <c r="AB15" s="1570">
        <f>D15/H15</f>
        <v>1</v>
      </c>
      <c r="AC15" s="1570">
        <f>D15/J15</f>
        <v>1</v>
      </c>
    </row>
    <row r="16" spans="1:30" ht="21" hidden="1" thickBot="1">
      <c r="A16" s="2918"/>
      <c r="B16" s="2924">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90"/>
      <c r="Q16" s="1149">
        <f t="shared" si="6"/>
        <v>111</v>
      </c>
      <c r="R16" s="1567" t="s">
        <v>8</v>
      </c>
      <c r="S16" s="1568">
        <f t="shared" si="0"/>
        <v>100</v>
      </c>
      <c r="T16" s="1567" t="s">
        <v>8</v>
      </c>
      <c r="U16" s="1568">
        <f t="shared" si="1"/>
        <v>100</v>
      </c>
      <c r="V16" s="1567" t="s">
        <v>8</v>
      </c>
      <c r="W16" s="1568">
        <f t="shared" si="2"/>
        <v>100</v>
      </c>
      <c r="X16" s="1569"/>
      <c r="Y16" s="3336"/>
      <c r="Z16" s="1148">
        <f t="shared" si="7"/>
        <v>111</v>
      </c>
      <c r="AA16" s="1570">
        <f>D16/F16</f>
        <v>1</v>
      </c>
      <c r="AB16" s="1570">
        <f>D16/H16</f>
        <v>1</v>
      </c>
      <c r="AC16" s="1570">
        <f>D16/J16</f>
        <v>1</v>
      </c>
    </row>
    <row r="17" spans="1:29" ht="42.75" hidden="1">
      <c r="A17" s="2910" t="s">
        <v>2756</v>
      </c>
      <c r="B17" s="577" t="s">
        <v>294</v>
      </c>
      <c r="C17" s="547" t="str">
        <f>估价对象房地状况!C15</f>
        <v>骊山新家园、骊山下的院子，一般</v>
      </c>
      <c r="D17" s="550">
        <v>100</v>
      </c>
      <c r="E17" s="551"/>
      <c r="F17" s="548">
        <f>SUMIF(90:90,E18,91:91)-SUMIF(90:90,C18,91:91)+100</f>
        <v>100</v>
      </c>
      <c r="G17" s="549"/>
      <c r="H17" s="548">
        <f>SUMIF(90:90,G18,91:91)-SUMIF(90:90,C18,91:91)+100</f>
        <v>100</v>
      </c>
      <c r="I17" s="551"/>
      <c r="J17" s="548">
        <f>SUMIF(90:90,I18,91:91)-SUMIF(90:90,C18,91:91)+100</f>
        <v>100</v>
      </c>
      <c r="K17" s="534"/>
      <c r="L17" s="2142"/>
      <c r="M17" s="2132"/>
      <c r="N17" s="2132"/>
      <c r="O17" s="2141"/>
      <c r="P17" s="3424" t="s">
        <v>539</v>
      </c>
      <c r="Q17" s="1571" t="str">
        <f t="shared" si="6"/>
        <v>居住社区成熟度</v>
      </c>
      <c r="R17" s="1572" t="s">
        <v>8</v>
      </c>
      <c r="S17" s="1573">
        <f t="shared" si="0"/>
        <v>100</v>
      </c>
      <c r="T17" s="1572" t="s">
        <v>8</v>
      </c>
      <c r="U17" s="1573">
        <f t="shared" si="1"/>
        <v>100</v>
      </c>
      <c r="V17" s="1572" t="s">
        <v>8</v>
      </c>
      <c r="W17" s="1573">
        <f t="shared" si="2"/>
        <v>100</v>
      </c>
      <c r="X17" s="1566"/>
      <c r="Y17" s="3424" t="s">
        <v>539</v>
      </c>
      <c r="Z17" s="1574" t="str">
        <f t="shared" si="7"/>
        <v>居住社区成熟度</v>
      </c>
      <c r="AA17" s="1575">
        <f t="shared" si="3"/>
        <v>1</v>
      </c>
      <c r="AB17" s="1575">
        <f t="shared" si="4"/>
        <v>1</v>
      </c>
      <c r="AC17" s="1575">
        <f t="shared" si="5"/>
        <v>1</v>
      </c>
    </row>
    <row r="18" spans="1:29" ht="20.25" hidden="1">
      <c r="A18" s="531"/>
      <c r="B18" s="552"/>
      <c r="C18" s="553"/>
      <c r="D18" s="556"/>
      <c r="E18" s="557"/>
      <c r="F18" s="554"/>
      <c r="G18" s="555"/>
      <c r="H18" s="558"/>
      <c r="I18" s="557"/>
      <c r="J18" s="554"/>
      <c r="K18" s="530"/>
      <c r="L18" s="2142"/>
      <c r="M18" s="2132"/>
      <c r="N18" s="2132"/>
      <c r="O18" s="2141"/>
      <c r="P18" s="3425"/>
      <c r="Q18" s="1571"/>
      <c r="R18" s="1572"/>
      <c r="S18" s="1573"/>
      <c r="T18" s="1572"/>
      <c r="U18" s="1573"/>
      <c r="V18" s="1572"/>
      <c r="W18" s="1573"/>
      <c r="X18" s="1566"/>
      <c r="Y18" s="3425"/>
      <c r="Z18" s="1574"/>
      <c r="AA18" s="1575">
        <v>1</v>
      </c>
      <c r="AB18" s="1575">
        <v>1</v>
      </c>
      <c r="AC18" s="1575">
        <v>1</v>
      </c>
    </row>
    <row r="19" spans="1:29" ht="28.5">
      <c r="A19" s="531"/>
      <c r="B19" s="559" t="s">
        <v>540</v>
      </c>
      <c r="C19" s="560" t="str">
        <f>估价对象房地状况!C16</f>
        <v>多为社区底商，一般</v>
      </c>
      <c r="D19" s="562">
        <v>100</v>
      </c>
      <c r="E19" s="3193" t="s">
        <v>3091</v>
      </c>
      <c r="F19" s="558">
        <f>SUMIF(92:92,E20,93:93)-SUMIF(92:92,C20,93:93)+100</f>
        <v>100</v>
      </c>
      <c r="G19" s="3194" t="s">
        <v>3090</v>
      </c>
      <c r="H19" s="564">
        <f>SUMIF(92:92,G20,93:93)-SUMIF(92:92,C20,93:93)+100</f>
        <v>100</v>
      </c>
      <c r="I19" s="3193" t="s">
        <v>3090</v>
      </c>
      <c r="J19" s="564">
        <f>SUMIF(92:92,I20,93:93)-SUMIF(92:92,C20,93:93)+100</f>
        <v>100</v>
      </c>
      <c r="K19" s="534">
        <v>2</v>
      </c>
      <c r="L19" s="2142"/>
      <c r="M19" s="2132"/>
      <c r="N19" s="2132"/>
      <c r="O19" s="2141"/>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1"/>
      <c r="B20" s="565"/>
      <c r="C20" s="3195" t="s">
        <v>3093</v>
      </c>
      <c r="D20" s="562"/>
      <c r="E20" s="3195" t="s">
        <v>3093</v>
      </c>
      <c r="F20" s="558"/>
      <c r="G20" s="3195" t="s">
        <v>3093</v>
      </c>
      <c r="H20" s="554"/>
      <c r="I20" s="3195" t="s">
        <v>3093</v>
      </c>
      <c r="J20" s="554"/>
      <c r="K20" s="530"/>
      <c r="L20" s="2142"/>
      <c r="M20" s="2132"/>
      <c r="N20" s="2132"/>
      <c r="O20" s="2141"/>
      <c r="P20" s="3425"/>
      <c r="Q20" s="1571"/>
      <c r="R20" s="1572"/>
      <c r="S20" s="1573"/>
      <c r="T20" s="1572"/>
      <c r="U20" s="1573"/>
      <c r="V20" s="1572"/>
      <c r="W20" s="1573"/>
      <c r="X20" s="1566"/>
      <c r="Y20" s="3425"/>
      <c r="Z20" s="1574"/>
      <c r="AA20" s="1575">
        <v>1</v>
      </c>
      <c r="AB20" s="1575">
        <v>1</v>
      </c>
      <c r="AC20" s="1575">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25"/>
      <c r="Q22" s="1571"/>
      <c r="R22" s="1572"/>
      <c r="S22" s="1573"/>
      <c r="T22" s="1572"/>
      <c r="U22" s="1573"/>
      <c r="V22" s="1572"/>
      <c r="W22" s="1573"/>
      <c r="X22" s="1566"/>
      <c r="Y22" s="3425"/>
      <c r="Z22" s="1574"/>
      <c r="AA22" s="1575">
        <v>1</v>
      </c>
      <c r="AB22" s="1575">
        <v>1</v>
      </c>
      <c r="AC22" s="1575">
        <v>1</v>
      </c>
    </row>
    <row r="23" spans="1:29" ht="42.75">
      <c r="A23" s="531"/>
      <c r="B23" s="559" t="s">
        <v>542</v>
      </c>
      <c r="C23" s="572" t="str">
        <f>估价对象房地状况!C18</f>
        <v>临支路，1公里内无公共交通，较差</v>
      </c>
      <c r="D23" s="562">
        <v>100</v>
      </c>
      <c r="E23" s="563" t="s">
        <v>3107</v>
      </c>
      <c r="F23" s="564">
        <f>SUMIF(96:96,E24,97:97)-SUMIF(96:96,C24,97:97)+100</f>
        <v>100</v>
      </c>
      <c r="G23" s="561" t="s">
        <v>3107</v>
      </c>
      <c r="H23" s="558">
        <f>SUMIF(96:96,G24,97:97)-SUMIF(96:96,C24,97:97)+100</f>
        <v>100</v>
      </c>
      <c r="I23" s="563" t="s">
        <v>3107</v>
      </c>
      <c r="J23" s="558">
        <f>SUMIF(96:96,I24,97:97)-SUMIF(96:96,C24,97:97)+100</f>
        <v>100</v>
      </c>
      <c r="K23" s="534">
        <v>2</v>
      </c>
      <c r="L23" s="2142"/>
      <c r="M23" s="2132"/>
      <c r="N23" s="2132"/>
      <c r="O23" s="2141"/>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1"/>
      <c r="B24" s="577"/>
      <c r="C24" s="3201" t="s">
        <v>3104</v>
      </c>
      <c r="D24" s="556"/>
      <c r="E24" s="3201" t="s">
        <v>3104</v>
      </c>
      <c r="F24" s="554"/>
      <c r="G24" s="3201" t="s">
        <v>3104</v>
      </c>
      <c r="H24" s="554"/>
      <c r="I24" s="3201" t="s">
        <v>3104</v>
      </c>
      <c r="J24" s="554"/>
      <c r="K24" s="530"/>
      <c r="L24" s="2142"/>
      <c r="M24" s="2132"/>
      <c r="N24" s="2132"/>
      <c r="O24" s="2141"/>
      <c r="P24" s="3425"/>
      <c r="Q24" s="1571"/>
      <c r="R24" s="1572"/>
      <c r="S24" s="1573"/>
      <c r="T24" s="1572"/>
      <c r="U24" s="1573"/>
      <c r="V24" s="1572"/>
      <c r="W24" s="1573"/>
      <c r="X24" s="1566"/>
      <c r="Y24" s="3425"/>
      <c r="Z24" s="1574"/>
      <c r="AA24" s="1575">
        <v>1</v>
      </c>
      <c r="AB24" s="1575">
        <v>1</v>
      </c>
      <c r="AC24" s="1575">
        <v>1</v>
      </c>
    </row>
    <row r="25" spans="1:29" ht="27">
      <c r="A25" s="514"/>
      <c r="B25" s="258" t="s">
        <v>543</v>
      </c>
      <c r="C25" s="572" t="str">
        <f>估价对象房地状况!C19</f>
        <v>较不一致</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4"/>
      <c r="B26" s="1005"/>
      <c r="C26" s="3201" t="s">
        <v>3105</v>
      </c>
      <c r="D26" s="556"/>
      <c r="E26" s="3201" t="s">
        <v>3105</v>
      </c>
      <c r="F26" s="554"/>
      <c r="G26" s="3201" t="s">
        <v>3105</v>
      </c>
      <c r="H26" s="554"/>
      <c r="I26" s="3201" t="s">
        <v>3105</v>
      </c>
      <c r="J26" s="554"/>
      <c r="K26" s="530"/>
      <c r="L26" s="2142"/>
      <c r="M26" s="2132"/>
      <c r="N26" s="2132"/>
      <c r="O26" s="2141"/>
      <c r="P26" s="3425"/>
      <c r="Q26" s="1571"/>
      <c r="R26" s="1572"/>
      <c r="S26" s="1573"/>
      <c r="T26" s="1572"/>
      <c r="U26" s="1573"/>
      <c r="V26" s="1572"/>
      <c r="W26" s="1573"/>
      <c r="X26" s="1566"/>
      <c r="Y26" s="3425"/>
      <c r="Z26" s="1574"/>
      <c r="AA26" s="1575"/>
      <c r="AB26" s="1575"/>
      <c r="AC26" s="1575"/>
    </row>
    <row r="27" spans="1:29" ht="85.5">
      <c r="A27" s="514"/>
      <c r="B27" s="577" t="s">
        <v>544</v>
      </c>
      <c r="C27" s="560" t="str">
        <f>估价对象房地状况!C20</f>
        <v>贾平凹文化艺术馆、鹦鹉寺公园、西安工程大学、北京大学光华管理学院西安分院，较好</v>
      </c>
      <c r="D27" s="562">
        <v>100</v>
      </c>
      <c r="E27" s="3193" t="s">
        <v>3112</v>
      </c>
      <c r="F27" s="558">
        <f>SUMIF(100:100,E28,101:101)-SUMIF(100:100,C28,101:101)+100</f>
        <v>98</v>
      </c>
      <c r="G27" s="3194" t="s">
        <v>3113</v>
      </c>
      <c r="H27" s="558">
        <f>SUMIF(100:100,G28,101:101)-SUMIF(100:100,C28,101:101)+100</f>
        <v>98</v>
      </c>
      <c r="I27" s="3193" t="s">
        <v>3113</v>
      </c>
      <c r="J27" s="558">
        <f>SUMIF(100:100,I28,101:101)-SUMIF(100:100,C28,101:101)+100</f>
        <v>98</v>
      </c>
      <c r="K27" s="534">
        <v>2</v>
      </c>
      <c r="L27" s="2142"/>
      <c r="M27" s="2132"/>
      <c r="N27" s="2132"/>
      <c r="O27" s="2141"/>
      <c r="P27" s="3425"/>
      <c r="Q27" s="1571" t="str">
        <f t="shared" si="8"/>
        <v>自然及人文环境状况</v>
      </c>
      <c r="R27" s="1572" t="s">
        <v>8</v>
      </c>
      <c r="S27" s="1573">
        <f>F27</f>
        <v>98</v>
      </c>
      <c r="T27" s="1572" t="s">
        <v>8</v>
      </c>
      <c r="U27" s="1573">
        <f>H27</f>
        <v>98</v>
      </c>
      <c r="V27" s="1572" t="s">
        <v>8</v>
      </c>
      <c r="W27" s="1573">
        <f>J27</f>
        <v>98</v>
      </c>
      <c r="X27" s="1566"/>
      <c r="Y27" s="3425"/>
      <c r="Z27" s="1574" t="str">
        <f>Q27</f>
        <v>自然及人文环境状况</v>
      </c>
      <c r="AA27" s="1575">
        <f t="shared" si="3"/>
        <v>1.0204081632653061</v>
      </c>
      <c r="AB27" s="1575">
        <f t="shared" si="4"/>
        <v>1.0204081632653061</v>
      </c>
      <c r="AC27" s="1575">
        <f t="shared" si="5"/>
        <v>1.0204081632653061</v>
      </c>
    </row>
    <row r="28" spans="1:29" ht="20.25">
      <c r="A28" s="514"/>
      <c r="B28" s="565"/>
      <c r="C28" s="3201" t="s">
        <v>3106</v>
      </c>
      <c r="D28" s="556"/>
      <c r="E28" s="3201" t="s">
        <v>3092</v>
      </c>
      <c r="F28" s="554"/>
      <c r="G28" s="3201" t="s">
        <v>3092</v>
      </c>
      <c r="H28" s="554"/>
      <c r="I28" s="3201" t="s">
        <v>3092</v>
      </c>
      <c r="J28" s="554"/>
      <c r="K28" s="530"/>
      <c r="L28" s="2142"/>
      <c r="M28" s="2132"/>
      <c r="N28" s="2132"/>
      <c r="O28" s="2141"/>
      <c r="P28" s="3425"/>
      <c r="Q28" s="1571"/>
      <c r="R28" s="1572"/>
      <c r="S28" s="1573"/>
      <c r="T28" s="1572"/>
      <c r="U28" s="1573"/>
      <c r="V28" s="1572"/>
      <c r="W28" s="1573"/>
      <c r="X28" s="1566"/>
      <c r="Y28" s="3425"/>
      <c r="Z28" s="1574"/>
      <c r="AA28" s="1575">
        <v>1</v>
      </c>
      <c r="AB28" s="1575">
        <v>1</v>
      </c>
      <c r="AC28" s="1575">
        <v>1</v>
      </c>
    </row>
    <row r="29" spans="1:29" s="1218" customFormat="1" ht="42.75">
      <c r="A29" s="576"/>
      <c r="B29" s="2591" t="s">
        <v>2550</v>
      </c>
      <c r="C29" s="572" t="str">
        <f>估价对象房地状况!C21</f>
        <v>估价对象所在区域公共配套设施齐备情况一般</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3425"/>
      <c r="Q29" s="1149" t="str">
        <f t="shared" si="8"/>
        <v>公共配套设施</v>
      </c>
      <c r="R29" s="1567" t="s">
        <v>8</v>
      </c>
      <c r="S29" s="1568">
        <f>F29</f>
        <v>100</v>
      </c>
      <c r="T29" s="1567" t="s">
        <v>8</v>
      </c>
      <c r="U29" s="1568">
        <f>H29</f>
        <v>100</v>
      </c>
      <c r="V29" s="1567" t="s">
        <v>8</v>
      </c>
      <c r="W29" s="1568">
        <f>J29</f>
        <v>100</v>
      </c>
      <c r="X29" s="1569"/>
      <c r="Y29" s="3425"/>
      <c r="Z29" s="1148" t="str">
        <f>Q29</f>
        <v>公共配套设施</v>
      </c>
      <c r="AA29" s="1575">
        <f>D29/F29</f>
        <v>1</v>
      </c>
      <c r="AB29" s="1575">
        <f>D29/H29</f>
        <v>1</v>
      </c>
      <c r="AC29" s="1575">
        <f>D29/J29</f>
        <v>1</v>
      </c>
    </row>
    <row r="30" spans="1:29" s="1218" customFormat="1" ht="20.25">
      <c r="A30" s="576"/>
      <c r="B30" s="565"/>
      <c r="C30" s="3202" t="s">
        <v>3093</v>
      </c>
      <c r="D30" s="556"/>
      <c r="E30" s="3202" t="s">
        <v>3093</v>
      </c>
      <c r="F30" s="554"/>
      <c r="G30" s="3202" t="s">
        <v>3093</v>
      </c>
      <c r="H30" s="554"/>
      <c r="I30" s="3202" t="s">
        <v>3093</v>
      </c>
      <c r="J30" s="554"/>
      <c r="K30" s="530"/>
      <c r="L30" s="2135"/>
      <c r="M30" s="2132"/>
      <c r="N30" s="2132"/>
      <c r="O30" s="2137"/>
      <c r="P30" s="3425"/>
      <c r="Q30" s="1149"/>
      <c r="R30" s="1567"/>
      <c r="S30" s="1568"/>
      <c r="T30" s="1567"/>
      <c r="U30" s="1568"/>
      <c r="V30" s="1567"/>
      <c r="W30" s="1568"/>
      <c r="X30" s="1569"/>
      <c r="Y30" s="3425"/>
      <c r="Z30" s="1148"/>
      <c r="AA30" s="1575">
        <v>1</v>
      </c>
      <c r="AB30" s="1575">
        <v>1</v>
      </c>
      <c r="AC30" s="1575">
        <v>1</v>
      </c>
    </row>
    <row r="31" spans="1:29" s="1218" customFormat="1" ht="42.75">
      <c r="A31" s="576"/>
      <c r="B31" s="2591" t="s">
        <v>2551</v>
      </c>
      <c r="C31" s="572" t="str">
        <f>估价对象房地状况!C22</f>
        <v>估价对象所在区域基础设施水平七通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25"/>
      <c r="Q31" s="2578" t="str">
        <f t="shared" ref="Q31" si="9">B31</f>
        <v>基础设施水平</v>
      </c>
      <c r="R31" s="1567" t="s">
        <v>8</v>
      </c>
      <c r="S31" s="1568">
        <f>F31</f>
        <v>100</v>
      </c>
      <c r="T31" s="1567" t="s">
        <v>8</v>
      </c>
      <c r="U31" s="1568">
        <f>H31</f>
        <v>100</v>
      </c>
      <c r="V31" s="1567" t="s">
        <v>8</v>
      </c>
      <c r="W31" s="1568">
        <f>J31</f>
        <v>100</v>
      </c>
      <c r="X31" s="1569"/>
      <c r="Y31" s="3425"/>
      <c r="Z31" s="2575" t="str">
        <f>Q31</f>
        <v>基础设施水平</v>
      </c>
      <c r="AA31" s="1575">
        <f>D31/F31</f>
        <v>1</v>
      </c>
      <c r="AB31" s="1575">
        <f>D31/H31</f>
        <v>1</v>
      </c>
      <c r="AC31" s="1575">
        <f>D31/J31</f>
        <v>1</v>
      </c>
    </row>
    <row r="32" spans="1:29" s="1218" customFormat="1" ht="20.25">
      <c r="A32" s="576"/>
      <c r="B32" s="565"/>
      <c r="C32" s="578" t="s">
        <v>3108</v>
      </c>
      <c r="D32" s="556"/>
      <c r="E32" s="578" t="s">
        <v>3108</v>
      </c>
      <c r="F32" s="554"/>
      <c r="G32" s="578" t="s">
        <v>3108</v>
      </c>
      <c r="H32" s="554"/>
      <c r="I32" s="578" t="s">
        <v>3108</v>
      </c>
      <c r="J32" s="554"/>
      <c r="K32" s="530"/>
      <c r="L32" s="2135"/>
      <c r="M32" s="2132"/>
      <c r="N32" s="2132"/>
      <c r="O32" s="2137"/>
      <c r="P32" s="3425"/>
      <c r="Q32" s="2578"/>
      <c r="R32" s="1567"/>
      <c r="S32" s="1568"/>
      <c r="T32" s="1567"/>
      <c r="U32" s="1568"/>
      <c r="V32" s="1567"/>
      <c r="W32" s="1568"/>
      <c r="X32" s="1569"/>
      <c r="Y32" s="3425"/>
      <c r="Z32" s="2575"/>
      <c r="AA32" s="1575">
        <v>1</v>
      </c>
      <c r="AB32" s="1575">
        <v>1</v>
      </c>
      <c r="AC32" s="1575">
        <v>1</v>
      </c>
    </row>
    <row r="33" spans="1:29" ht="20.25">
      <c r="A33" s="531"/>
      <c r="B33" s="565" t="s">
        <v>546</v>
      </c>
      <c r="C33" s="579" t="s">
        <v>3103</v>
      </c>
      <c r="D33" s="574">
        <v>100</v>
      </c>
      <c r="E33" s="582" t="s">
        <v>3103</v>
      </c>
      <c r="F33" s="539">
        <f>SUMIF(106:106,E33,107:107)-SUMIF(106:106,C33,107:107)+100</f>
        <v>100</v>
      </c>
      <c r="G33" s="579" t="s">
        <v>3103</v>
      </c>
      <c r="H33" s="539">
        <f>SUMIF(106:106,G33,107:107)-SUMIF(106:106,C33,107:107)+100</f>
        <v>100</v>
      </c>
      <c r="I33" s="579" t="s">
        <v>3103</v>
      </c>
      <c r="J33" s="539">
        <f>SUMIF(106:106,I33,107:107)-SUMIF(106:106,C33,107:107)+100</f>
        <v>100</v>
      </c>
      <c r="K33" s="534">
        <v>2</v>
      </c>
      <c r="L33" s="2142"/>
      <c r="M33" s="2132"/>
      <c r="N33" s="2132"/>
      <c r="O33" s="2141"/>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1"/>
      <c r="B34" s="577" t="s">
        <v>547</v>
      </c>
      <c r="C34" s="3194" t="s">
        <v>3117</v>
      </c>
      <c r="D34" s="562">
        <v>100</v>
      </c>
      <c r="E34" s="3193" t="s">
        <v>3114</v>
      </c>
      <c r="F34" s="558">
        <f>SUMIF(108:108,E35,109:109)-SUMIF(108:108,C35,109:109)+100</f>
        <v>101</v>
      </c>
      <c r="G34" s="3194" t="s">
        <v>3121</v>
      </c>
      <c r="H34" s="558">
        <f>SUMIF(108:108,G35,109:109)-SUMIF(108:108,C35,109:109)+100</f>
        <v>100</v>
      </c>
      <c r="I34" s="3193" t="s">
        <v>3122</v>
      </c>
      <c r="J34" s="558">
        <f>SUMIF(108:108,I35,109:109)-SUMIF(108:108,C35,109:109)+100</f>
        <v>100</v>
      </c>
      <c r="K34" s="534">
        <v>1</v>
      </c>
      <c r="L34" s="2142"/>
      <c r="M34" s="2132"/>
      <c r="N34" s="2132"/>
      <c r="O34" s="2141"/>
      <c r="P34" s="3425"/>
      <c r="Q34" s="1571" t="str">
        <f t="shared" si="8"/>
        <v>毗邻道路的类型与等级</v>
      </c>
      <c r="R34" s="1572" t="s">
        <v>8</v>
      </c>
      <c r="S34" s="1573">
        <f t="shared" si="10"/>
        <v>101</v>
      </c>
      <c r="T34" s="1572" t="s">
        <v>8</v>
      </c>
      <c r="U34" s="1573">
        <f t="shared" si="11"/>
        <v>100</v>
      </c>
      <c r="V34" s="1572" t="s">
        <v>8</v>
      </c>
      <c r="W34" s="1573">
        <f t="shared" si="12"/>
        <v>100</v>
      </c>
      <c r="X34" s="1566"/>
      <c r="Y34" s="3425"/>
      <c r="Z34" s="1574" t="str">
        <f t="shared" si="13"/>
        <v>毗邻道路的类型与等级</v>
      </c>
      <c r="AA34" s="1575">
        <f t="shared" si="3"/>
        <v>0.99009900990099009</v>
      </c>
      <c r="AB34" s="1575">
        <f t="shared" si="4"/>
        <v>1</v>
      </c>
      <c r="AC34" s="1575">
        <f t="shared" si="5"/>
        <v>1</v>
      </c>
    </row>
    <row r="35" spans="1:29" ht="21" thickBot="1">
      <c r="A35" s="531"/>
      <c r="B35" s="565"/>
      <c r="C35" s="553" t="s">
        <v>3115</v>
      </c>
      <c r="D35" s="556"/>
      <c r="E35" s="575" t="s">
        <v>3119</v>
      </c>
      <c r="F35" s="554"/>
      <c r="G35" s="553" t="s">
        <v>3115</v>
      </c>
      <c r="H35" s="554"/>
      <c r="I35" s="575" t="s">
        <v>3115</v>
      </c>
      <c r="J35" s="554"/>
      <c r="K35" s="580"/>
      <c r="L35" s="2142"/>
      <c r="M35" s="2132"/>
      <c r="N35" s="2132"/>
      <c r="O35" s="2141"/>
      <c r="P35" s="3425"/>
      <c r="Q35" s="1571"/>
      <c r="R35" s="1572"/>
      <c r="S35" s="1573"/>
      <c r="T35" s="1572"/>
      <c r="U35" s="1573"/>
      <c r="V35" s="1572"/>
      <c r="W35" s="1573"/>
      <c r="X35" s="1566"/>
      <c r="Y35" s="3425"/>
      <c r="Z35" s="1574"/>
      <c r="AA35" s="1575">
        <v>1</v>
      </c>
      <c r="AB35" s="1575">
        <v>1</v>
      </c>
      <c r="AC35" s="1575">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26" t="s">
        <v>549</v>
      </c>
      <c r="Q38" s="1571">
        <f t="shared" si="8"/>
        <v>111</v>
      </c>
      <c r="R38" s="1572" t="s">
        <v>8</v>
      </c>
      <c r="S38" s="1573">
        <f t="shared" si="10"/>
        <v>100</v>
      </c>
      <c r="T38" s="1572" t="s">
        <v>8</v>
      </c>
      <c r="U38" s="1573">
        <f t="shared" si="11"/>
        <v>100</v>
      </c>
      <c r="V38" s="1572" t="s">
        <v>8</v>
      </c>
      <c r="W38" s="1573">
        <f t="shared" si="12"/>
        <v>100</v>
      </c>
      <c r="X38" s="1566"/>
      <c r="Y38" s="3427" t="s">
        <v>549</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7" t="s">
        <v>2757</v>
      </c>
      <c r="B40" s="594" t="s">
        <v>551</v>
      </c>
      <c r="C40" s="595">
        <v>21871.53</v>
      </c>
      <c r="D40" s="596">
        <v>100</v>
      </c>
      <c r="E40" s="595">
        <f>土地案例商业!D2</f>
        <v>74233.100000000006</v>
      </c>
      <c r="F40" s="596">
        <f>LOOKUP(E40,119:119,120:120)-LOOKUP(C40,119:119,120:120)+100</f>
        <v>101</v>
      </c>
      <c r="G40" s="595">
        <f>土地案例商业!D3</f>
        <v>14257.89</v>
      </c>
      <c r="H40" s="596">
        <f>LOOKUP(G40,119:119,120:120)-LOOKUP(C40,119:119,120:120)+100</f>
        <v>100</v>
      </c>
      <c r="I40" s="597">
        <f>土地案例商业!D4</f>
        <v>12659.73</v>
      </c>
      <c r="J40" s="596">
        <f>LOOKUP(I40,119:119,120:120)-LOOKUP(C40,119:119,120:120)+100</f>
        <v>100</v>
      </c>
      <c r="K40" s="580"/>
      <c r="L40" s="2142"/>
      <c r="M40" s="2132"/>
      <c r="N40" s="2132"/>
      <c r="O40" s="2141"/>
      <c r="P40" s="3427"/>
      <c r="Q40" s="1571" t="str">
        <f>B40</f>
        <v>宗地面积</v>
      </c>
      <c r="R40" s="1572" t="s">
        <v>8</v>
      </c>
      <c r="S40" s="1573">
        <f t="shared" si="10"/>
        <v>101</v>
      </c>
      <c r="T40" s="1572" t="s">
        <v>8</v>
      </c>
      <c r="U40" s="1573">
        <f t="shared" si="11"/>
        <v>100</v>
      </c>
      <c r="V40" s="1572" t="s">
        <v>8</v>
      </c>
      <c r="W40" s="1573">
        <f t="shared" si="12"/>
        <v>100</v>
      </c>
      <c r="X40" s="1566"/>
      <c r="Y40" s="3427"/>
      <c r="Z40" s="1574" t="str">
        <f t="shared" si="13"/>
        <v>宗地面积</v>
      </c>
      <c r="AA40" s="1575">
        <f t="shared" si="3"/>
        <v>0.99009900990099009</v>
      </c>
      <c r="AB40" s="1575">
        <f t="shared" si="4"/>
        <v>1</v>
      </c>
      <c r="AC40" s="1575">
        <f t="shared" si="5"/>
        <v>1</v>
      </c>
    </row>
    <row r="41" spans="1:29" ht="20.25">
      <c r="A41" s="593"/>
      <c r="B41" s="526" t="s">
        <v>552</v>
      </c>
      <c r="C41" s="3204" t="s">
        <v>3123</v>
      </c>
      <c r="D41" s="539">
        <v>100</v>
      </c>
      <c r="E41" s="3204" t="s">
        <v>3123</v>
      </c>
      <c r="F41" s="539">
        <f>SUMIF(121:121,E41,122:122)-SUMIF(121:121,C41,122:122)+100</f>
        <v>100</v>
      </c>
      <c r="G41" s="3204" t="s">
        <v>3123</v>
      </c>
      <c r="H41" s="539">
        <f>SUMIF(121:121,G41,122:122)-SUMIF(121:121,C41,122:122)+100</f>
        <v>100</v>
      </c>
      <c r="I41" s="3204" t="s">
        <v>3123</v>
      </c>
      <c r="J41" s="539">
        <f>SUMIF(121:121,I41,122:122)-SUMIF(121:121,C41,122:122)+100</f>
        <v>100</v>
      </c>
      <c r="K41" s="583">
        <v>1</v>
      </c>
      <c r="L41" s="2142"/>
      <c r="M41" s="2132"/>
      <c r="N41" s="2132"/>
      <c r="O41" s="2141"/>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3"/>
      <c r="B42" s="526" t="s">
        <v>553</v>
      </c>
      <c r="C42" s="3204" t="s">
        <v>3124</v>
      </c>
      <c r="D42" s="539">
        <v>100</v>
      </c>
      <c r="E42" s="3204" t="s">
        <v>3124</v>
      </c>
      <c r="F42" s="539">
        <f>SUMIF(123:123,E42,124:124)-SUMIF(123:123,C42,124:124)+100</f>
        <v>100</v>
      </c>
      <c r="G42" s="3204" t="s">
        <v>3124</v>
      </c>
      <c r="H42" s="539">
        <f>SUMIF(123:123,G42,124:124)-SUMIF(123:123,C42,124:124)+100</f>
        <v>100</v>
      </c>
      <c r="I42" s="3204" t="s">
        <v>3124</v>
      </c>
      <c r="J42" s="539">
        <f>SUMIF(123:123,I42,124:124)-SUMIF(123:123,C42,124:124)+100</f>
        <v>100</v>
      </c>
      <c r="K42" s="583">
        <v>2</v>
      </c>
      <c r="L42" s="2142"/>
      <c r="M42" s="2132"/>
      <c r="N42" s="2132"/>
      <c r="O42" s="2141"/>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8" customFormat="1" ht="20.25">
      <c r="A43" s="599"/>
      <c r="B43" s="1895" t="s">
        <v>2426</v>
      </c>
      <c r="C43" s="3205" t="s">
        <v>3174</v>
      </c>
      <c r="D43" s="254">
        <v>100</v>
      </c>
      <c r="E43" s="3205" t="s">
        <v>3175</v>
      </c>
      <c r="F43" s="539">
        <f>SUMIF(125:125,E43,126:126)-SUMIF(125:125,C43,126:126)+100</f>
        <v>100</v>
      </c>
      <c r="G43" s="3205" t="s">
        <v>3174</v>
      </c>
      <c r="H43" s="539">
        <f>SUMIF(125:125,G43,126:126)-SUMIF(125:125,C43,126:126)+100</f>
        <v>100</v>
      </c>
      <c r="I43" s="3205" t="s">
        <v>3176</v>
      </c>
      <c r="J43" s="539">
        <f>SUMIF(125:125,I43,126:126)-SUMIF(125:125,C43,126:126)+100</f>
        <v>100</v>
      </c>
      <c r="K43" s="583">
        <v>2</v>
      </c>
      <c r="L43" s="2135"/>
      <c r="M43" s="2132"/>
      <c r="N43" s="2132"/>
      <c r="O43" s="2137"/>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8" t="str">
        <f t="shared" si="13"/>
        <v>宗地开发程度</v>
      </c>
      <c r="AA43" s="1570">
        <f t="shared" si="3"/>
        <v>1</v>
      </c>
      <c r="AB43" s="1570">
        <f t="shared" si="4"/>
        <v>1</v>
      </c>
      <c r="AC43" s="1570">
        <f t="shared" si="5"/>
        <v>1</v>
      </c>
    </row>
    <row r="44" spans="1:29" ht="21" thickBot="1">
      <c r="A44" s="593"/>
      <c r="B44" s="526" t="s">
        <v>554</v>
      </c>
      <c r="C44" s="3204" t="s">
        <v>3106</v>
      </c>
      <c r="D44" s="539">
        <v>100</v>
      </c>
      <c r="E44" s="3204" t="s">
        <v>3106</v>
      </c>
      <c r="F44" s="539">
        <f>SUMIF(127:127,E44,128:128)-SUMIF(127:127,C44,128:128)+100</f>
        <v>100</v>
      </c>
      <c r="G44" s="3204" t="s">
        <v>3106</v>
      </c>
      <c r="H44" s="539">
        <f>SUMIF(127:127,G44,128:128)-SUMIF(127:127,C44,128:128)+100</f>
        <v>100</v>
      </c>
      <c r="I44" s="3204" t="s">
        <v>3106</v>
      </c>
      <c r="J44" s="539">
        <f>SUMIF(127:127,I44,128:128)-SUMIF(127:127,C44,128:128)+100</f>
        <v>100</v>
      </c>
      <c r="K44" s="583">
        <v>1</v>
      </c>
      <c r="L44" s="2142"/>
      <c r="M44" s="2132"/>
      <c r="N44" s="2132"/>
      <c r="O44" s="2141"/>
      <c r="P44" s="3427" t="s">
        <v>549</v>
      </c>
      <c r="Q44" s="1571" t="str">
        <f t="shared" si="14"/>
        <v>工程地质条件</v>
      </c>
      <c r="R44" s="1572" t="s">
        <v>8</v>
      </c>
      <c r="S44" s="1573">
        <f t="shared" si="10"/>
        <v>100</v>
      </c>
      <c r="T44" s="1572" t="s">
        <v>8</v>
      </c>
      <c r="U44" s="1573">
        <f t="shared" si="11"/>
        <v>100</v>
      </c>
      <c r="V44" s="1572" t="s">
        <v>8</v>
      </c>
      <c r="W44" s="1573">
        <f t="shared" si="12"/>
        <v>100</v>
      </c>
      <c r="X44" s="1566"/>
      <c r="Y44" s="3427" t="s">
        <v>549</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6" t="s">
        <v>555</v>
      </c>
      <c r="B48" s="3219" t="s">
        <v>3018</v>
      </c>
      <c r="C48" s="608" t="s">
        <v>1</v>
      </c>
      <c r="D48" s="609"/>
      <c r="E48" s="610">
        <f>土地案例商业!L2</f>
        <v>1280</v>
      </c>
      <c r="F48" s="611"/>
      <c r="G48" s="612">
        <f>土地案例商业!L3</f>
        <v>1333</v>
      </c>
      <c r="H48" s="613"/>
      <c r="I48" s="610">
        <f>土地案例商业!L4</f>
        <v>1303</v>
      </c>
      <c r="J48" s="613"/>
      <c r="K48" s="1338"/>
      <c r="L48" s="2144"/>
      <c r="M48" s="2132"/>
      <c r="N48" s="2132"/>
      <c r="O48" s="2145"/>
      <c r="P48" s="3390" t="str">
        <f>A48</f>
        <v>成交单价</v>
      </c>
      <c r="Q48" s="3390"/>
      <c r="R48" s="3391">
        <f>E48</f>
        <v>1280</v>
      </c>
      <c r="S48" s="3391"/>
      <c r="T48" s="3391">
        <f>G48</f>
        <v>1333</v>
      </c>
      <c r="U48" s="3391"/>
      <c r="V48" s="3391">
        <f>I48</f>
        <v>1303</v>
      </c>
      <c r="W48" s="3391"/>
      <c r="X48" s="1558"/>
      <c r="Y48" s="1580"/>
      <c r="Z48" s="1558"/>
      <c r="AA48" s="1558"/>
      <c r="AB48" s="1558"/>
      <c r="AC48" s="1558"/>
    </row>
    <row r="49" spans="1:29" ht="21" thickBot="1">
      <c r="A49" s="614" t="s">
        <v>2695</v>
      </c>
      <c r="B49" s="615"/>
      <c r="C49" s="616">
        <f>R50</f>
        <v>1357</v>
      </c>
      <c r="D49" s="617"/>
      <c r="E49" s="616">
        <f>R49</f>
        <v>1294</v>
      </c>
      <c r="F49" s="618"/>
      <c r="G49" s="619">
        <f>T49</f>
        <v>1389</v>
      </c>
      <c r="H49" s="617"/>
      <c r="I49" s="616">
        <f>V49</f>
        <v>1387</v>
      </c>
      <c r="J49" s="617"/>
      <c r="K49" s="1339"/>
      <c r="L49" s="2144"/>
      <c r="M49" s="2132"/>
      <c r="N49" s="2132"/>
      <c r="O49" s="2145"/>
      <c r="P49" s="3390" t="str">
        <f>A49</f>
        <v>比较价格（元/平方米）</v>
      </c>
      <c r="Q49" s="3390"/>
      <c r="R49" s="3392">
        <f>ROUND(PRODUCT(R48,AA9:AA47),0)</f>
        <v>1294</v>
      </c>
      <c r="S49" s="3392"/>
      <c r="T49" s="3392">
        <f>ROUND(PRODUCT(T48,AB9:AB47),0)</f>
        <v>1389</v>
      </c>
      <c r="U49" s="3392"/>
      <c r="V49" s="3392">
        <f>ROUND(PRODUCT(V48,AC9:AC47),0)</f>
        <v>1387</v>
      </c>
      <c r="W49" s="3392"/>
      <c r="X49" s="1558"/>
      <c r="Y49" s="1558"/>
      <c r="Z49" s="1558"/>
      <c r="AA49" s="1558"/>
      <c r="AB49" s="1558"/>
      <c r="AC49" s="1558"/>
    </row>
    <row r="50" spans="1:29" ht="21" thickBot="1">
      <c r="A50" s="620" t="s">
        <v>2934</v>
      </c>
      <c r="B50" s="621"/>
      <c r="C50" s="622">
        <f>R50</f>
        <v>1357</v>
      </c>
      <c r="D50" s="622"/>
      <c r="E50" s="622"/>
      <c r="F50" s="622"/>
      <c r="G50" s="622"/>
      <c r="H50" s="622"/>
      <c r="I50" s="622"/>
      <c r="J50" s="622"/>
      <c r="K50" s="1340"/>
      <c r="L50" s="2144"/>
      <c r="M50" s="2132"/>
      <c r="N50" s="2132"/>
      <c r="O50" s="2145"/>
      <c r="P50" s="3387" t="str">
        <f>A50</f>
        <v>估价对象XX用房的比较价格（楼面单价，元/平方米）</v>
      </c>
      <c r="Q50" s="3388"/>
      <c r="R50" s="3389">
        <f>ROUND(AVERAGE(R49:V49),0)</f>
        <v>1357</v>
      </c>
      <c r="S50" s="3389"/>
      <c r="T50" s="3389"/>
      <c r="U50" s="3389"/>
      <c r="V50" s="3389"/>
      <c r="W50" s="338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f>IF(E48&lt;E49,E49/E48-1,E48/E49-1)</f>
        <v>1.0937500000000044E-2</v>
      </c>
      <c r="F53" s="626" t="str">
        <f>IF(OR(E53&gt;=0.3,E53&lt;=-0.3),"超过30%","")</f>
        <v/>
      </c>
      <c r="G53" s="625">
        <f>IF(G48&lt;G49,G49/G48-1,G48/G49-1)</f>
        <v>4.201050262565631E-2</v>
      </c>
      <c r="H53" s="626" t="str">
        <f>IF(OR(G53&gt;=0.3,G53&lt;=-0.3),"超过30%","")</f>
        <v/>
      </c>
      <c r="I53" s="625">
        <f>IF(I48&lt;I49,I49/I48-1,I48/I49-1)</f>
        <v>6.4466615502686064E-2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f>IF(E49&lt;G49,G49/E49-1,E49/G49-1)</f>
        <v>7.3415765069551719E-2</v>
      </c>
      <c r="F54" s="626" t="str">
        <f>IF(OR(E54&gt;=0.2,E54&lt;=-0.2),"超过20%","")</f>
        <v/>
      </c>
      <c r="G54" s="625">
        <f>IF(G49&lt;I49,I49/G49-1,G49/I49-1)</f>
        <v>1.4419610670513006E-3</v>
      </c>
      <c r="H54" s="626" t="str">
        <f>IF(OR(G54&gt;=0.2,G54&lt;=-0.2),"超过20%","")</f>
        <v/>
      </c>
      <c r="I54" s="625">
        <f>IF(I49&lt;E49,E49/I49-1,I49/E49-1)</f>
        <v>7.1870170015456036E-2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f>IF(E48&lt;G48,G48/E48-1,E48/G48-1)</f>
        <v>4.1406250000000089E-2</v>
      </c>
      <c r="F55" s="626" t="str">
        <f>IF(OR(E55&gt;=0.3,E55&lt;=-0.3),"超过30%","")</f>
        <v/>
      </c>
      <c r="G55" s="625">
        <f>IF(G48&lt;I48,I48/G48-1,G48/I48-1)</f>
        <v>2.3023791250959436E-2</v>
      </c>
      <c r="H55" s="626" t="str">
        <f>IF(OR(G55&gt;=0.3,G55&lt;=-0.3),"超过30%","")</f>
        <v/>
      </c>
      <c r="I55" s="625">
        <f>IF(I48&lt;E48,E48/I48-1,I48/E48-1)</f>
        <v>1.7968750000000089E-2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559</v>
      </c>
      <c r="B57" s="629" t="s">
        <v>560</v>
      </c>
      <c r="C57" s="1559" t="s">
        <v>1724</v>
      </c>
      <c r="D57" s="2227" t="s">
        <v>2295</v>
      </c>
      <c r="E57" s="630" t="s">
        <v>561</v>
      </c>
      <c r="F57" s="631" t="s">
        <v>562</v>
      </c>
      <c r="G57" s="3416" t="s">
        <v>2283</v>
      </c>
      <c r="H57" s="3417"/>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563</v>
      </c>
      <c r="B58" s="633">
        <f>C50</f>
        <v>1357</v>
      </c>
      <c r="C58" s="634">
        <v>1</v>
      </c>
      <c r="D58" s="2228">
        <v>1</v>
      </c>
      <c r="E58" s="634">
        <f>'数据-汇总表'!E8+'数据-汇总表'!E9</f>
        <v>32489</v>
      </c>
      <c r="F58" s="635">
        <f t="shared" ref="F58:F67" si="15">ROUND(B58*E58/10000,0)</f>
        <v>4409</v>
      </c>
      <c r="G58" s="3418"/>
      <c r="H58" s="3419"/>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564</v>
      </c>
      <c r="B59" s="637">
        <f>ROUND($C$50*C59*D59,0)</f>
        <v>0</v>
      </c>
      <c r="C59" s="377">
        <f t="shared" ref="C59:C67" si="16">IF($C$57="北京市系数",I59,J59)</f>
        <v>0</v>
      </c>
      <c r="D59" s="2229">
        <v>0.25</v>
      </c>
      <c r="E59" s="638">
        <v>0</v>
      </c>
      <c r="F59" s="635">
        <f t="shared" si="15"/>
        <v>0</v>
      </c>
      <c r="G59" s="3420"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565</v>
      </c>
      <c r="B60" s="637">
        <f t="shared" ref="B60:B67" si="17">ROUND($C$50*C60*D60,0)</f>
        <v>0</v>
      </c>
      <c r="C60" s="377">
        <f t="shared" si="16"/>
        <v>0</v>
      </c>
      <c r="D60" s="2229">
        <v>0.25</v>
      </c>
      <c r="E60" s="638">
        <v>0</v>
      </c>
      <c r="F60" s="635">
        <f t="shared" si="15"/>
        <v>0</v>
      </c>
      <c r="G60" s="3420"/>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566</v>
      </c>
      <c r="B61" s="637">
        <f t="shared" si="17"/>
        <v>0</v>
      </c>
      <c r="C61" s="377">
        <f t="shared" si="16"/>
        <v>0</v>
      </c>
      <c r="D61" s="2229">
        <v>0.25</v>
      </c>
      <c r="E61" s="638">
        <v>0</v>
      </c>
      <c r="F61" s="635">
        <f t="shared" si="15"/>
        <v>0</v>
      </c>
      <c r="G61" s="3420"/>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567</v>
      </c>
      <c r="B62" s="637">
        <f t="shared" si="17"/>
        <v>0</v>
      </c>
      <c r="C62" s="377">
        <f t="shared" si="16"/>
        <v>0</v>
      </c>
      <c r="D62" s="2229">
        <v>0.25</v>
      </c>
      <c r="E62" s="638">
        <v>0</v>
      </c>
      <c r="F62" s="635">
        <f t="shared" si="15"/>
        <v>0</v>
      </c>
      <c r="G62" s="3420"/>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2330</v>
      </c>
      <c r="B63" s="637">
        <f t="shared" si="17"/>
        <v>0</v>
      </c>
      <c r="C63" s="377">
        <f t="shared" si="16"/>
        <v>0</v>
      </c>
      <c r="D63" s="2229">
        <v>0.25</v>
      </c>
      <c r="E63" s="640">
        <f>'数据-汇总表'!E11</f>
        <v>0</v>
      </c>
      <c r="F63" s="635">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568</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569</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570</v>
      </c>
      <c r="B66" s="637">
        <f t="shared" si="17"/>
        <v>0</v>
      </c>
      <c r="C66" s="377">
        <f t="shared" si="16"/>
        <v>0</v>
      </c>
      <c r="D66" s="2229">
        <v>0.25</v>
      </c>
      <c r="E66" s="640">
        <f>'数据-汇总表'!E14</f>
        <v>0</v>
      </c>
      <c r="F66" s="635">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571</v>
      </c>
      <c r="B67" s="637">
        <f t="shared" si="17"/>
        <v>0</v>
      </c>
      <c r="C67" s="377">
        <f t="shared" si="16"/>
        <v>0</v>
      </c>
      <c r="D67" s="2229">
        <v>0.25</v>
      </c>
      <c r="E67" s="640">
        <f>'数据-汇总表'!E15</f>
        <v>0</v>
      </c>
      <c r="F67" s="635">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572</v>
      </c>
      <c r="B68" s="642" t="s">
        <v>17</v>
      </c>
      <c r="C68" s="642" t="s">
        <v>18</v>
      </c>
      <c r="D68" s="642" t="s">
        <v>2296</v>
      </c>
      <c r="E68" s="642">
        <f>IF(B48="楼面地价",SUM(E58:E67),'数据-汇总表'!D3)</f>
        <v>21659.53</v>
      </c>
      <c r="F68" s="643">
        <f>IF(B48="楼面地价",SUM(F58:F67),ROUND(C50*E68/10000,0))</f>
        <v>2939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2534</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2649</v>
      </c>
      <c r="B73" s="478" t="str">
        <f>"北京市平均增长率"&amp;TEXT(SUMIF(基准地价!N21:N25,A73,基准地价!P21:P25),"0.00%")</f>
        <v>北京市平均增长率2.27%</v>
      </c>
      <c r="C73" s="893">
        <v>100</v>
      </c>
      <c r="D73" s="729">
        <v>99</v>
      </c>
      <c r="E73" s="729">
        <v>98</v>
      </c>
      <c r="F73" s="729">
        <v>97</v>
      </c>
      <c r="G73" s="729">
        <v>96</v>
      </c>
      <c r="H73" s="729">
        <v>94</v>
      </c>
      <c r="I73" s="729"/>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530</v>
      </c>
      <c r="B75" s="647"/>
      <c r="C75" s="659" t="s">
        <v>575</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576</v>
      </c>
      <c r="B77" s="664" t="s">
        <v>533</v>
      </c>
      <c r="C77" s="3185" t="s">
        <v>3017</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536</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537</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101</v>
      </c>
      <c r="E83" s="678">
        <f t="shared" ref="E83:M83" si="21">IF($B$48="单位面积地价",D83+$K13,D83-$K13)</f>
        <v>102</v>
      </c>
      <c r="F83" s="678">
        <f t="shared" si="21"/>
        <v>103</v>
      </c>
      <c r="G83" s="678">
        <f t="shared" si="21"/>
        <v>104</v>
      </c>
      <c r="H83" s="678">
        <f t="shared" si="21"/>
        <v>105</v>
      </c>
      <c r="I83" s="678">
        <f t="shared" si="21"/>
        <v>106</v>
      </c>
      <c r="J83" s="678">
        <f t="shared" si="21"/>
        <v>107</v>
      </c>
      <c r="K83" s="678">
        <f t="shared" si="21"/>
        <v>108</v>
      </c>
      <c r="L83" s="678">
        <f t="shared" si="21"/>
        <v>109</v>
      </c>
      <c r="M83" s="678">
        <f t="shared" si="21"/>
        <v>110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538</v>
      </c>
      <c r="B90" s="664" t="s">
        <v>577</v>
      </c>
      <c r="C90" s="702" t="s">
        <v>578</v>
      </c>
      <c r="D90" s="702" t="s">
        <v>579</v>
      </c>
      <c r="E90" s="702" t="s">
        <v>580</v>
      </c>
      <c r="F90" s="702" t="s">
        <v>581</v>
      </c>
      <c r="G90" s="702" t="s">
        <v>582</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583</v>
      </c>
      <c r="C92" s="707" t="s">
        <v>578</v>
      </c>
      <c r="D92" s="707" t="s">
        <v>579</v>
      </c>
      <c r="E92" s="707" t="s">
        <v>580</v>
      </c>
      <c r="F92" s="707" t="s">
        <v>581</v>
      </c>
      <c r="G92" s="707" t="s">
        <v>582</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584</v>
      </c>
      <c r="C94" s="707" t="s">
        <v>578</v>
      </c>
      <c r="D94" s="707" t="s">
        <v>579</v>
      </c>
      <c r="E94" s="707" t="s">
        <v>580</v>
      </c>
      <c r="F94" s="707" t="s">
        <v>581</v>
      </c>
      <c r="G94" s="707" t="s">
        <v>582</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585</v>
      </c>
      <c r="C96" s="707" t="s">
        <v>578</v>
      </c>
      <c r="D96" s="707" t="s">
        <v>579</v>
      </c>
      <c r="E96" s="707" t="s">
        <v>580</v>
      </c>
      <c r="F96" s="707" t="s">
        <v>581</v>
      </c>
      <c r="G96" s="707" t="s">
        <v>582</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2550</v>
      </c>
      <c r="C102" s="702" t="s">
        <v>578</v>
      </c>
      <c r="D102" s="702" t="s">
        <v>579</v>
      </c>
      <c r="E102" s="702" t="s">
        <v>580</v>
      </c>
      <c r="F102" s="702" t="s">
        <v>581</v>
      </c>
      <c r="G102" s="702" t="s">
        <v>582</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2552</v>
      </c>
      <c r="C104" s="2598" t="s">
        <v>2553</v>
      </c>
      <c r="D104" s="2598" t="s">
        <v>2554</v>
      </c>
      <c r="E104" s="2598" t="s">
        <v>2555</v>
      </c>
      <c r="F104" s="2598" t="s">
        <v>2556</v>
      </c>
      <c r="G104" s="2598" t="s">
        <v>2557</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547</v>
      </c>
      <c r="C108" s="3203" t="s">
        <v>3118</v>
      </c>
      <c r="D108" s="3203" t="s">
        <v>3120</v>
      </c>
      <c r="E108" s="3203" t="s">
        <v>3116</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548</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550</v>
      </c>
      <c r="B118" s="664" t="s">
        <v>592</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091" t="str">
        <f t="shared" si="25"/>
        <v>(含)-</v>
      </c>
      <c r="K118" s="3091" t="str">
        <f t="shared" si="25"/>
        <v>(含)-</v>
      </c>
      <c r="L118" s="3092" t="str">
        <f t="shared" si="25"/>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101</v>
      </c>
      <c r="D120" s="725">
        <v>101</v>
      </c>
      <c r="E120" s="725">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593</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594</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2427</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595</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22" t="str">
        <f>项目基本情况!B1</f>
        <v>出让国有建设用地使用权抵押价格预评估</v>
      </c>
      <c r="C37" s="3222"/>
      <c r="D37" s="3222"/>
      <c r="E37" s="3222"/>
      <c r="F37" s="3222"/>
      <c r="G37" s="3222"/>
      <c r="H37" s="3222"/>
      <c r="I37" s="3222"/>
    </row>
    <row r="38" spans="1:9">
      <c r="A38" s="1655"/>
      <c r="B38" s="1655"/>
    </row>
    <row r="39" spans="1:9">
      <c r="A39" s="1653" t="s">
        <v>1901</v>
      </c>
      <c r="B39" s="1653" t="s">
        <v>2048</v>
      </c>
    </row>
    <row r="40" spans="1:9">
      <c r="A40" s="1653"/>
      <c r="B40" s="1653" t="str">
        <f>项目基本情况!B5</f>
        <v>融创</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刘梅、吴薇</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519</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520</v>
      </c>
      <c r="B6" s="512"/>
      <c r="C6" s="3396" t="s">
        <v>521</v>
      </c>
      <c r="D6" s="3397"/>
      <c r="E6" s="3430" t="s">
        <v>522</v>
      </c>
      <c r="F6" s="3431"/>
      <c r="G6" s="3396" t="s">
        <v>523</v>
      </c>
      <c r="H6" s="3397"/>
      <c r="I6" s="3396" t="s">
        <v>524</v>
      </c>
      <c r="J6" s="3397"/>
      <c r="K6" s="513" t="s">
        <v>525</v>
      </c>
      <c r="L6" s="2133"/>
      <c r="M6" s="2134"/>
      <c r="N6" s="2134"/>
      <c r="O6" s="2134"/>
      <c r="P6" s="3398" t="s">
        <v>526</v>
      </c>
      <c r="Q6" s="3399"/>
      <c r="R6" s="3404" t="s">
        <v>522</v>
      </c>
      <c r="S6" s="3405"/>
      <c r="T6" s="3404" t="s">
        <v>523</v>
      </c>
      <c r="U6" s="3405"/>
      <c r="V6" s="3391" t="s">
        <v>524</v>
      </c>
      <c r="W6" s="3391"/>
      <c r="X6" s="1566"/>
      <c r="Y6" s="3404" t="s">
        <v>526</v>
      </c>
      <c r="Z6" s="3405"/>
      <c r="AA6" s="3393" t="s">
        <v>522</v>
      </c>
      <c r="AB6" s="3394" t="s">
        <v>523</v>
      </c>
      <c r="AC6" s="3393" t="s">
        <v>524</v>
      </c>
    </row>
    <row r="7" spans="1:29" ht="15">
      <c r="A7" s="514"/>
      <c r="B7" s="515"/>
      <c r="C7" s="3412" t="s">
        <v>2928</v>
      </c>
      <c r="D7" s="3413"/>
      <c r="E7" s="3432" t="s">
        <v>2929</v>
      </c>
      <c r="F7" s="3433"/>
      <c r="G7" s="3412" t="s">
        <v>2930</v>
      </c>
      <c r="H7" s="3413"/>
      <c r="I7" s="3412" t="s">
        <v>2931</v>
      </c>
      <c r="J7" s="3413"/>
      <c r="K7" s="513"/>
      <c r="L7" s="2133"/>
      <c r="M7" s="2134"/>
      <c r="N7" s="2134"/>
      <c r="O7" s="2134"/>
      <c r="P7" s="3400"/>
      <c r="Q7" s="3401"/>
      <c r="R7" s="3406"/>
      <c r="S7" s="3407"/>
      <c r="T7" s="3406"/>
      <c r="U7" s="3407"/>
      <c r="V7" s="3391"/>
      <c r="W7" s="3391"/>
      <c r="X7" s="1566"/>
      <c r="Y7" s="3406"/>
      <c r="Z7" s="3407"/>
      <c r="AA7" s="3394"/>
      <c r="AB7" s="3394"/>
      <c r="AC7" s="3394"/>
    </row>
    <row r="8" spans="1:29" ht="15.75" thickBot="1">
      <c r="A8" s="516"/>
      <c r="B8" s="517"/>
      <c r="C8" s="3410" t="s">
        <v>2932</v>
      </c>
      <c r="D8" s="3411"/>
      <c r="E8" s="3428" t="s">
        <v>2932</v>
      </c>
      <c r="F8" s="3429"/>
      <c r="G8" s="3410" t="s">
        <v>2932</v>
      </c>
      <c r="H8" s="3411"/>
      <c r="I8" s="3410" t="s">
        <v>2932</v>
      </c>
      <c r="J8" s="3411"/>
      <c r="K8" s="513" t="s">
        <v>527</v>
      </c>
      <c r="L8" s="2133"/>
      <c r="M8" s="2134"/>
      <c r="N8" s="2134"/>
      <c r="O8" s="2134"/>
      <c r="P8" s="3402"/>
      <c r="Q8" s="3403"/>
      <c r="R8" s="3406"/>
      <c r="S8" s="3407"/>
      <c r="T8" s="3408"/>
      <c r="U8" s="3409"/>
      <c r="V8" s="3391"/>
      <c r="W8" s="3391"/>
      <c r="X8" s="1566"/>
      <c r="Y8" s="3408"/>
      <c r="Z8" s="3409"/>
      <c r="AA8" s="3395"/>
      <c r="AB8" s="3395"/>
      <c r="AC8" s="3395"/>
    </row>
    <row r="9" spans="1:29" s="1218" customFormat="1" ht="15.75" thickBot="1">
      <c r="A9" s="2912"/>
      <c r="B9" s="2919" t="s">
        <v>528</v>
      </c>
      <c r="C9" s="518">
        <f>'数据-取费表'!B2</f>
        <v>43276</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21" t="s">
        <v>529</v>
      </c>
      <c r="Q9" s="3423"/>
      <c r="R9" s="1567" t="s">
        <v>8</v>
      </c>
      <c r="S9" s="1568">
        <f t="shared" ref="S9:S17" si="0">F9</f>
        <v>0</v>
      </c>
      <c r="T9" s="1567" t="s">
        <v>8</v>
      </c>
      <c r="U9" s="1568">
        <f t="shared" ref="U9:U17" si="1">H9</f>
        <v>0</v>
      </c>
      <c r="V9" s="1567" t="s">
        <v>8</v>
      </c>
      <c r="W9" s="1568">
        <f t="shared" ref="W9:W17" si="2">J9</f>
        <v>0</v>
      </c>
      <c r="X9" s="1569"/>
      <c r="Y9" s="3421" t="s">
        <v>529</v>
      </c>
      <c r="Z9" s="3422"/>
      <c r="AA9" s="1570" t="e">
        <f>D9/F9</f>
        <v>#DIV/0!</v>
      </c>
      <c r="AB9" s="1570" t="e">
        <f>D9/H9</f>
        <v>#DIV/0!</v>
      </c>
      <c r="AC9" s="1570" t="e">
        <f>D9/J9</f>
        <v>#DIV/0!</v>
      </c>
    </row>
    <row r="10" spans="1:29" s="1218" customFormat="1" ht="15.75" thickBot="1">
      <c r="A10" s="2913"/>
      <c r="B10" s="292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21" t="s">
        <v>532</v>
      </c>
      <c r="Q10" s="3422"/>
      <c r="R10" s="1567" t="s">
        <v>8</v>
      </c>
      <c r="S10" s="1568">
        <f t="shared" si="0"/>
        <v>0</v>
      </c>
      <c r="T10" s="1567" t="s">
        <v>8</v>
      </c>
      <c r="U10" s="1568">
        <f t="shared" si="1"/>
        <v>0</v>
      </c>
      <c r="V10" s="1567" t="s">
        <v>8</v>
      </c>
      <c r="W10" s="1568">
        <f t="shared" si="2"/>
        <v>0</v>
      </c>
      <c r="X10" s="1569"/>
      <c r="Y10" s="3421" t="s">
        <v>532</v>
      </c>
      <c r="Z10" s="3422"/>
      <c r="AA10" s="1570" t="e">
        <f t="shared" ref="AA10:AA42" si="3">D10/F10</f>
        <v>#DIV/0!</v>
      </c>
      <c r="AB10" s="1570" t="e">
        <f t="shared" ref="AB10:AB42" si="4">D10/H10</f>
        <v>#DIV/0!</v>
      </c>
      <c r="AC10" s="1570" t="e">
        <f t="shared" ref="AC10:AC42" si="5">D10/J10</f>
        <v>#DIV/0!</v>
      </c>
    </row>
    <row r="11" spans="1:29" s="1218" customFormat="1" ht="15">
      <c r="A11" s="2914"/>
      <c r="B11" s="2921" t="s">
        <v>2758</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90" t="s">
        <v>534</v>
      </c>
      <c r="Q11" s="1149" t="str">
        <f t="shared" ref="Q11:Q17" si="6">B11</f>
        <v>用途</v>
      </c>
      <c r="R11" s="1567" t="s">
        <v>8</v>
      </c>
      <c r="S11" s="1568">
        <f t="shared" si="0"/>
        <v>100</v>
      </c>
      <c r="T11" s="1567" t="s">
        <v>8</v>
      </c>
      <c r="U11" s="1568">
        <f t="shared" si="1"/>
        <v>100</v>
      </c>
      <c r="V11" s="1567" t="s">
        <v>8</v>
      </c>
      <c r="W11" s="1568">
        <f t="shared" si="2"/>
        <v>100</v>
      </c>
      <c r="X11" s="1569"/>
      <c r="Y11" s="3336" t="s">
        <v>535</v>
      </c>
      <c r="Z11" s="1148" t="str">
        <f t="shared" ref="Z11:Z17" si="7">Q11</f>
        <v>用途</v>
      </c>
      <c r="AA11" s="1570">
        <f t="shared" si="3"/>
        <v>1</v>
      </c>
      <c r="AB11" s="1570">
        <f t="shared" si="4"/>
        <v>1</v>
      </c>
      <c r="AC11" s="1570">
        <f t="shared" si="5"/>
        <v>1</v>
      </c>
    </row>
    <row r="12" spans="1:29" s="1336" customFormat="1" ht="27">
      <c r="A12" s="2915"/>
      <c r="B12" s="2920" t="s">
        <v>2759</v>
      </c>
      <c r="C12" s="527"/>
      <c r="D12" s="254">
        <v>100</v>
      </c>
      <c r="E12" s="527"/>
      <c r="F12" s="254">
        <f>ROUND(100/'数据-取费表'!G16,0)</f>
        <v>101</v>
      </c>
      <c r="G12" s="527"/>
      <c r="H12" s="254">
        <f>ROUND(100/'数据-取费表'!G16,0)</f>
        <v>101</v>
      </c>
      <c r="I12" s="527"/>
      <c r="J12" s="254">
        <f>ROUND(100/'数据-取费表'!G16,0)</f>
        <v>101</v>
      </c>
      <c r="K12" s="530"/>
      <c r="L12" s="2138"/>
      <c r="M12" s="2178"/>
      <c r="N12" s="2178"/>
      <c r="O12" s="2139"/>
      <c r="P12" s="3390"/>
      <c r="Q12" s="1149" t="str">
        <f t="shared" si="6"/>
        <v>土地使用年限（年）</v>
      </c>
      <c r="R12" s="1567" t="s">
        <v>8</v>
      </c>
      <c r="S12" s="1568">
        <f t="shared" si="0"/>
        <v>101</v>
      </c>
      <c r="T12" s="1567" t="s">
        <v>8</v>
      </c>
      <c r="U12" s="1568">
        <f t="shared" si="1"/>
        <v>101</v>
      </c>
      <c r="V12" s="1567" t="s">
        <v>8</v>
      </c>
      <c r="W12" s="1568">
        <f t="shared" si="2"/>
        <v>101</v>
      </c>
      <c r="X12" s="1569"/>
      <c r="Y12" s="3336"/>
      <c r="Z12" s="1148" t="str">
        <f t="shared" si="7"/>
        <v>土地使用年限（年）</v>
      </c>
      <c r="AA12" s="1570">
        <f t="shared" si="3"/>
        <v>0.99009900990099009</v>
      </c>
      <c r="AB12" s="1570">
        <f t="shared" si="4"/>
        <v>0.99009900990099009</v>
      </c>
      <c r="AC12" s="1570">
        <f t="shared" si="5"/>
        <v>0.99009900990099009</v>
      </c>
    </row>
    <row r="13" spans="1:29" ht="15">
      <c r="A13" s="2916"/>
      <c r="B13" s="2920" t="s">
        <v>2760</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90"/>
      <c r="Q13" s="1149" t="str">
        <f t="shared" si="6"/>
        <v>容积率</v>
      </c>
      <c r="R13" s="1567" t="s">
        <v>8</v>
      </c>
      <c r="S13" s="1568" t="e">
        <f t="shared" si="0"/>
        <v>#N/A</v>
      </c>
      <c r="T13" s="1567" t="s">
        <v>8</v>
      </c>
      <c r="U13" s="1568" t="e">
        <f t="shared" si="1"/>
        <v>#N/A</v>
      </c>
      <c r="V13" s="1567" t="s">
        <v>8</v>
      </c>
      <c r="W13" s="1568" t="e">
        <f t="shared" si="2"/>
        <v>#N/A</v>
      </c>
      <c r="X13" s="1569"/>
      <c r="Y13" s="3336"/>
      <c r="Z13" s="1148" t="str">
        <f t="shared" si="7"/>
        <v>容积率</v>
      </c>
      <c r="AA13" s="1570" t="e">
        <f t="shared" si="3"/>
        <v>#N/A</v>
      </c>
      <c r="AB13" s="1570" t="e">
        <f t="shared" si="4"/>
        <v>#N/A</v>
      </c>
      <c r="AC13" s="1570" t="e">
        <f t="shared" si="5"/>
        <v>#N/A</v>
      </c>
    </row>
    <row r="14" spans="1:29" s="1218" customFormat="1" ht="15">
      <c r="A14" s="2917"/>
      <c r="B14" s="2923">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D14/F14</f>
        <v>1</v>
      </c>
      <c r="AB14" s="1570">
        <f>D14/H14</f>
        <v>1</v>
      </c>
      <c r="AC14" s="1570">
        <f>D14/J14</f>
        <v>1</v>
      </c>
    </row>
    <row r="15" spans="1:29" ht="15">
      <c r="A15" s="2917"/>
      <c r="B15" s="2923">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90"/>
      <c r="Q15" s="1149">
        <f t="shared" si="6"/>
        <v>111</v>
      </c>
      <c r="R15" s="1567" t="s">
        <v>8</v>
      </c>
      <c r="S15" s="1568">
        <f t="shared" si="0"/>
        <v>100</v>
      </c>
      <c r="T15" s="1567" t="s">
        <v>8</v>
      </c>
      <c r="U15" s="1568">
        <f t="shared" si="1"/>
        <v>100</v>
      </c>
      <c r="V15" s="1567" t="s">
        <v>8</v>
      </c>
      <c r="W15" s="1568">
        <f t="shared" si="2"/>
        <v>100</v>
      </c>
      <c r="X15" s="1569"/>
      <c r="Y15" s="3336"/>
      <c r="Z15" s="1148">
        <f t="shared" si="7"/>
        <v>111</v>
      </c>
      <c r="AA15" s="1570">
        <f t="shared" si="3"/>
        <v>1</v>
      </c>
      <c r="AB15" s="1570">
        <f t="shared" si="4"/>
        <v>1</v>
      </c>
      <c r="AC15" s="1570">
        <f t="shared" si="5"/>
        <v>1</v>
      </c>
    </row>
    <row r="16" spans="1:29" ht="15.75" thickBot="1">
      <c r="A16" s="2918"/>
      <c r="B16" s="2924">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90"/>
      <c r="Q16" s="1149">
        <f t="shared" si="6"/>
        <v>111</v>
      </c>
      <c r="R16" s="1567" t="s">
        <v>8</v>
      </c>
      <c r="S16" s="1568">
        <f t="shared" si="0"/>
        <v>100</v>
      </c>
      <c r="T16" s="1567" t="s">
        <v>8</v>
      </c>
      <c r="U16" s="1568">
        <f t="shared" si="1"/>
        <v>100</v>
      </c>
      <c r="V16" s="1567" t="s">
        <v>8</v>
      </c>
      <c r="W16" s="1568">
        <f t="shared" si="2"/>
        <v>100</v>
      </c>
      <c r="X16" s="1569"/>
      <c r="Y16" s="3336"/>
      <c r="Z16" s="1148">
        <f t="shared" si="7"/>
        <v>111</v>
      </c>
      <c r="AA16" s="1570">
        <f t="shared" si="3"/>
        <v>1</v>
      </c>
      <c r="AB16" s="1570">
        <f t="shared" si="4"/>
        <v>1</v>
      </c>
      <c r="AC16" s="1570">
        <f t="shared" si="5"/>
        <v>1</v>
      </c>
    </row>
    <row r="17" spans="1:29" ht="57">
      <c r="A17" s="2910" t="s">
        <v>2756</v>
      </c>
      <c r="B17" s="166"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24" t="s">
        <v>539</v>
      </c>
      <c r="Q17" s="1571" t="str">
        <f t="shared" si="6"/>
        <v>产业集聚程度</v>
      </c>
      <c r="R17" s="1572" t="s">
        <v>8</v>
      </c>
      <c r="S17" s="1573">
        <f t="shared" si="0"/>
        <v>100</v>
      </c>
      <c r="T17" s="1572" t="s">
        <v>8</v>
      </c>
      <c r="U17" s="1573">
        <f t="shared" si="1"/>
        <v>100</v>
      </c>
      <c r="V17" s="1572" t="s">
        <v>8</v>
      </c>
      <c r="W17" s="1573">
        <f t="shared" si="2"/>
        <v>100</v>
      </c>
      <c r="X17" s="1566"/>
      <c r="Y17" s="3424" t="s">
        <v>539</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25"/>
      <c r="Q18" s="1571"/>
      <c r="R18" s="1572"/>
      <c r="S18" s="1573"/>
      <c r="T18" s="1572"/>
      <c r="U18" s="1573"/>
      <c r="V18" s="1572"/>
      <c r="W18" s="1573"/>
      <c r="X18" s="1566"/>
      <c r="Y18" s="3425"/>
      <c r="Z18" s="1574"/>
      <c r="AA18" s="1575">
        <v>1</v>
      </c>
      <c r="AB18" s="1575">
        <v>1</v>
      </c>
      <c r="AC18" s="1575">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25"/>
      <c r="Q22" s="1571"/>
      <c r="R22" s="1572"/>
      <c r="S22" s="1573"/>
      <c r="T22" s="1572"/>
      <c r="U22" s="1573"/>
      <c r="V22" s="1572"/>
      <c r="W22" s="1573"/>
      <c r="X22" s="1566"/>
      <c r="Y22" s="3425"/>
      <c r="Z22" s="1574"/>
      <c r="AA22" s="1575"/>
      <c r="AB22" s="1575"/>
      <c r="AC22" s="1575"/>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25"/>
      <c r="Q24" s="1571"/>
      <c r="R24" s="1572"/>
      <c r="S24" s="1573"/>
      <c r="T24" s="1572"/>
      <c r="U24" s="1573"/>
      <c r="V24" s="1572"/>
      <c r="W24" s="1573"/>
      <c r="X24" s="1566"/>
      <c r="Y24" s="3425"/>
      <c r="Z24" s="1574"/>
      <c r="AA24" s="1575">
        <v>1</v>
      </c>
      <c r="AB24" s="1575">
        <v>1</v>
      </c>
      <c r="AC24" s="1575">
        <v>1</v>
      </c>
    </row>
    <row r="25" spans="1:29" s="1218" customFormat="1" ht="42.75">
      <c r="A25" s="576"/>
      <c r="B25" s="2593" t="s">
        <v>2550</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25"/>
      <c r="Q25" s="1149" t="str">
        <f t="shared" si="8"/>
        <v>公共配套设施</v>
      </c>
      <c r="R25" s="1567" t="s">
        <v>8</v>
      </c>
      <c r="S25" s="1568">
        <f>F25</f>
        <v>100</v>
      </c>
      <c r="T25" s="1567" t="s">
        <v>8</v>
      </c>
      <c r="U25" s="1568">
        <f>H25</f>
        <v>100</v>
      </c>
      <c r="V25" s="1567" t="s">
        <v>8</v>
      </c>
      <c r="W25" s="1568">
        <f>J25</f>
        <v>100</v>
      </c>
      <c r="X25" s="1569"/>
      <c r="Y25" s="3425"/>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25"/>
      <c r="Q26" s="1149"/>
      <c r="R26" s="1567"/>
      <c r="S26" s="1568"/>
      <c r="T26" s="1567"/>
      <c r="U26" s="1568"/>
      <c r="V26" s="1567"/>
      <c r="W26" s="1568"/>
      <c r="X26" s="1569"/>
      <c r="Y26" s="3425"/>
      <c r="Z26" s="1148"/>
      <c r="AA26" s="1570">
        <v>1</v>
      </c>
      <c r="AB26" s="1570">
        <v>1</v>
      </c>
      <c r="AC26" s="1570">
        <v>1</v>
      </c>
    </row>
    <row r="27" spans="1:29" s="1218" customFormat="1" ht="28.5">
      <c r="A27" s="576"/>
      <c r="B27" s="2593" t="s">
        <v>2551</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25"/>
      <c r="Q27" s="2578" t="str">
        <f t="shared" ref="Q27" si="9">B27</f>
        <v>基础设施水平</v>
      </c>
      <c r="R27" s="1567" t="s">
        <v>8</v>
      </c>
      <c r="S27" s="1568">
        <f>F27</f>
        <v>100</v>
      </c>
      <c r="T27" s="1567" t="s">
        <v>8</v>
      </c>
      <c r="U27" s="1568">
        <f>H27</f>
        <v>100</v>
      </c>
      <c r="V27" s="1567" t="s">
        <v>8</v>
      </c>
      <c r="W27" s="1568">
        <f>J27</f>
        <v>100</v>
      </c>
      <c r="X27" s="1569"/>
      <c r="Y27" s="3425"/>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25"/>
      <c r="Q28" s="2578"/>
      <c r="R28" s="1567"/>
      <c r="S28" s="1568"/>
      <c r="T28" s="1567"/>
      <c r="U28" s="1568"/>
      <c r="V28" s="1567"/>
      <c r="W28" s="1568"/>
      <c r="X28" s="1569"/>
      <c r="Y28" s="3425"/>
      <c r="Z28" s="2575"/>
      <c r="AA28" s="1570">
        <v>1</v>
      </c>
      <c r="AB28" s="1570">
        <v>1</v>
      </c>
      <c r="AC28" s="1570">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1"/>
      <c r="B30" s="920" t="s">
        <v>547</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25"/>
      <c r="Q31" s="1571"/>
      <c r="R31" s="1572"/>
      <c r="S31" s="1573"/>
      <c r="T31" s="1572"/>
      <c r="U31" s="1573"/>
      <c r="V31" s="1572"/>
      <c r="W31" s="1573"/>
      <c r="X31" s="1566"/>
      <c r="Y31" s="3425"/>
      <c r="Z31" s="1574"/>
      <c r="AA31" s="1575">
        <v>1</v>
      </c>
      <c r="AB31" s="1575">
        <v>1</v>
      </c>
      <c r="AC31" s="1575">
        <v>1</v>
      </c>
    </row>
    <row r="32" spans="1:29" ht="15">
      <c r="A32" s="531"/>
      <c r="B32" s="526" t="s">
        <v>548</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26" t="s">
        <v>549</v>
      </c>
      <c r="Q34" s="1571">
        <f t="shared" si="8"/>
        <v>111</v>
      </c>
      <c r="R34" s="1572" t="s">
        <v>8</v>
      </c>
      <c r="S34" s="1573">
        <f t="shared" si="10"/>
        <v>100</v>
      </c>
      <c r="T34" s="1572" t="s">
        <v>8</v>
      </c>
      <c r="U34" s="1573">
        <f t="shared" si="11"/>
        <v>100</v>
      </c>
      <c r="V34" s="1572" t="s">
        <v>8</v>
      </c>
      <c r="W34" s="1573">
        <f t="shared" si="12"/>
        <v>100</v>
      </c>
      <c r="X34" s="1566"/>
      <c r="Y34" s="3427" t="s">
        <v>549</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7" t="s">
        <v>2757</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8" customFormat="1" ht="15">
      <c r="A38" s="599"/>
      <c r="B38" s="1895" t="s">
        <v>2426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8" t="str">
        <f t="shared" si="13"/>
        <v>宗地开发程度</v>
      </c>
      <c r="AA38" s="1570">
        <f t="shared" si="3"/>
        <v>1</v>
      </c>
      <c r="AB38" s="1570">
        <f t="shared" si="4"/>
        <v>1</v>
      </c>
      <c r="AC38" s="1570">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27" t="s">
        <v>600</v>
      </c>
      <c r="Q39" s="1571" t="str">
        <f t="shared" si="14"/>
        <v>工程地质条件</v>
      </c>
      <c r="R39" s="1572" t="s">
        <v>8</v>
      </c>
      <c r="S39" s="1573">
        <f t="shared" si="10"/>
        <v>100</v>
      </c>
      <c r="T39" s="1572" t="s">
        <v>8</v>
      </c>
      <c r="U39" s="1573">
        <f t="shared" si="11"/>
        <v>100</v>
      </c>
      <c r="V39" s="1572" t="s">
        <v>8</v>
      </c>
      <c r="W39" s="1573">
        <f t="shared" si="12"/>
        <v>100</v>
      </c>
      <c r="X39" s="1566"/>
      <c r="Y39" s="3427" t="s">
        <v>600</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6" t="s">
        <v>555</v>
      </c>
      <c r="B43" s="607" t="s">
        <v>2933</v>
      </c>
      <c r="C43" s="608" t="s">
        <v>1</v>
      </c>
      <c r="D43" s="609"/>
      <c r="E43" s="610"/>
      <c r="F43" s="611"/>
      <c r="G43" s="612"/>
      <c r="H43" s="613"/>
      <c r="I43" s="610"/>
      <c r="J43" s="613"/>
      <c r="K43" s="1338"/>
      <c r="L43" s="2144"/>
      <c r="M43" s="2134"/>
      <c r="N43" s="2134"/>
      <c r="O43" s="2145"/>
      <c r="P43" s="3390" t="str">
        <f>A43</f>
        <v>成交单价</v>
      </c>
      <c r="Q43" s="3390"/>
      <c r="R43" s="3391">
        <f>E43</f>
        <v>0</v>
      </c>
      <c r="S43" s="3391"/>
      <c r="T43" s="3391">
        <f>G43</f>
        <v>0</v>
      </c>
      <c r="U43" s="3391"/>
      <c r="V43" s="3391">
        <f>I43</f>
        <v>0</v>
      </c>
      <c r="W43" s="3391"/>
      <c r="X43" s="1558"/>
      <c r="Y43" s="1580"/>
      <c r="Z43" s="1558"/>
      <c r="AA43" s="1558"/>
      <c r="AB43" s="1558"/>
      <c r="AC43" s="1558"/>
    </row>
    <row r="44" spans="1:29" ht="15.75" thickBot="1">
      <c r="A44" s="614" t="s">
        <v>2695</v>
      </c>
      <c r="B44" s="615"/>
      <c r="C44" s="616" t="e">
        <f>R45</f>
        <v>#DIV/0!</v>
      </c>
      <c r="D44" s="617"/>
      <c r="E44" s="616" t="e">
        <f>R44</f>
        <v>#DIV/0!</v>
      </c>
      <c r="F44" s="618"/>
      <c r="G44" s="619" t="e">
        <f>T44</f>
        <v>#DIV/0!</v>
      </c>
      <c r="H44" s="617"/>
      <c r="I44" s="616" t="e">
        <f>V44</f>
        <v>#DIV/0!</v>
      </c>
      <c r="J44" s="617"/>
      <c r="K44" s="1339"/>
      <c r="L44" s="2144"/>
      <c r="M44" s="2134"/>
      <c r="N44" s="2134"/>
      <c r="O44" s="2145"/>
      <c r="P44" s="3390" t="str">
        <f>A44</f>
        <v>比较价格（元/平方米）</v>
      </c>
      <c r="Q44" s="3390"/>
      <c r="R44" s="3392" t="e">
        <f>ROUND(PRODUCT(R43,AA9:AA42),0)</f>
        <v>#DIV/0!</v>
      </c>
      <c r="S44" s="3392"/>
      <c r="T44" s="3392" t="e">
        <f>ROUND(PRODUCT(T43,AB9:AB42),0)</f>
        <v>#DIV/0!</v>
      </c>
      <c r="U44" s="3392"/>
      <c r="V44" s="3392" t="e">
        <f>ROUND(PRODUCT(V43,AC9:AC42),0)</f>
        <v>#DIV/0!</v>
      </c>
      <c r="W44" s="3392"/>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0"/>
      <c r="L45" s="2144"/>
      <c r="M45" s="2134"/>
      <c r="N45" s="2134"/>
      <c r="O45" s="2145"/>
      <c r="P45" s="3387" t="str">
        <f>A45</f>
        <v>估价对象XX用房的比较价格（楼面单价，元/平方米）</v>
      </c>
      <c r="Q45" s="3388"/>
      <c r="R45" s="3389" t="e">
        <f>ROUND(AVERAGE(R44:V44),0)</f>
        <v>#DIV/0!</v>
      </c>
      <c r="S45" s="3389"/>
      <c r="T45" s="3389"/>
      <c r="U45" s="3389"/>
      <c r="V45" s="3389"/>
      <c r="W45" s="338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559</v>
      </c>
      <c r="B52" s="629" t="s">
        <v>560</v>
      </c>
      <c r="C52" s="1559" t="s">
        <v>1724</v>
      </c>
      <c r="D52" s="2227" t="s">
        <v>2295</v>
      </c>
      <c r="E52" s="630" t="s">
        <v>561</v>
      </c>
      <c r="F52" s="1951" t="s">
        <v>562</v>
      </c>
      <c r="G52" s="3434" t="s">
        <v>2286</v>
      </c>
      <c r="H52" s="3435"/>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563</v>
      </c>
      <c r="B53" s="633" t="e">
        <f>C45</f>
        <v>#DIV/0!</v>
      </c>
      <c r="C53" s="634">
        <v>1</v>
      </c>
      <c r="D53" s="2228">
        <v>1</v>
      </c>
      <c r="E53" s="634">
        <f>'数据-汇总表'!E8+'数据-汇总表'!E9</f>
        <v>32489</v>
      </c>
      <c r="F53" s="1950" t="e">
        <f t="shared" ref="F53:F62" si="15">ROUND(B53*E53/10000,0)</f>
        <v>#DIV/0!</v>
      </c>
      <c r="G53" s="3436"/>
      <c r="H53" s="3437"/>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564</v>
      </c>
      <c r="B54" s="637" t="e">
        <f>ROUND($C$45*C54*D54,0)</f>
        <v>#DIV/0!</v>
      </c>
      <c r="C54" s="377">
        <f t="shared" ref="C54:C62" si="16">IF($C$52="北京市系数",I54,J54)</f>
        <v>0</v>
      </c>
      <c r="D54" s="2229">
        <v>0.25</v>
      </c>
      <c r="E54" s="638"/>
      <c r="F54" s="1950" t="e">
        <f t="shared" si="15"/>
        <v>#DIV/0!</v>
      </c>
      <c r="G54" s="3438"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565</v>
      </c>
      <c r="B55" s="637" t="e">
        <f t="shared" ref="B55:B62" si="17">ROUND($C$45*C55*D55,0)</f>
        <v>#DIV/0!</v>
      </c>
      <c r="C55" s="377">
        <f t="shared" si="16"/>
        <v>0</v>
      </c>
      <c r="D55" s="2229">
        <v>0.25</v>
      </c>
      <c r="E55" s="638"/>
      <c r="F55" s="1950" t="e">
        <f t="shared" si="15"/>
        <v>#DIV/0!</v>
      </c>
      <c r="G55" s="3438"/>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566</v>
      </c>
      <c r="B56" s="637" t="e">
        <f t="shared" si="17"/>
        <v>#DIV/0!</v>
      </c>
      <c r="C56" s="377">
        <f t="shared" si="16"/>
        <v>0</v>
      </c>
      <c r="D56" s="2229">
        <v>0.25</v>
      </c>
      <c r="E56" s="638"/>
      <c r="F56" s="1950" t="e">
        <f t="shared" si="15"/>
        <v>#DIV/0!</v>
      </c>
      <c r="G56" s="3438"/>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567</v>
      </c>
      <c r="B57" s="637" t="e">
        <f t="shared" si="17"/>
        <v>#DIV/0!</v>
      </c>
      <c r="C57" s="377">
        <f t="shared" si="16"/>
        <v>0</v>
      </c>
      <c r="D57" s="2229">
        <v>0.25</v>
      </c>
      <c r="E57" s="638"/>
      <c r="F57" s="1950" t="e">
        <f t="shared" si="15"/>
        <v>#DIV/0!</v>
      </c>
      <c r="G57" s="3438"/>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2330</v>
      </c>
      <c r="B58" s="637" t="e">
        <f t="shared" si="17"/>
        <v>#DIV/0!</v>
      </c>
      <c r="C58" s="377">
        <f t="shared" si="16"/>
        <v>0</v>
      </c>
      <c r="D58" s="2229">
        <v>0.25</v>
      </c>
      <c r="E58" s="640">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568</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569</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570</v>
      </c>
      <c r="B61" s="637" t="e">
        <f t="shared" si="17"/>
        <v>#DIV/0!</v>
      </c>
      <c r="C61" s="377">
        <f t="shared" si="16"/>
        <v>0</v>
      </c>
      <c r="D61" s="2229">
        <v>0.25</v>
      </c>
      <c r="E61" s="640">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571</v>
      </c>
      <c r="B62" s="637" t="e">
        <f t="shared" si="17"/>
        <v>#DIV/0!</v>
      </c>
      <c r="C62" s="377">
        <f t="shared" si="16"/>
        <v>0</v>
      </c>
      <c r="D62" s="2229">
        <v>0.25</v>
      </c>
      <c r="E62" s="640">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572</v>
      </c>
      <c r="B63" s="642" t="s">
        <v>17</v>
      </c>
      <c r="C63" s="642" t="s">
        <v>18</v>
      </c>
      <c r="D63" s="642" t="s">
        <v>2296</v>
      </c>
      <c r="E63" s="642">
        <f>IF(B43="楼面地价",SUM(E53:E62),'数据-汇总表'!D3)</f>
        <v>21659.53</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2535</v>
      </c>
      <c r="B67" s="645"/>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2651</v>
      </c>
      <c r="B68" s="478" t="str">
        <f>"北京市平均增长率"&amp;TEXT(基准地价!P24,"0.00%")</f>
        <v>北京市平均增长率1.35%</v>
      </c>
      <c r="C68" s="893">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574</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530</v>
      </c>
      <c r="B70" s="647"/>
      <c r="C70" s="659" t="s">
        <v>575</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576</v>
      </c>
      <c r="B72" s="664" t="s">
        <v>533</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536</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538</v>
      </c>
      <c r="B85" s="664" t="s">
        <v>601</v>
      </c>
      <c r="C85" s="702" t="s">
        <v>578</v>
      </c>
      <c r="D85" s="702" t="s">
        <v>579</v>
      </c>
      <c r="E85" s="702" t="s">
        <v>580</v>
      </c>
      <c r="F85" s="702" t="s">
        <v>581</v>
      </c>
      <c r="G85" s="702" t="s">
        <v>582</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585</v>
      </c>
      <c r="C87" s="707" t="s">
        <v>578</v>
      </c>
      <c r="D87" s="707" t="s">
        <v>579</v>
      </c>
      <c r="E87" s="707" t="s">
        <v>580</v>
      </c>
      <c r="F87" s="707" t="s">
        <v>581</v>
      </c>
      <c r="G87" s="707" t="s">
        <v>582</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2550</v>
      </c>
      <c r="C93" s="702" t="s">
        <v>578</v>
      </c>
      <c r="D93" s="702" t="s">
        <v>579</v>
      </c>
      <c r="E93" s="702" t="s">
        <v>580</v>
      </c>
      <c r="F93" s="702" t="s">
        <v>581</v>
      </c>
      <c r="G93" s="702" t="s">
        <v>582</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2552</v>
      </c>
      <c r="C95" s="2598" t="s">
        <v>2553</v>
      </c>
      <c r="D95" s="2598" t="s">
        <v>2554</v>
      </c>
      <c r="E95" s="2598" t="s">
        <v>2555</v>
      </c>
      <c r="F95" s="2598" t="s">
        <v>2556</v>
      </c>
      <c r="G95" s="2598" t="s">
        <v>2557</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588</v>
      </c>
      <c r="D97" s="673" t="s">
        <v>589</v>
      </c>
      <c r="E97" s="673" t="s">
        <v>590</v>
      </c>
      <c r="F97" s="673" t="s">
        <v>591</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547</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548</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593</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2427</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595</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2935</v>
      </c>
      <c r="G3" s="1037">
        <f>IF(F3="宗地容积率",'数据-汇总表'!I4,IF(F3="估价对象容积率",'数据-汇总表'!I6,'数据-汇总表'!I7))</f>
        <v>1.5</v>
      </c>
      <c r="H3" s="1413" t="s">
        <v>928</v>
      </c>
      <c r="I3" s="1038">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19">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48" t="str">
        <f>IF(E2="商业",IF(C8="不临58条商业街","",2),"")</f>
        <v/>
      </c>
      <c r="B7" s="1426" t="s">
        <v>931</v>
      </c>
      <c r="C7" s="1041" t="e">
        <f>IF(C8="不临58条商业街",1,ROUND(1+(1.6*E8+1.2*E9+0.8*E10+0.4*E11)*C9,4))</f>
        <v>#DIV/0!</v>
      </c>
      <c r="D7" s="1427" t="s">
        <v>932</v>
      </c>
      <c r="E7" s="1042"/>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1.5</v>
      </c>
      <c r="AA7" s="2192"/>
      <c r="AB7" s="2192"/>
      <c r="AC7" s="2193"/>
      <c r="AD7" s="2929"/>
      <c r="AE7" s="2929"/>
      <c r="AF7" s="2929"/>
      <c r="AG7" s="2929"/>
      <c r="AH7" s="2929"/>
      <c r="AI7" s="2929"/>
      <c r="AJ7" s="2930"/>
    </row>
    <row r="8" spans="1:39" ht="15">
      <c r="A8" s="3449"/>
      <c r="B8" s="1413" t="s">
        <v>933</v>
      </c>
      <c r="C8" s="1528"/>
      <c r="D8" s="1043" t="s">
        <v>934</v>
      </c>
      <c r="E8" s="1044"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0" t="s">
        <v>2785</v>
      </c>
      <c r="X8" s="3441"/>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49"/>
      <c r="B9" s="1413" t="s">
        <v>936</v>
      </c>
      <c r="C9" s="1045">
        <f>SUMIF(修正!C59:C119,C8,修正!E59:E119)</f>
        <v>0</v>
      </c>
      <c r="D9" s="1046" t="s">
        <v>937</v>
      </c>
      <c r="E9" s="1046"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39" t="s">
        <v>2781</v>
      </c>
      <c r="X9" s="2931" t="s">
        <v>2782</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49"/>
      <c r="B10" s="1413" t="s">
        <v>939</v>
      </c>
      <c r="C10" s="1046">
        <f>SUMIF(修正!C59:C119,C8,修正!F59:F119)</f>
        <v>0</v>
      </c>
      <c r="D10" s="1046" t="s">
        <v>940</v>
      </c>
      <c r="E10" s="1046"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39"/>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49"/>
      <c r="B11" s="1434" t="s">
        <v>942</v>
      </c>
      <c r="C11" s="1047">
        <f>C10/4</f>
        <v>0</v>
      </c>
      <c r="D11" s="1047" t="s">
        <v>943</v>
      </c>
      <c r="E11" s="1047"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39" t="s">
        <v>2783</v>
      </c>
      <c r="X11" s="1046" t="s">
        <v>2768</v>
      </c>
      <c r="Y11" s="1652">
        <f>$G$3</f>
        <v>1.5</v>
      </c>
      <c r="Z11" s="1652">
        <f t="shared" ref="Z11:AJ11" si="3">$G$3</f>
        <v>1.5</v>
      </c>
      <c r="AA11" s="1652">
        <f t="shared" si="3"/>
        <v>1.5</v>
      </c>
      <c r="AB11" s="1652">
        <f t="shared" si="3"/>
        <v>1.5</v>
      </c>
      <c r="AC11" s="1652">
        <f t="shared" si="3"/>
        <v>1.5</v>
      </c>
      <c r="AD11" s="1652">
        <f t="shared" si="3"/>
        <v>1.5</v>
      </c>
      <c r="AE11" s="1652">
        <f t="shared" si="3"/>
        <v>1.5</v>
      </c>
      <c r="AF11" s="1652">
        <f t="shared" si="3"/>
        <v>1.5</v>
      </c>
      <c r="AG11" s="1652">
        <f t="shared" si="3"/>
        <v>1.5</v>
      </c>
      <c r="AH11" s="1652">
        <f t="shared" si="3"/>
        <v>1.5</v>
      </c>
      <c r="AI11" s="1652">
        <f t="shared" si="3"/>
        <v>1.5</v>
      </c>
      <c r="AJ11" s="1652">
        <f t="shared" si="3"/>
        <v>1.5</v>
      </c>
    </row>
    <row r="12" spans="1:39" ht="25.5" thickBot="1">
      <c r="A12" s="3448" t="s">
        <v>1871</v>
      </c>
      <c r="B12" s="1438" t="s">
        <v>945</v>
      </c>
      <c r="C12" s="1041">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39"/>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0"/>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39"/>
      <c r="X13" s="2934"/>
      <c r="Y13" s="2933">
        <f>(-0.163*(Y12^2)-0.59*Y12+7617)*(10^(-4))/Y11</f>
        <v>0.50780000000000003</v>
      </c>
      <c r="Z13" s="2933">
        <f t="shared" ref="Z13:AJ13" si="5">(-0.163*(Z12^2)-0.59*Z12+7617)*(10^(-4))/Z11</f>
        <v>0.50780000000000003</v>
      </c>
      <c r="AA13" s="2933">
        <f t="shared" si="5"/>
        <v>0.50780000000000003</v>
      </c>
      <c r="AB13" s="2933">
        <f t="shared" si="5"/>
        <v>0.50780000000000003</v>
      </c>
      <c r="AC13" s="2933">
        <f t="shared" si="5"/>
        <v>0.50780000000000003</v>
      </c>
      <c r="AD13" s="2933">
        <f t="shared" si="5"/>
        <v>0.50780000000000003</v>
      </c>
      <c r="AE13" s="2933">
        <f t="shared" si="5"/>
        <v>0.50780000000000003</v>
      </c>
      <c r="AF13" s="2933">
        <f t="shared" si="5"/>
        <v>0.50780000000000003</v>
      </c>
      <c r="AG13" s="2933">
        <f t="shared" si="5"/>
        <v>0.50780000000000003</v>
      </c>
      <c r="AH13" s="2933">
        <f t="shared" si="5"/>
        <v>0.50780000000000003</v>
      </c>
      <c r="AI13" s="2933">
        <f t="shared" si="5"/>
        <v>0.50780000000000003</v>
      </c>
      <c r="AJ13" s="2933">
        <f t="shared" si="5"/>
        <v>0.50780000000000003</v>
      </c>
    </row>
    <row r="14" spans="1:39" ht="12.75" customHeight="1" thickBot="1">
      <c r="A14" s="3450"/>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51"/>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48"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49"/>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43276</v>
      </c>
      <c r="H19" s="1474" t="s">
        <v>2936</v>
      </c>
      <c r="I19" s="2784" t="str">
        <f>IF(H19="季度增幅（自定义）",SUMIF(N21:N24,E2,O21:O24),"")</f>
        <v/>
      </c>
      <c r="J19" s="1470"/>
      <c r="K19" s="1480"/>
      <c r="L19" s="3040" t="s">
        <v>2843</v>
      </c>
      <c r="M19" s="3041">
        <f>ROUND(SUMIF(地价!B2:F2,E2,地价!B22:F22),0)</f>
        <v>0</v>
      </c>
      <c r="N19" s="2786" t="s">
        <v>1676</v>
      </c>
      <c r="O19" s="2785">
        <f>ROUNDDOWN(DATEDIF(E19,G19,"M")/3,0)</f>
        <v>17</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4">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ROUND(SUMPRODUCT((地价!A4:A22=YEAR(G19)&amp;"-"&amp;ROUNDUP(MONTH(G19)/3,0))*(地价!B2:F2=E2)*(地价!B4:F22)),0)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6">
        <f>IF(B21="容积率修正",IF(G3&lt;=10,D22,J22),C23)</f>
        <v>0</v>
      </c>
      <c r="D21" s="1480"/>
      <c r="E21" s="1480"/>
      <c r="F21" s="1480"/>
      <c r="G21" s="1480"/>
      <c r="H21" s="1480"/>
      <c r="I21" s="1480"/>
      <c r="J21" s="1481"/>
      <c r="K21" s="1480"/>
      <c r="L21" s="1480"/>
      <c r="M21" s="1480"/>
      <c r="N21" s="1477" t="s">
        <v>975</v>
      </c>
      <c r="O21" s="1541"/>
      <c r="P21" s="2769">
        <f>SUMPRODUCT((地价!A3:A22=YEAR(G19)&amp;"-"&amp;ROUNDUP(MONTH(G19)/3,0))*(地价!AD2:AH2=N21)*(地价!AD3:AH22))</f>
        <v>1.5699999999999999E-2</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1.5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69">
        <f>SUMPRODUCT((地价!A3:A22=YEAR(G19)&amp;"-"&amp;ROUNDUP(MONTH(G19)/3,0))*(地价!AD2:AH2=N22)*(地价!AD3:AH22))</f>
        <v>1.5699999999999999E-2</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SUMPRODUCT((地价!A3:A22=YEAR(G19)&amp;"-"&amp;ROUNDUP(MONTH(G19)/3,0))*(地价!AD2:AH2=N23)*(地价!AD3:AH22))</f>
        <v>2.5000000000000001E-2</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1.35E-2</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SUMPRODUCT((地价!A3:A22=YEAR(G19)&amp;"-"&amp;ROUNDUP(MONTH(G19)/3,0))*(地价!AD2:AH2=N25)*(地价!AD3:AH22))</f>
        <v>2.2700000000000001E-2</v>
      </c>
      <c r="R25" s="2925"/>
      <c r="S25" s="2925"/>
      <c r="T25" s="2925"/>
      <c r="U25" s="2925"/>
      <c r="V25" s="2925"/>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54" t="s">
        <v>2962</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55"/>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55"/>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6"/>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1020</v>
      </c>
      <c r="B47" s="2411" t="str">
        <f>估价对象房地状况!C16</f>
        <v>多为社区底商，一般</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24">
      <c r="A48" s="1065" t="s">
        <v>1021</v>
      </c>
      <c r="B48" s="2408" t="str">
        <f>估价对象房地状况!C18</f>
        <v>临支路，1公里内无公共交通，较差</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08" t="str">
        <f>估价对象房地状况!C19</f>
        <v>较不一致</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096" t="s">
        <v>2938</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08" t="str">
        <f>估价对象房地状况!C24</f>
        <v>支路——芷阳二路</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095" t="s">
        <v>2937</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估价对象所在区域公共配套设施齐备情况一般</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估价对象所在区域基础设施水平七通</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48.75" thickBot="1">
      <c r="A55" s="2441" t="s">
        <v>1028</v>
      </c>
      <c r="B55" s="2412" t="str">
        <f>估价对象房地状况!C20</f>
        <v>贾平凹文化艺术馆、鹦鹉寺公园、西安工程大学、北京大学光华管理学院西安分院，较好</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1030</v>
      </c>
      <c r="B58" s="2411" t="str">
        <f>估价对象房地状况!C17</f>
        <v>估价对象位于XX商圈，周边办公楼项目较多，入驻率高，办公集聚程度较好</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24">
      <c r="A59" s="1065" t="s">
        <v>1021</v>
      </c>
      <c r="B59" s="2408" t="str">
        <f>估价对象房地状况!C18</f>
        <v>临支路，1公里内无公共交通，较差</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08" t="str">
        <f>估价对象房地状况!C19</f>
        <v>较不一致</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096" t="s">
        <v>2939</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08" t="str">
        <f>估价对象房地状况!C24</f>
        <v>支路——芷阳二路</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095" t="s">
        <v>2937</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09" t="str">
        <f>估价对象房地状况!C21</f>
        <v>估价对象所在区域公共配套设施齐备情况一般</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09" t="str">
        <f>估价对象房地状况!C22</f>
        <v>估价对象所在区域基础设施水平七通</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48.75" thickBot="1">
      <c r="A66" s="2441" t="s">
        <v>1028</v>
      </c>
      <c r="B66" s="2413" t="str">
        <f>估价对象房地状况!C20</f>
        <v>贾平凹文化艺术馆、鹦鹉寺公园、西安工程大学、北京大学光华管理学院西安分院，较好</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1032</v>
      </c>
      <c r="B69" s="2411" t="str">
        <f>估价对象房地状况!C15</f>
        <v>骊山新家园、骊山下的院子，一般</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24">
      <c r="A70" s="1065" t="s">
        <v>1033</v>
      </c>
      <c r="B70" s="2408" t="str">
        <f>估价对象房地状况!C18</f>
        <v>临支路，1公里内无公共交通，较差</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08" t="str">
        <f>估价对象房地状况!C19</f>
        <v>较不一致</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08" t="str">
        <f>估价对象房地状况!C24</f>
        <v>支路——芷阳二路</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09" t="str">
        <f>估价对象房地状况!C21</f>
        <v>估价对象所在区域公共配套设施齐备情况一般</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09" t="str">
        <f>估价对象房地状况!C22</f>
        <v>估价对象所在区域基础设施水平七通</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095" t="s">
        <v>2937</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48">
      <c r="A76" s="1065" t="s">
        <v>1028</v>
      </c>
      <c r="B76" s="2411" t="str">
        <f>估价对象房地状况!C20</f>
        <v>贾平凹文化艺术馆、鹦鹉寺公园、西安工程大学、北京大学光华管理学院西安分院，较好</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5" t="s">
        <v>1037</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1033</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1022</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1034</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1026</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1027</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1025</v>
      </c>
      <c r="B86" s="3095" t="s">
        <v>2937</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52" t="s">
        <v>1633</v>
      </c>
      <c r="B90" s="3452"/>
      <c r="C90" s="3452"/>
      <c r="D90" s="3452"/>
      <c r="E90" s="3452"/>
      <c r="F90" s="3452"/>
      <c r="G90" s="3452"/>
      <c r="H90" s="3452"/>
      <c r="I90" s="3452"/>
      <c r="J90" s="3452"/>
      <c r="K90" s="2450"/>
      <c r="L90" s="2450"/>
      <c r="M90" s="2450"/>
      <c r="N90" s="2450"/>
    </row>
    <row r="91" spans="1:40">
      <c r="A91" s="3453" t="s">
        <v>1443</v>
      </c>
      <c r="B91" s="3453" t="s">
        <v>1634</v>
      </c>
      <c r="C91" s="1138" t="s">
        <v>1635</v>
      </c>
      <c r="D91" s="1139"/>
      <c r="E91" s="1139"/>
      <c r="F91" s="1139"/>
      <c r="G91" s="1139"/>
      <c r="H91" s="1139"/>
      <c r="I91" s="1139"/>
      <c r="J91" s="1140"/>
      <c r="K91" s="1132"/>
      <c r="L91" s="1132"/>
      <c r="M91" s="1132"/>
      <c r="N91" s="1132"/>
    </row>
    <row r="92" spans="1:40">
      <c r="A92" s="3453"/>
      <c r="B92" s="3453"/>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42" t="s">
        <v>2766</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4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4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4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4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4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43"/>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4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42" t="s">
        <v>1637</v>
      </c>
      <c r="B101" s="1145" t="s">
        <v>905</v>
      </c>
      <c r="C101" s="1146">
        <f>$G$3</f>
        <v>1.5</v>
      </c>
      <c r="D101" s="1146">
        <f t="shared" ref="D101:N101" si="31">$G$3</f>
        <v>1.5</v>
      </c>
      <c r="E101" s="1146">
        <f t="shared" si="31"/>
        <v>1.5</v>
      </c>
      <c r="F101" s="1146">
        <f t="shared" si="31"/>
        <v>1.5</v>
      </c>
      <c r="G101" s="1146">
        <f t="shared" si="31"/>
        <v>1.5</v>
      </c>
      <c r="H101" s="1146">
        <f t="shared" si="31"/>
        <v>1.5</v>
      </c>
      <c r="I101" s="1146">
        <f t="shared" si="31"/>
        <v>1.5</v>
      </c>
      <c r="J101" s="1146">
        <f t="shared" si="31"/>
        <v>1.5</v>
      </c>
      <c r="K101" s="1146">
        <f t="shared" si="31"/>
        <v>1.5</v>
      </c>
      <c r="L101" s="1146">
        <f t="shared" si="31"/>
        <v>1.5</v>
      </c>
      <c r="M101" s="1146">
        <f t="shared" si="31"/>
        <v>1.5</v>
      </c>
      <c r="N101" s="1146">
        <f t="shared" si="31"/>
        <v>1.5</v>
      </c>
    </row>
    <row r="102" spans="1:14">
      <c r="A102" s="3443"/>
      <c r="B102" s="1141">
        <v>1</v>
      </c>
      <c r="C102" s="1142">
        <f>1.9362/C101</f>
        <v>1.2907999999999999</v>
      </c>
      <c r="D102" s="1142">
        <f>1.9362/D101</f>
        <v>1.2907999999999999</v>
      </c>
      <c r="E102" s="1142">
        <f>1.8629/E101</f>
        <v>1.2419333333333333</v>
      </c>
      <c r="F102" s="1142">
        <f>1.8629/F101</f>
        <v>1.2419333333333333</v>
      </c>
      <c r="G102" s="1142">
        <f>1.8629/G101</f>
        <v>1.2419333333333333</v>
      </c>
      <c r="H102" s="1142">
        <f>1.8629/H101</f>
        <v>1.2419333333333333</v>
      </c>
      <c r="I102" s="1142">
        <f>1.8629/I101</f>
        <v>1.2419333333333333</v>
      </c>
      <c r="J102" s="1142">
        <f>1.942/J101</f>
        <v>1.2946666666666666</v>
      </c>
      <c r="K102" s="1142">
        <f>1.942/K101</f>
        <v>1.2946666666666666</v>
      </c>
      <c r="L102" s="1142">
        <f>1.942/L101</f>
        <v>1.2946666666666666</v>
      </c>
      <c r="M102" s="1142">
        <f>1.942/M101</f>
        <v>1.2946666666666666</v>
      </c>
      <c r="N102" s="1142">
        <f>1.942/N101</f>
        <v>1.2946666666666666</v>
      </c>
    </row>
    <row r="103" spans="1:14">
      <c r="A103" s="3443"/>
      <c r="B103" s="1141">
        <v>2</v>
      </c>
      <c r="C103" s="1142">
        <f>1.4198/C101</f>
        <v>0.94653333333333334</v>
      </c>
      <c r="D103" s="1142">
        <f>1.4198/D101</f>
        <v>0.94653333333333334</v>
      </c>
      <c r="E103" s="1142">
        <f>1.3372/E101</f>
        <v>0.89146666666666663</v>
      </c>
      <c r="F103" s="1142">
        <f>1.3372/F101</f>
        <v>0.89146666666666663</v>
      </c>
      <c r="G103" s="1142">
        <f>1.3372/G101</f>
        <v>0.89146666666666663</v>
      </c>
      <c r="H103" s="1142">
        <f>1.3372/H101</f>
        <v>0.89146666666666663</v>
      </c>
      <c r="I103" s="1142">
        <f>1.3372/I101</f>
        <v>0.89146666666666663</v>
      </c>
      <c r="J103" s="1142">
        <f>1.2799/J101</f>
        <v>0.85326666666666673</v>
      </c>
      <c r="K103" s="1142">
        <f>1.2799/K101</f>
        <v>0.85326666666666673</v>
      </c>
      <c r="L103" s="1142">
        <f>1.2799/L101</f>
        <v>0.85326666666666673</v>
      </c>
      <c r="M103" s="1142">
        <f>1.2799/M101</f>
        <v>0.85326666666666673</v>
      </c>
      <c r="N103" s="1142">
        <f>1.2799/N101</f>
        <v>0.85326666666666673</v>
      </c>
    </row>
    <row r="104" spans="1:14">
      <c r="A104" s="3443"/>
      <c r="B104" s="1141">
        <v>3</v>
      </c>
      <c r="C104" s="1142">
        <f>1.1594/C101</f>
        <v>0.77293333333333336</v>
      </c>
      <c r="D104" s="1142">
        <f>1.1594/D101</f>
        <v>0.77293333333333336</v>
      </c>
      <c r="E104" s="1142">
        <f>1.0788/E101</f>
        <v>0.71919999999999995</v>
      </c>
      <c r="F104" s="1142">
        <f>1.0788/F101</f>
        <v>0.71919999999999995</v>
      </c>
      <c r="G104" s="1142">
        <f>1.0788/G101</f>
        <v>0.71919999999999995</v>
      </c>
      <c r="H104" s="1142">
        <f>1.0788/H101</f>
        <v>0.71919999999999995</v>
      </c>
      <c r="I104" s="1142">
        <f>1.0788/I101</f>
        <v>0.71919999999999995</v>
      </c>
      <c r="J104" s="1142">
        <f>1.0072/J101</f>
        <v>0.67146666666666677</v>
      </c>
      <c r="K104" s="1142">
        <f>1.0072/K101</f>
        <v>0.67146666666666677</v>
      </c>
      <c r="L104" s="1142">
        <f>1.0072/L101</f>
        <v>0.67146666666666677</v>
      </c>
      <c r="M104" s="1142">
        <f>1.0072/M101</f>
        <v>0.67146666666666677</v>
      </c>
      <c r="N104" s="1142">
        <f>1.0072/N101</f>
        <v>0.67146666666666677</v>
      </c>
    </row>
    <row r="105" spans="1:14">
      <c r="A105" s="3443"/>
      <c r="B105" s="1141">
        <v>4</v>
      </c>
      <c r="C105" s="1142">
        <f>0.9622/C101</f>
        <v>0.64146666666666674</v>
      </c>
      <c r="D105" s="1142">
        <f>0.9622/D101</f>
        <v>0.64146666666666674</v>
      </c>
      <c r="E105" s="1142">
        <f>0.8656/E101</f>
        <v>0.57706666666666673</v>
      </c>
      <c r="F105" s="1142">
        <f>0.8656/F101</f>
        <v>0.57706666666666673</v>
      </c>
      <c r="G105" s="1142">
        <f>0.8656/G101</f>
        <v>0.57706666666666673</v>
      </c>
      <c r="H105" s="1142">
        <f>0.8656/H101</f>
        <v>0.57706666666666673</v>
      </c>
      <c r="I105" s="1142">
        <f>0.8656/I101</f>
        <v>0.57706666666666673</v>
      </c>
      <c r="J105" s="1142">
        <f>0.7525/J101</f>
        <v>0.50166666666666659</v>
      </c>
      <c r="K105" s="1142">
        <f>0.7525/K101</f>
        <v>0.50166666666666659</v>
      </c>
      <c r="L105" s="1142">
        <f>0.7525/L101</f>
        <v>0.50166666666666659</v>
      </c>
      <c r="M105" s="1142">
        <f>0.7525/M101</f>
        <v>0.50166666666666659</v>
      </c>
      <c r="N105" s="1142">
        <f>0.7525/N101</f>
        <v>0.50166666666666659</v>
      </c>
    </row>
    <row r="106" spans="1:14">
      <c r="A106" s="3443"/>
      <c r="B106" s="1141">
        <v>5</v>
      </c>
      <c r="C106" s="1142">
        <f>0.8417/C101</f>
        <v>0.56113333333333337</v>
      </c>
      <c r="D106" s="1142">
        <f>0.8417/D101</f>
        <v>0.56113333333333337</v>
      </c>
      <c r="E106" s="1142">
        <f>0.7371/E101</f>
        <v>0.4914</v>
      </c>
      <c r="F106" s="1142">
        <f>0.7371/F101</f>
        <v>0.4914</v>
      </c>
      <c r="G106" s="1142">
        <f>0.7371/G101</f>
        <v>0.4914</v>
      </c>
      <c r="H106" s="1142">
        <f>0.7371/H101</f>
        <v>0.4914</v>
      </c>
      <c r="I106" s="1142">
        <f>0.7371/I101</f>
        <v>0.4914</v>
      </c>
      <c r="J106" s="1142">
        <f>0.5659/J101</f>
        <v>0.37726666666666664</v>
      </c>
      <c r="K106" s="1142">
        <f>0.5659/K101</f>
        <v>0.37726666666666664</v>
      </c>
      <c r="L106" s="1142">
        <f>0.5659/L101</f>
        <v>0.37726666666666664</v>
      </c>
      <c r="M106" s="1142">
        <f>0.5659/M101</f>
        <v>0.37726666666666664</v>
      </c>
      <c r="N106" s="1142">
        <f>0.5659/N101</f>
        <v>0.37726666666666664</v>
      </c>
    </row>
    <row r="107" spans="1:14">
      <c r="A107" s="3443"/>
      <c r="B107" s="1141">
        <v>6</v>
      </c>
      <c r="C107" s="1142">
        <f>0.7608/C101</f>
        <v>0.50719999999999998</v>
      </c>
      <c r="D107" s="1142">
        <f>0.7608/D101</f>
        <v>0.50719999999999998</v>
      </c>
      <c r="E107" s="1142">
        <f>0.6482/E101</f>
        <v>0.43213333333333331</v>
      </c>
      <c r="F107" s="1142">
        <f>0.6482/F101</f>
        <v>0.43213333333333331</v>
      </c>
      <c r="G107" s="1142">
        <f>0.6482/G101</f>
        <v>0.43213333333333331</v>
      </c>
      <c r="H107" s="1142">
        <f>0.6482/H101</f>
        <v>0.43213333333333331</v>
      </c>
      <c r="I107" s="1142">
        <f>0.6482/I101</f>
        <v>0.43213333333333331</v>
      </c>
      <c r="J107" s="1142">
        <f>0.4525/J101</f>
        <v>0.30166666666666669</v>
      </c>
      <c r="K107" s="1142">
        <f>0.4525/K101</f>
        <v>0.30166666666666669</v>
      </c>
      <c r="L107" s="1142">
        <f>0.4525/L101</f>
        <v>0.30166666666666669</v>
      </c>
      <c r="M107" s="1142">
        <f>0.4525/M101</f>
        <v>0.30166666666666669</v>
      </c>
      <c r="N107" s="1142">
        <f>0.4525/N101</f>
        <v>0.30166666666666669</v>
      </c>
    </row>
    <row r="108" spans="1:14">
      <c r="A108" s="3443"/>
      <c r="B108" s="3445"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44"/>
      <c r="B109" s="3446"/>
      <c r="C109" s="1144">
        <f>(-0.163*(C108^2)-0.59*C108+7617)*(10^(-4))/C101</f>
        <v>0.5067898666666667</v>
      </c>
      <c r="D109" s="1144">
        <f>(-0.163*(D108^2)-0.59*D108+7617)*(10^(-4))/D101</f>
        <v>0.5067898666666667</v>
      </c>
      <c r="E109" s="1144">
        <f>(-0.161*(E108^2)-7.509*E108+6533)*(10^(-4))/E101</f>
        <v>0.43084159999999999</v>
      </c>
      <c r="F109" s="1144">
        <f>(-0.161*(F108^2)-7.509*F108+6533)*(10^(-4))/F101</f>
        <v>0.43084159999999999</v>
      </c>
      <c r="G109" s="1144">
        <f>(-0.161*(G108^2)-7.509*G108+6533)*(10^(-4))/G101</f>
        <v>0.43084159999999999</v>
      </c>
      <c r="H109" s="1144">
        <f>(-0.161*(H108^2)-7.509*H108+6533)*(10^(-4))/H101</f>
        <v>0.43084159999999999</v>
      </c>
      <c r="I109" s="1144">
        <f>(-0.161*(I108^2)-7.509*I108+6533)*(10^(-4))/I101</f>
        <v>0.43084159999999999</v>
      </c>
      <c r="J109" s="1144">
        <f>(-0.214*(J108^2)-21.991*J108+4665)*(10^(-4))/J101</f>
        <v>0.29835840000000002</v>
      </c>
      <c r="K109" s="1144">
        <f>(-0.214*(K108^2)-21.991*K108+4665)*(10^(-4))/K101</f>
        <v>0.29835840000000002</v>
      </c>
      <c r="L109" s="1144">
        <f>(-0.214*(L108^2)-21.991*L108+4665)*(10^(-4))/L101</f>
        <v>0.29835840000000002</v>
      </c>
      <c r="M109" s="1144">
        <f>(-0.214*(M108^2)-21.991*M108+4665)*(10^(-4))/M101</f>
        <v>0.29835840000000002</v>
      </c>
      <c r="N109" s="1144">
        <f>(-0.214*(N108^2)-21.991*N108+4665)*(10^(-4))/N101</f>
        <v>0.29835840000000002</v>
      </c>
    </row>
    <row r="110" spans="1:14">
      <c r="A110" s="3447" t="s">
        <v>1639</v>
      </c>
      <c r="B110" s="3447"/>
      <c r="C110" s="3447"/>
      <c r="D110" s="3447"/>
      <c r="E110" s="3447"/>
      <c r="F110" s="3447"/>
      <c r="G110" s="3447"/>
      <c r="H110" s="3447"/>
      <c r="I110" s="3447"/>
      <c r="J110" s="3447"/>
      <c r="K110" s="2448"/>
      <c r="L110" s="2448"/>
      <c r="M110" s="2448"/>
      <c r="N110" s="2448"/>
    </row>
    <row r="112" spans="1:14" ht="12.75" thickBot="1"/>
    <row r="113" spans="1:13" ht="25.5" thickBot="1">
      <c r="A113" s="1014" t="s">
        <v>895</v>
      </c>
      <c r="B113" s="2451">
        <f>G3</f>
        <v>1.5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0.9194</v>
      </c>
      <c r="C115" s="1028">
        <f>B115</f>
        <v>0.9194</v>
      </c>
      <c r="D115" s="1028">
        <f>ROUND(0.8331-0.0109*B113,4)</f>
        <v>0.81679999999999997</v>
      </c>
      <c r="E115" s="1028">
        <f>D115</f>
        <v>0.81679999999999997</v>
      </c>
      <c r="F115" s="1028">
        <f>E115</f>
        <v>0.81679999999999997</v>
      </c>
      <c r="G115" s="1028">
        <f>F115</f>
        <v>0.81679999999999997</v>
      </c>
      <c r="H115" s="1028">
        <f>G115</f>
        <v>0.81679999999999997</v>
      </c>
      <c r="I115" s="1028">
        <f>ROUND(0.689-0.0155*B113,4)</f>
        <v>0.66579999999999995</v>
      </c>
      <c r="J115" s="1028">
        <f t="shared" ref="J115:M118" si="33">I115</f>
        <v>0.66579999999999995</v>
      </c>
      <c r="K115" s="1028">
        <f t="shared" si="33"/>
        <v>0.66579999999999995</v>
      </c>
      <c r="L115" s="1028">
        <f t="shared" si="33"/>
        <v>0.66579999999999995</v>
      </c>
      <c r="M115" s="1029">
        <f t="shared" si="33"/>
        <v>0.66579999999999995</v>
      </c>
    </row>
    <row r="116" spans="1:13" ht="12.75">
      <c r="A116" s="1027" t="s">
        <v>900</v>
      </c>
      <c r="B116" s="1028">
        <f>ROUND(0.949-0.012*B113,4)</f>
        <v>0.93100000000000005</v>
      </c>
      <c r="C116" s="1028">
        <f>B116</f>
        <v>0.93100000000000005</v>
      </c>
      <c r="D116" s="1028">
        <f>ROUND(0.8567-0.013*B113,4)</f>
        <v>0.83720000000000006</v>
      </c>
      <c r="E116" s="1028">
        <f t="shared" ref="E116:H117" si="34">D116</f>
        <v>0.83720000000000006</v>
      </c>
      <c r="F116" s="1028">
        <f t="shared" si="34"/>
        <v>0.83720000000000006</v>
      </c>
      <c r="G116" s="1028">
        <f t="shared" si="34"/>
        <v>0.83720000000000006</v>
      </c>
      <c r="H116" s="1028">
        <f t="shared" si="34"/>
        <v>0.83720000000000006</v>
      </c>
      <c r="I116" s="1028">
        <f>ROUND(0.7694-0.014*B113,4)</f>
        <v>0.74839999999999995</v>
      </c>
      <c r="J116" s="1028">
        <f t="shared" si="33"/>
        <v>0.74839999999999995</v>
      </c>
      <c r="K116" s="1028">
        <f t="shared" si="33"/>
        <v>0.74839999999999995</v>
      </c>
      <c r="L116" s="1028">
        <f t="shared" si="33"/>
        <v>0.74839999999999995</v>
      </c>
      <c r="M116" s="1029">
        <f t="shared" si="33"/>
        <v>0.74839999999999995</v>
      </c>
    </row>
    <row r="117" spans="1:13" ht="12.75">
      <c r="A117" s="1030" t="s">
        <v>901</v>
      </c>
      <c r="B117" s="1028">
        <f>ROUND(0.8808-0.006*B113,4)</f>
        <v>0.87180000000000002</v>
      </c>
      <c r="C117" s="1028">
        <f>B117</f>
        <v>0.87180000000000002</v>
      </c>
      <c r="D117" s="1028">
        <f>ROUND(0.8748-0.008*B113,4)</f>
        <v>0.86280000000000001</v>
      </c>
      <c r="E117" s="1028">
        <f t="shared" si="34"/>
        <v>0.86280000000000001</v>
      </c>
      <c r="F117" s="1028">
        <f t="shared" si="34"/>
        <v>0.86280000000000001</v>
      </c>
      <c r="G117" s="1028">
        <f t="shared" si="34"/>
        <v>0.86280000000000001</v>
      </c>
      <c r="H117" s="1028">
        <f t="shared" si="34"/>
        <v>0.86280000000000001</v>
      </c>
      <c r="I117" s="1028">
        <f>ROUND(0.7412-0.0095*B113,4)</f>
        <v>0.72699999999999998</v>
      </c>
      <c r="J117" s="1028">
        <f t="shared" si="33"/>
        <v>0.72699999999999998</v>
      </c>
      <c r="K117" s="1028">
        <f t="shared" si="33"/>
        <v>0.72699999999999998</v>
      </c>
      <c r="L117" s="1028">
        <f t="shared" si="33"/>
        <v>0.72699999999999998</v>
      </c>
      <c r="M117" s="1029">
        <f t="shared" si="33"/>
        <v>0.72699999999999998</v>
      </c>
    </row>
    <row r="118" spans="1:13" ht="13.5" thickBot="1">
      <c r="A118" s="1031" t="s">
        <v>902</v>
      </c>
      <c r="B118" s="1032">
        <f>ROUND(0.7275-0.01*B113,4)</f>
        <v>0.71250000000000002</v>
      </c>
      <c r="C118" s="1032">
        <f>B118</f>
        <v>0.71250000000000002</v>
      </c>
      <c r="D118" s="1032">
        <f>ROUND(0.7043-0.012*B113,4)</f>
        <v>0.68630000000000002</v>
      </c>
      <c r="E118" s="1032">
        <f>D118</f>
        <v>0.68630000000000002</v>
      </c>
      <c r="F118" s="1032">
        <f>E118</f>
        <v>0.68630000000000002</v>
      </c>
      <c r="G118" s="1032">
        <f>ROUND(0.6299-0.0122*B113,4)</f>
        <v>0.61160000000000003</v>
      </c>
      <c r="H118" s="1032">
        <f>G118</f>
        <v>0.61160000000000003</v>
      </c>
      <c r="I118" s="1032">
        <f>ROUND(0.5667-0.0136*B113,4)</f>
        <v>0.54630000000000001</v>
      </c>
      <c r="J118" s="1032">
        <f t="shared" si="33"/>
        <v>0.54630000000000001</v>
      </c>
      <c r="K118" s="1032">
        <f t="shared" si="33"/>
        <v>0.54630000000000001</v>
      </c>
      <c r="L118" s="1032">
        <f t="shared" si="33"/>
        <v>0.54630000000000001</v>
      </c>
      <c r="M118" s="1033">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453" t="s">
        <v>1007</v>
      </c>
      <c r="B18" s="1152" t="s">
        <v>1446</v>
      </c>
      <c r="C18" s="1129" t="s">
        <v>1447</v>
      </c>
      <c r="D18" s="1130"/>
      <c r="E18" s="1152">
        <v>1</v>
      </c>
      <c r="F18" s="1131" t="s">
        <v>1448</v>
      </c>
      <c r="G18" s="1132"/>
      <c r="H18" s="1103"/>
      <c r="I18" s="1103"/>
    </row>
    <row r="19" spans="1:9" s="1598" customFormat="1" ht="19.5" customHeight="1">
      <c r="A19" s="3453"/>
      <c r="B19" s="3453" t="s">
        <v>1449</v>
      </c>
      <c r="C19" s="1129" t="s">
        <v>1450</v>
      </c>
      <c r="D19" s="1130"/>
      <c r="E19" s="1152">
        <v>0.9</v>
      </c>
      <c r="F19" s="1131" t="s">
        <v>1451</v>
      </c>
      <c r="G19" s="1132"/>
      <c r="H19" s="1103"/>
      <c r="I19" s="1103"/>
    </row>
    <row r="20" spans="1:9" s="1598" customFormat="1" ht="19.5" customHeight="1">
      <c r="A20" s="3453"/>
      <c r="B20" s="3453"/>
      <c r="C20" s="1129" t="s">
        <v>1452</v>
      </c>
      <c r="D20" s="1130"/>
      <c r="E20" s="1152">
        <v>1.1000000000000001</v>
      </c>
      <c r="F20" s="1131" t="s">
        <v>1453</v>
      </c>
      <c r="G20" s="1132"/>
      <c r="H20" s="1103"/>
      <c r="I20" s="1103"/>
    </row>
    <row r="21" spans="1:9" s="1598" customFormat="1" ht="19.5" customHeight="1">
      <c r="A21" s="3453"/>
      <c r="B21" s="3453"/>
      <c r="C21" s="1129" t="s">
        <v>1454</v>
      </c>
      <c r="D21" s="1130"/>
      <c r="E21" s="1152">
        <v>0.8</v>
      </c>
      <c r="F21" s="1131" t="s">
        <v>1455</v>
      </c>
      <c r="G21" s="1132"/>
      <c r="H21" s="1103"/>
      <c r="I21" s="1103"/>
    </row>
    <row r="22" spans="1:9" s="1598" customFormat="1" ht="19.5" customHeight="1">
      <c r="A22" s="3453"/>
      <c r="B22" s="3453"/>
      <c r="C22" s="1129" t="s">
        <v>1456</v>
      </c>
      <c r="D22" s="1130"/>
      <c r="E22" s="1152">
        <v>0.5</v>
      </c>
      <c r="F22" s="1131"/>
      <c r="G22" s="1132"/>
      <c r="H22" s="1103"/>
      <c r="I22" s="1103"/>
    </row>
    <row r="23" spans="1:9" s="1598" customFormat="1" ht="19.5" customHeight="1">
      <c r="A23" s="3453" t="s">
        <v>1029</v>
      </c>
      <c r="B23" s="1152" t="s">
        <v>1446</v>
      </c>
      <c r="C23" s="1129" t="s">
        <v>1457</v>
      </c>
      <c r="D23" s="1130"/>
      <c r="E23" s="1152">
        <v>1</v>
      </c>
      <c r="F23" s="1131" t="s">
        <v>1458</v>
      </c>
      <c r="G23" s="1132"/>
      <c r="H23" s="1103"/>
      <c r="I23" s="1103"/>
    </row>
    <row r="24" spans="1:9" s="1598" customFormat="1" ht="19.5" customHeight="1">
      <c r="A24" s="3453"/>
      <c r="B24" s="3453" t="s">
        <v>1449</v>
      </c>
      <c r="C24" s="1129" t="s">
        <v>1459</v>
      </c>
      <c r="D24" s="1130"/>
      <c r="E24" s="1152">
        <v>0.5</v>
      </c>
      <c r="F24" s="1131"/>
      <c r="G24" s="1132"/>
      <c r="H24" s="1103"/>
      <c r="I24" s="1103"/>
    </row>
    <row r="25" spans="1:9" s="1598" customFormat="1" ht="19.5" customHeight="1">
      <c r="A25" s="3453"/>
      <c r="B25" s="3453"/>
      <c r="C25" s="1129" t="s">
        <v>1460</v>
      </c>
      <c r="D25" s="1130"/>
      <c r="E25" s="1152">
        <v>1.1000000000000001</v>
      </c>
      <c r="F25" s="1131"/>
      <c r="G25" s="1132"/>
      <c r="H25" s="1103"/>
      <c r="I25" s="1103"/>
    </row>
    <row r="26" spans="1:9" s="1598" customFormat="1" ht="19.5" customHeight="1">
      <c r="A26" s="3453"/>
      <c r="B26" s="3453"/>
      <c r="C26" s="1129" t="s">
        <v>1461</v>
      </c>
      <c r="D26" s="1130"/>
      <c r="E26" s="1152">
        <v>1.1000000000000001</v>
      </c>
      <c r="F26" s="1131"/>
      <c r="G26" s="1132"/>
      <c r="H26" s="1103"/>
      <c r="I26" s="1103"/>
    </row>
    <row r="27" spans="1:9" s="1598" customFormat="1" ht="19.5" customHeight="1">
      <c r="A27" s="3453"/>
      <c r="B27" s="3453"/>
      <c r="C27" s="1129" t="s">
        <v>1462</v>
      </c>
      <c r="D27" s="1130"/>
      <c r="E27" s="1152">
        <v>0.9</v>
      </c>
      <c r="F27" s="1131" t="s">
        <v>1463</v>
      </c>
      <c r="G27" s="1132"/>
      <c r="H27" s="1103"/>
      <c r="I27" s="1103"/>
    </row>
    <row r="28" spans="1:9" s="1598" customFormat="1" ht="19.5" customHeight="1">
      <c r="A28" s="3453"/>
      <c r="B28" s="3453"/>
      <c r="C28" s="1129" t="s">
        <v>1464</v>
      </c>
      <c r="D28" s="1130"/>
      <c r="E28" s="1152">
        <v>0.9</v>
      </c>
      <c r="F28" s="1131" t="s">
        <v>1465</v>
      </c>
      <c r="G28" s="1132"/>
      <c r="H28" s="1103"/>
      <c r="I28" s="1103"/>
    </row>
    <row r="29" spans="1:9" s="1598" customFormat="1" ht="19.5" customHeight="1">
      <c r="A29" s="3453"/>
      <c r="B29" s="3453"/>
      <c r="C29" s="1129" t="s">
        <v>1466</v>
      </c>
      <c r="D29" s="1130"/>
      <c r="E29" s="1152">
        <v>0.9</v>
      </c>
      <c r="F29" s="1131" t="s">
        <v>1467</v>
      </c>
      <c r="G29" s="1132"/>
      <c r="H29" s="1103"/>
      <c r="I29" s="1103"/>
    </row>
    <row r="30" spans="1:9" s="1598" customFormat="1" ht="19.5" customHeight="1">
      <c r="A30" s="3453"/>
      <c r="B30" s="3453"/>
      <c r="C30" s="1129" t="s">
        <v>1468</v>
      </c>
      <c r="D30" s="1130"/>
      <c r="E30" s="1152">
        <v>0.9</v>
      </c>
      <c r="F30" s="1131" t="s">
        <v>1469</v>
      </c>
      <c r="G30" s="1132"/>
      <c r="H30" s="1103"/>
      <c r="I30" s="1103"/>
    </row>
    <row r="31" spans="1:9" s="1598" customFormat="1" ht="19.5" customHeight="1">
      <c r="A31" s="3453"/>
      <c r="B31" s="3453"/>
      <c r="C31" s="1129" t="s">
        <v>1470</v>
      </c>
      <c r="D31" s="1130"/>
      <c r="E31" s="1152">
        <v>0.8</v>
      </c>
      <c r="F31" s="1131" t="s">
        <v>1471</v>
      </c>
      <c r="G31" s="1132"/>
      <c r="H31" s="1103"/>
      <c r="I31" s="1103"/>
    </row>
    <row r="32" spans="1:9" s="1598" customFormat="1" ht="19.5" customHeight="1">
      <c r="A32" s="3453"/>
      <c r="B32" s="3453"/>
      <c r="C32" s="1129" t="s">
        <v>1472</v>
      </c>
      <c r="D32" s="1130"/>
      <c r="E32" s="1152">
        <v>0.8</v>
      </c>
      <c r="F32" s="1131" t="s">
        <v>1473</v>
      </c>
      <c r="G32" s="1132"/>
      <c r="H32" s="1103"/>
      <c r="I32" s="1103"/>
    </row>
    <row r="33" spans="1:9" s="1598" customFormat="1" ht="19.5" customHeight="1">
      <c r="A33" s="3453" t="s">
        <v>1474</v>
      </c>
      <c r="B33" s="1152" t="s">
        <v>1446</v>
      </c>
      <c r="C33" s="1129" t="s">
        <v>1475</v>
      </c>
      <c r="D33" s="1130"/>
      <c r="E33" s="1152">
        <v>1</v>
      </c>
      <c r="F33" s="1131" t="s">
        <v>1476</v>
      </c>
      <c r="G33" s="1132"/>
      <c r="H33" s="1103"/>
      <c r="I33" s="1103"/>
    </row>
    <row r="34" spans="1:9" s="1598" customFormat="1" ht="19.5" customHeight="1">
      <c r="A34" s="3453"/>
      <c r="B34" s="1152" t="s">
        <v>1449</v>
      </c>
      <c r="C34" s="1129" t="s">
        <v>1477</v>
      </c>
      <c r="D34" s="1130"/>
      <c r="E34" s="1152">
        <v>1.5</v>
      </c>
      <c r="F34" s="1131" t="s">
        <v>1478</v>
      </c>
      <c r="G34" s="1132"/>
      <c r="H34" s="1103"/>
      <c r="I34" s="1103"/>
    </row>
    <row r="35" spans="1:9" s="1598" customFormat="1" ht="19.5" customHeight="1">
      <c r="A35" s="3453" t="s">
        <v>1432</v>
      </c>
      <c r="B35" s="1152" t="s">
        <v>1446</v>
      </c>
      <c r="C35" s="1129" t="s">
        <v>1479</v>
      </c>
      <c r="D35" s="1130"/>
      <c r="E35" s="1152">
        <v>1</v>
      </c>
      <c r="F35" s="1131" t="s">
        <v>1480</v>
      </c>
      <c r="G35" s="1132"/>
      <c r="H35" s="1103"/>
      <c r="I35" s="1103"/>
    </row>
    <row r="36" spans="1:9" s="1598" customFormat="1" ht="19.5" customHeight="1">
      <c r="A36" s="3453"/>
      <c r="B36" s="3453" t="s">
        <v>1449</v>
      </c>
      <c r="C36" s="1129" t="s">
        <v>1481</v>
      </c>
      <c r="D36" s="1130"/>
      <c r="E36" s="1152">
        <v>1</v>
      </c>
      <c r="F36" s="1131" t="s">
        <v>1482</v>
      </c>
      <c r="G36" s="1132"/>
      <c r="H36" s="1103"/>
      <c r="I36" s="1103"/>
    </row>
    <row r="37" spans="1:9" s="1598" customFormat="1" ht="19.5" customHeight="1">
      <c r="A37" s="3453"/>
      <c r="B37" s="3453"/>
      <c r="C37" s="1129" t="s">
        <v>1483</v>
      </c>
      <c r="D37" s="1130"/>
      <c r="E37" s="1152">
        <v>1.5</v>
      </c>
      <c r="F37" s="1131" t="s">
        <v>1484</v>
      </c>
      <c r="G37" s="1132"/>
      <c r="H37" s="1103"/>
      <c r="I37" s="1103"/>
    </row>
    <row r="38" spans="1:9" s="1598" customFormat="1" ht="19.5" customHeight="1">
      <c r="A38" s="3453"/>
      <c r="B38" s="3453"/>
      <c r="C38" s="1129" t="s">
        <v>1485</v>
      </c>
      <c r="D38" s="1130"/>
      <c r="E38" s="1152">
        <v>1</v>
      </c>
      <c r="F38" s="1131" t="s">
        <v>1486</v>
      </c>
      <c r="G38" s="1132"/>
      <c r="H38" s="1103"/>
      <c r="I38" s="1103"/>
    </row>
    <row r="39" spans="1:9" s="1598" customFormat="1" ht="19.5" customHeight="1">
      <c r="A39" s="3453"/>
      <c r="B39" s="3453"/>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53" t="s">
        <v>1501</v>
      </c>
      <c r="C61" s="1066" t="s">
        <v>1502</v>
      </c>
      <c r="D61" s="1066" t="s">
        <v>1503</v>
      </c>
      <c r="E61" s="1137">
        <v>0.5</v>
      </c>
      <c r="F61" s="1152">
        <v>80</v>
      </c>
      <c r="H61" s="1103">
        <f>SUMIF(C59:C119,基准地价!C8,E59:E119)</f>
        <v>0</v>
      </c>
    </row>
    <row r="62" spans="1:8" s="1103" customFormat="1" ht="24">
      <c r="A62" s="1152">
        <v>2</v>
      </c>
      <c r="B62" s="3453"/>
      <c r="C62" s="1066" t="s">
        <v>1504</v>
      </c>
      <c r="D62" s="1066" t="s">
        <v>1505</v>
      </c>
      <c r="E62" s="1137">
        <v>0.5</v>
      </c>
      <c r="F62" s="1152">
        <v>80</v>
      </c>
    </row>
    <row r="63" spans="1:8" s="1103" customFormat="1" ht="36">
      <c r="A63" s="1152">
        <v>3</v>
      </c>
      <c r="B63" s="3453"/>
      <c r="C63" s="1066" t="s">
        <v>1506</v>
      </c>
      <c r="D63" s="1066" t="s">
        <v>1507</v>
      </c>
      <c r="E63" s="1137">
        <v>0.5</v>
      </c>
      <c r="F63" s="1152">
        <v>80</v>
      </c>
    </row>
    <row r="64" spans="1:8" s="1103" customFormat="1" ht="36">
      <c r="A64" s="1152">
        <v>4</v>
      </c>
      <c r="B64" s="3453"/>
      <c r="C64" s="1066" t="s">
        <v>1508</v>
      </c>
      <c r="D64" s="1066" t="s">
        <v>1509</v>
      </c>
      <c r="E64" s="1137">
        <v>0.4</v>
      </c>
      <c r="F64" s="1152">
        <v>60</v>
      </c>
    </row>
    <row r="65" spans="1:6" s="1103" customFormat="1" ht="36">
      <c r="A65" s="1152">
        <v>5</v>
      </c>
      <c r="B65" s="3453"/>
      <c r="C65" s="1066" t="s">
        <v>1510</v>
      </c>
      <c r="D65" s="1066" t="s">
        <v>1511</v>
      </c>
      <c r="E65" s="1137">
        <v>0.2</v>
      </c>
      <c r="F65" s="1152">
        <v>30</v>
      </c>
    </row>
    <row r="66" spans="1:6" s="1103" customFormat="1" ht="36">
      <c r="A66" s="1152">
        <v>6</v>
      </c>
      <c r="B66" s="3453"/>
      <c r="C66" s="1066" t="s">
        <v>1512</v>
      </c>
      <c r="D66" s="1066" t="s">
        <v>1513</v>
      </c>
      <c r="E66" s="1137">
        <v>0.3</v>
      </c>
      <c r="F66" s="1152">
        <v>50</v>
      </c>
    </row>
    <row r="67" spans="1:6" s="1103" customFormat="1" ht="36">
      <c r="A67" s="1152">
        <v>7</v>
      </c>
      <c r="B67" s="3453"/>
      <c r="C67" s="1066" t="s">
        <v>1514</v>
      </c>
      <c r="D67" s="1066" t="s">
        <v>1515</v>
      </c>
      <c r="E67" s="1137">
        <v>0.2</v>
      </c>
      <c r="F67" s="1152">
        <v>30</v>
      </c>
    </row>
    <row r="68" spans="1:6" s="1103" customFormat="1" ht="36">
      <c r="A68" s="1152">
        <v>8</v>
      </c>
      <c r="B68" s="3453"/>
      <c r="C68" s="1066" t="s">
        <v>1516</v>
      </c>
      <c r="D68" s="1066" t="s">
        <v>1517</v>
      </c>
      <c r="E68" s="1137">
        <v>0.2</v>
      </c>
      <c r="F68" s="1152">
        <v>30</v>
      </c>
    </row>
    <row r="69" spans="1:6" s="1103" customFormat="1" ht="36">
      <c r="A69" s="1152">
        <v>9</v>
      </c>
      <c r="B69" s="3453"/>
      <c r="C69" s="1066" t="s">
        <v>1518</v>
      </c>
      <c r="D69" s="1066" t="s">
        <v>1519</v>
      </c>
      <c r="E69" s="1137">
        <v>0.2</v>
      </c>
      <c r="F69" s="1152">
        <v>30</v>
      </c>
    </row>
    <row r="70" spans="1:6" s="1103" customFormat="1" ht="48">
      <c r="A70" s="1152">
        <v>10</v>
      </c>
      <c r="B70" s="3453"/>
      <c r="C70" s="1066" t="s">
        <v>1520</v>
      </c>
      <c r="D70" s="1066" t="s">
        <v>1521</v>
      </c>
      <c r="E70" s="1137">
        <v>0.2</v>
      </c>
      <c r="F70" s="1152">
        <v>30</v>
      </c>
    </row>
    <row r="71" spans="1:6" s="1103" customFormat="1" ht="48">
      <c r="A71" s="1152">
        <v>11</v>
      </c>
      <c r="B71" s="3453"/>
      <c r="C71" s="1066" t="s">
        <v>1522</v>
      </c>
      <c r="D71" s="1066" t="s">
        <v>1523</v>
      </c>
      <c r="E71" s="1137">
        <v>0.2</v>
      </c>
      <c r="F71" s="1152">
        <v>30</v>
      </c>
    </row>
    <row r="72" spans="1:6" s="1103" customFormat="1" ht="36">
      <c r="A72" s="1152">
        <v>12</v>
      </c>
      <c r="B72" s="3453"/>
      <c r="C72" s="1066" t="s">
        <v>1524</v>
      </c>
      <c r="D72" s="1066" t="s">
        <v>1525</v>
      </c>
      <c r="E72" s="1137">
        <v>0.5</v>
      </c>
      <c r="F72" s="1152">
        <v>80</v>
      </c>
    </row>
    <row r="73" spans="1:6" s="1103" customFormat="1" ht="24">
      <c r="A73" s="1152">
        <v>13</v>
      </c>
      <c r="B73" s="3453"/>
      <c r="C73" s="1066" t="s">
        <v>1526</v>
      </c>
      <c r="D73" s="1066" t="s">
        <v>1527</v>
      </c>
      <c r="E73" s="1137">
        <v>0.4</v>
      </c>
      <c r="F73" s="1152">
        <v>60</v>
      </c>
    </row>
    <row r="74" spans="1:6" s="1103" customFormat="1" ht="24">
      <c r="A74" s="1152">
        <v>14</v>
      </c>
      <c r="B74" s="3453"/>
      <c r="C74" s="1066" t="s">
        <v>1528</v>
      </c>
      <c r="D74" s="1066" t="s">
        <v>1529</v>
      </c>
      <c r="E74" s="1137">
        <v>0.2</v>
      </c>
      <c r="F74" s="1152">
        <v>30</v>
      </c>
    </row>
    <row r="75" spans="1:6" s="1103" customFormat="1" ht="24">
      <c r="A75" s="1152">
        <v>15</v>
      </c>
      <c r="B75" s="3453"/>
      <c r="C75" s="1066" t="s">
        <v>1530</v>
      </c>
      <c r="D75" s="1066" t="s">
        <v>1531</v>
      </c>
      <c r="E75" s="1137">
        <v>0.2</v>
      </c>
      <c r="F75" s="1152">
        <v>30</v>
      </c>
    </row>
    <row r="76" spans="1:6" s="1103" customFormat="1" ht="24">
      <c r="A76" s="1152">
        <v>16</v>
      </c>
      <c r="B76" s="3453" t="s">
        <v>1532</v>
      </c>
      <c r="C76" s="1066" t="s">
        <v>1533</v>
      </c>
      <c r="D76" s="1066" t="s">
        <v>1534</v>
      </c>
      <c r="E76" s="1137">
        <v>0.5</v>
      </c>
      <c r="F76" s="1152">
        <v>80</v>
      </c>
    </row>
    <row r="77" spans="1:6" s="1103" customFormat="1" ht="24">
      <c r="A77" s="1152">
        <v>17</v>
      </c>
      <c r="B77" s="3453"/>
      <c r="C77" s="1066" t="s">
        <v>1535</v>
      </c>
      <c r="D77" s="1066" t="s">
        <v>1536</v>
      </c>
      <c r="E77" s="1137">
        <v>0.5</v>
      </c>
      <c r="F77" s="1152">
        <v>80</v>
      </c>
    </row>
    <row r="78" spans="1:6" s="1103" customFormat="1" ht="24">
      <c r="A78" s="1152">
        <v>18</v>
      </c>
      <c r="B78" s="3453"/>
      <c r="C78" s="1066" t="s">
        <v>1537</v>
      </c>
      <c r="D78" s="1066" t="s">
        <v>1538</v>
      </c>
      <c r="E78" s="1137">
        <v>0.2</v>
      </c>
      <c r="F78" s="1152">
        <v>30</v>
      </c>
    </row>
    <row r="79" spans="1:6" s="1103" customFormat="1" ht="24">
      <c r="A79" s="1152">
        <v>19</v>
      </c>
      <c r="B79" s="3453"/>
      <c r="C79" s="1066" t="s">
        <v>1539</v>
      </c>
      <c r="D79" s="1066" t="s">
        <v>1540</v>
      </c>
      <c r="E79" s="1137">
        <v>0.5</v>
      </c>
      <c r="F79" s="1152">
        <v>80</v>
      </c>
    </row>
    <row r="80" spans="1:6" s="1103" customFormat="1" ht="36">
      <c r="A80" s="1152">
        <v>20</v>
      </c>
      <c r="B80" s="3453"/>
      <c r="C80" s="1066" t="s">
        <v>1541</v>
      </c>
      <c r="D80" s="1066" t="s">
        <v>1542</v>
      </c>
      <c r="E80" s="1137">
        <v>0.2</v>
      </c>
      <c r="F80" s="1152">
        <v>30</v>
      </c>
    </row>
    <row r="81" spans="1:6" s="1103" customFormat="1" ht="36">
      <c r="A81" s="1152">
        <v>21</v>
      </c>
      <c r="B81" s="3453"/>
      <c r="C81" s="1066" t="s">
        <v>1543</v>
      </c>
      <c r="D81" s="1066" t="s">
        <v>1544</v>
      </c>
      <c r="E81" s="1137">
        <v>0.2</v>
      </c>
      <c r="F81" s="1152">
        <v>30</v>
      </c>
    </row>
    <row r="82" spans="1:6" s="1103" customFormat="1" ht="48">
      <c r="A82" s="1152">
        <v>22</v>
      </c>
      <c r="B82" s="3453"/>
      <c r="C82" s="1066" t="s">
        <v>1545</v>
      </c>
      <c r="D82" s="1066" t="s">
        <v>1546</v>
      </c>
      <c r="E82" s="1137">
        <v>0.2</v>
      </c>
      <c r="F82" s="1152">
        <v>30</v>
      </c>
    </row>
    <row r="83" spans="1:6" s="1103" customFormat="1" ht="48">
      <c r="A83" s="1152">
        <v>23</v>
      </c>
      <c r="B83" s="3453"/>
      <c r="C83" s="1066" t="s">
        <v>1547</v>
      </c>
      <c r="D83" s="1066" t="s">
        <v>1548</v>
      </c>
      <c r="E83" s="1137">
        <v>0.2</v>
      </c>
      <c r="F83" s="1152">
        <v>30</v>
      </c>
    </row>
    <row r="84" spans="1:6" s="1103" customFormat="1" ht="36">
      <c r="A84" s="1152">
        <v>24</v>
      </c>
      <c r="B84" s="3453"/>
      <c r="C84" s="1066" t="s">
        <v>1549</v>
      </c>
      <c r="D84" s="1066" t="s">
        <v>1550</v>
      </c>
      <c r="E84" s="1137">
        <v>0.2</v>
      </c>
      <c r="F84" s="1152">
        <v>30</v>
      </c>
    </row>
    <row r="85" spans="1:6" s="1103" customFormat="1" ht="36">
      <c r="A85" s="1152">
        <v>25</v>
      </c>
      <c r="B85" s="3453"/>
      <c r="C85" s="1066" t="s">
        <v>1551</v>
      </c>
      <c r="D85" s="1066" t="s">
        <v>1552</v>
      </c>
      <c r="E85" s="1137">
        <v>0.5</v>
      </c>
      <c r="F85" s="1152">
        <v>80</v>
      </c>
    </row>
    <row r="86" spans="1:6" s="1103" customFormat="1" ht="36">
      <c r="A86" s="1152">
        <v>26</v>
      </c>
      <c r="B86" s="3453"/>
      <c r="C86" s="1066" t="s">
        <v>1553</v>
      </c>
      <c r="D86" s="1066" t="s">
        <v>1554</v>
      </c>
      <c r="E86" s="1137">
        <v>0.2</v>
      </c>
      <c r="F86" s="1152">
        <v>30</v>
      </c>
    </row>
    <row r="87" spans="1:6" s="1103" customFormat="1" ht="36">
      <c r="A87" s="1152">
        <v>27</v>
      </c>
      <c r="B87" s="3453"/>
      <c r="C87" s="1066" t="s">
        <v>1555</v>
      </c>
      <c r="D87" s="1066" t="s">
        <v>1556</v>
      </c>
      <c r="E87" s="1137">
        <v>0.2</v>
      </c>
      <c r="F87" s="1152">
        <v>30</v>
      </c>
    </row>
    <row r="88" spans="1:6" s="1103" customFormat="1" ht="36">
      <c r="A88" s="1152">
        <v>28</v>
      </c>
      <c r="B88" s="3453"/>
      <c r="C88" s="1066" t="s">
        <v>1557</v>
      </c>
      <c r="D88" s="1066" t="s">
        <v>1558</v>
      </c>
      <c r="E88" s="1137">
        <v>0.2</v>
      </c>
      <c r="F88" s="1152">
        <v>30</v>
      </c>
    </row>
    <row r="89" spans="1:6" s="1103" customFormat="1" ht="24">
      <c r="A89" s="1152">
        <v>29</v>
      </c>
      <c r="B89" s="3453"/>
      <c r="C89" s="1066" t="s">
        <v>1559</v>
      </c>
      <c r="D89" s="1066" t="s">
        <v>1560</v>
      </c>
      <c r="E89" s="1137">
        <v>0.2</v>
      </c>
      <c r="F89" s="1152">
        <v>30</v>
      </c>
    </row>
    <row r="90" spans="1:6" s="1103" customFormat="1" ht="24">
      <c r="A90" s="1152">
        <v>30</v>
      </c>
      <c r="B90" s="3453"/>
      <c r="C90" s="1066" t="s">
        <v>1561</v>
      </c>
      <c r="D90" s="1066" t="s">
        <v>1562</v>
      </c>
      <c r="E90" s="1137">
        <v>0.2</v>
      </c>
      <c r="F90" s="1152">
        <v>30</v>
      </c>
    </row>
    <row r="91" spans="1:6" s="1103" customFormat="1" ht="36">
      <c r="A91" s="1152">
        <v>31</v>
      </c>
      <c r="B91" s="3453"/>
      <c r="C91" s="1066" t="s">
        <v>1563</v>
      </c>
      <c r="D91" s="1066" t="s">
        <v>1564</v>
      </c>
      <c r="E91" s="1137">
        <v>0.2</v>
      </c>
      <c r="F91" s="1152">
        <v>30</v>
      </c>
    </row>
    <row r="92" spans="1:6" s="1103" customFormat="1" ht="24">
      <c r="A92" s="1152">
        <v>32</v>
      </c>
      <c r="B92" s="3453" t="s">
        <v>1565</v>
      </c>
      <c r="C92" s="1152" t="s">
        <v>1566</v>
      </c>
      <c r="D92" s="1066" t="s">
        <v>1567</v>
      </c>
      <c r="E92" s="1137">
        <v>0.2</v>
      </c>
      <c r="F92" s="1152">
        <v>30</v>
      </c>
    </row>
    <row r="93" spans="1:6" s="1103" customFormat="1" ht="36">
      <c r="A93" s="1152">
        <v>33</v>
      </c>
      <c r="B93" s="3453"/>
      <c r="C93" s="1152" t="s">
        <v>1568</v>
      </c>
      <c r="D93" s="1066" t="s">
        <v>1569</v>
      </c>
      <c r="E93" s="1137">
        <v>0.2</v>
      </c>
      <c r="F93" s="1152">
        <v>30</v>
      </c>
    </row>
    <row r="94" spans="1:6" s="1103" customFormat="1" ht="48">
      <c r="A94" s="1152">
        <v>34</v>
      </c>
      <c r="B94" s="3453"/>
      <c r="C94" s="1152" t="s">
        <v>1570</v>
      </c>
      <c r="D94" s="1066" t="s">
        <v>1571</v>
      </c>
      <c r="E94" s="1137">
        <v>0.2</v>
      </c>
      <c r="F94" s="1152">
        <v>30</v>
      </c>
    </row>
    <row r="95" spans="1:6" s="1103" customFormat="1" ht="36">
      <c r="A95" s="1152">
        <v>35</v>
      </c>
      <c r="B95" s="3453"/>
      <c r="C95" s="1152" t="s">
        <v>1572</v>
      </c>
      <c r="D95" s="1066" t="s">
        <v>1573</v>
      </c>
      <c r="E95" s="1137">
        <v>0.2</v>
      </c>
      <c r="F95" s="1152">
        <v>30</v>
      </c>
    </row>
    <row r="96" spans="1:6" s="1103" customFormat="1" ht="48">
      <c r="A96" s="1152">
        <v>36</v>
      </c>
      <c r="B96" s="3453"/>
      <c r="C96" s="1066" t="s">
        <v>1574</v>
      </c>
      <c r="D96" s="1066" t="s">
        <v>1575</v>
      </c>
      <c r="E96" s="1137">
        <v>0.2</v>
      </c>
      <c r="F96" s="1152">
        <v>30</v>
      </c>
    </row>
    <row r="97" spans="1:6" s="1103" customFormat="1" ht="36">
      <c r="A97" s="1152">
        <v>37</v>
      </c>
      <c r="B97" s="3453"/>
      <c r="C97" s="1152" t="s">
        <v>1576</v>
      </c>
      <c r="D97" s="1066" t="s">
        <v>1577</v>
      </c>
      <c r="E97" s="1137">
        <v>0.2</v>
      </c>
      <c r="F97" s="1152">
        <v>30</v>
      </c>
    </row>
    <row r="98" spans="1:6" s="1103" customFormat="1" ht="36">
      <c r="A98" s="1152">
        <v>38</v>
      </c>
      <c r="B98" s="3453"/>
      <c r="C98" s="1152" t="s">
        <v>1578</v>
      </c>
      <c r="D98" s="1066" t="s">
        <v>1579</v>
      </c>
      <c r="E98" s="1137">
        <v>0.2</v>
      </c>
      <c r="F98" s="1152">
        <v>30</v>
      </c>
    </row>
    <row r="99" spans="1:6" s="1103" customFormat="1" ht="36">
      <c r="A99" s="1152">
        <v>39</v>
      </c>
      <c r="B99" s="3453" t="s">
        <v>1580</v>
      </c>
      <c r="C99" s="1152" t="s">
        <v>1581</v>
      </c>
      <c r="D99" s="1066" t="s">
        <v>1582</v>
      </c>
      <c r="E99" s="1137">
        <v>0.3</v>
      </c>
      <c r="F99" s="1152">
        <v>50</v>
      </c>
    </row>
    <row r="100" spans="1:6" s="1103" customFormat="1" ht="24">
      <c r="A100" s="1152">
        <v>40</v>
      </c>
      <c r="B100" s="3453"/>
      <c r="C100" s="1152" t="s">
        <v>1583</v>
      </c>
      <c r="D100" s="1066" t="s">
        <v>1584</v>
      </c>
      <c r="E100" s="1137">
        <v>0.2</v>
      </c>
      <c r="F100" s="1152">
        <v>30</v>
      </c>
    </row>
    <row r="101" spans="1:6" s="1103" customFormat="1" ht="36">
      <c r="A101" s="1152">
        <v>41</v>
      </c>
      <c r="B101" s="3453"/>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53" t="s">
        <v>1595</v>
      </c>
      <c r="C105" s="1152" t="s">
        <v>1596</v>
      </c>
      <c r="D105" s="1066" t="s">
        <v>1597</v>
      </c>
      <c r="E105" s="1137">
        <v>0.2</v>
      </c>
      <c r="F105" s="1152">
        <v>30</v>
      </c>
    </row>
    <row r="106" spans="1:6" s="1103" customFormat="1" ht="36">
      <c r="A106" s="1152">
        <v>46</v>
      </c>
      <c r="B106" s="3453"/>
      <c r="C106" s="1152" t="s">
        <v>1598</v>
      </c>
      <c r="D106" s="1066" t="s">
        <v>1599</v>
      </c>
      <c r="E106" s="1137">
        <v>0.2</v>
      </c>
      <c r="F106" s="1152">
        <v>30</v>
      </c>
    </row>
    <row r="107" spans="1:6" s="1103" customFormat="1" ht="36">
      <c r="A107" s="1152">
        <v>47</v>
      </c>
      <c r="B107" s="3453" t="s">
        <v>1600</v>
      </c>
      <c r="C107" s="1152" t="s">
        <v>1601</v>
      </c>
      <c r="D107" s="1066" t="s">
        <v>1602</v>
      </c>
      <c r="E107" s="1137">
        <v>0.3</v>
      </c>
      <c r="F107" s="1152">
        <v>50</v>
      </c>
    </row>
    <row r="108" spans="1:6" s="1103" customFormat="1" ht="36">
      <c r="A108" s="1152">
        <v>48</v>
      </c>
      <c r="B108" s="3453"/>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53" t="s">
        <v>1611</v>
      </c>
      <c r="C111" s="1152" t="s">
        <v>1612</v>
      </c>
      <c r="D111" s="1066" t="s">
        <v>1613</v>
      </c>
      <c r="E111" s="1137">
        <v>0.2</v>
      </c>
      <c r="F111" s="1152">
        <v>30</v>
      </c>
    </row>
    <row r="112" spans="1:6" s="1103" customFormat="1" ht="24">
      <c r="A112" s="1152">
        <v>52</v>
      </c>
      <c r="B112" s="3453"/>
      <c r="C112" s="1152" t="s">
        <v>1614</v>
      </c>
      <c r="D112" s="1066" t="s">
        <v>1615</v>
      </c>
      <c r="E112" s="1137">
        <v>0.2</v>
      </c>
      <c r="F112" s="1152">
        <v>30</v>
      </c>
    </row>
    <row r="113" spans="1:14" s="1103" customFormat="1" ht="24">
      <c r="A113" s="1152">
        <v>53</v>
      </c>
      <c r="B113" s="3453"/>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53" t="s">
        <v>1624</v>
      </c>
      <c r="C116" s="1152" t="s">
        <v>1625</v>
      </c>
      <c r="D116" s="1066" t="s">
        <v>1626</v>
      </c>
      <c r="E116" s="1137">
        <v>0.2</v>
      </c>
      <c r="F116" s="1152">
        <v>30</v>
      </c>
    </row>
    <row r="117" spans="1:14" ht="36">
      <c r="A117" s="1152">
        <v>57</v>
      </c>
      <c r="B117" s="3453"/>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52" t="s">
        <v>1633</v>
      </c>
      <c r="B121" s="3452"/>
      <c r="C121" s="3452"/>
      <c r="D121" s="3452"/>
      <c r="E121" s="3452"/>
      <c r="F121" s="3452"/>
      <c r="G121" s="3452"/>
      <c r="H121" s="3452"/>
      <c r="I121" s="3452"/>
      <c r="J121" s="3452"/>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57" t="s">
        <v>1039</v>
      </c>
      <c r="B1" s="3457"/>
      <c r="C1" s="3457"/>
      <c r="D1" s="3457"/>
      <c r="E1" s="3457"/>
      <c r="F1" s="3457"/>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58" t="s">
        <v>1052</v>
      </c>
      <c r="B2" s="3458"/>
      <c r="C2" s="3458"/>
      <c r="D2" s="3458"/>
      <c r="E2" s="3458"/>
      <c r="F2" s="3458"/>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59"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60"/>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2424</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2425</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1" t="s">
        <v>2081</v>
      </c>
      <c r="B1" s="3461"/>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2950</v>
      </c>
      <c r="B1" s="3104"/>
      <c r="C1" s="3104"/>
      <c r="D1" s="3104"/>
      <c r="E1" s="3104"/>
      <c r="F1" s="3104"/>
    </row>
    <row r="2" spans="1:6" ht="14.25">
      <c r="A2" s="3105" t="s">
        <v>2945</v>
      </c>
      <c r="B2" s="3106" t="e">
        <f ca="1">SUMIF(B7:B14,"&lt;&gt;#ref!",B7:B14)</f>
        <v>#DIV/0!</v>
      </c>
      <c r="C2" s="3105" t="s">
        <v>2946</v>
      </c>
      <c r="D2" s="3104"/>
      <c r="E2" s="3104"/>
      <c r="F2" s="3104"/>
    </row>
    <row r="3" spans="1:6" ht="14.25">
      <c r="A3" s="3105" t="s">
        <v>2980</v>
      </c>
      <c r="B3" s="3106" t="e">
        <f ca="1">ROUND(B2*10000/E3,0)</f>
        <v>#DIV/0!</v>
      </c>
      <c r="C3" s="3105" t="s">
        <v>2080</v>
      </c>
      <c r="D3" s="3105" t="s">
        <v>2947</v>
      </c>
      <c r="E3" s="3106">
        <f ca="1">SUMIF(E7:E14,"&lt;&gt;#ref!",E7:E14)</f>
        <v>0</v>
      </c>
      <c r="F3" s="3104"/>
    </row>
    <row r="4" spans="1:6" ht="14.25">
      <c r="A4" s="3105" t="s">
        <v>2954</v>
      </c>
      <c r="B4" s="3106" t="e">
        <f ca="1">ROUND(B2*10000/E4,0)</f>
        <v>#DIV/0!</v>
      </c>
      <c r="C4" s="3105" t="s">
        <v>2080</v>
      </c>
      <c r="D4" s="3105" t="s">
        <v>2955</v>
      </c>
      <c r="E4" s="3106">
        <f ca="1">SUMIF(F7:F14,"&lt;&gt;#ref!",F7:F14)</f>
        <v>0</v>
      </c>
      <c r="F4" s="3104"/>
    </row>
    <row r="5" spans="1:6" ht="14.25">
      <c r="A5" s="3107"/>
      <c r="B5" s="1881"/>
      <c r="C5" s="1881"/>
      <c r="D5" s="1881"/>
      <c r="E5" s="1881"/>
      <c r="F5" s="3104"/>
    </row>
    <row r="6" spans="1:6" ht="28.5">
      <c r="A6" s="3108" t="s">
        <v>2951</v>
      </c>
      <c r="B6" s="3105" t="s">
        <v>2948</v>
      </c>
      <c r="C6" s="3106"/>
      <c r="D6" s="1881"/>
      <c r="E6" s="3105" t="s">
        <v>2949</v>
      </c>
      <c r="F6" s="3105" t="s">
        <v>2953</v>
      </c>
    </row>
    <row r="7" spans="1:6" ht="14.25">
      <c r="A7" s="259" t="s">
        <v>2952</v>
      </c>
      <c r="B7" s="3109" t="e">
        <f ca="1">SUMIF(INDIRECT("'"&amp;A7&amp;"'"&amp;"!A:A"),"总价",INDIRECT("'"&amp;A7&amp;"'"&amp;"!B:B"))</f>
        <v>#DIV/0!</v>
      </c>
      <c r="C7" s="3105" t="s">
        <v>2946</v>
      </c>
      <c r="D7" s="1881"/>
      <c r="E7" s="3110">
        <f ca="1">SUMIF(INDIRECT("'"&amp;A7&amp;"'"&amp;"!C:C"),"建筑面积",INDIRECT("'"&amp;A7&amp;"'"&amp;"!D:D"))</f>
        <v>0</v>
      </c>
      <c r="F7" s="3110">
        <f ca="1">SUMIF(INDIRECT("'"&amp;A7&amp;"'"&amp;"!E:E"),"土地面积",INDIRECT("'"&amp;A7&amp;"'"&amp;"!F:F"))</f>
        <v>0</v>
      </c>
    </row>
    <row r="8" spans="1:6" ht="14.25">
      <c r="A8" s="259"/>
      <c r="B8" s="3109" t="e">
        <f t="shared" ref="B8:B14" ca="1" si="0">SUMIF(INDIRECT("'"&amp;A8&amp;"'"&amp;"!A:A"),"总价",INDIRECT("'"&amp;A8&amp;"'"&amp;"!B:B"))</f>
        <v>#REF!</v>
      </c>
      <c r="C8" s="3105" t="s">
        <v>2946</v>
      </c>
      <c r="D8" s="1881"/>
      <c r="E8" s="3110" t="e">
        <f t="shared" ref="E8:E14" ca="1" si="1">SUMIF(INDIRECT("'"&amp;A8&amp;"'"&amp;"!C:C"),"建筑面积",INDIRECT("'"&amp;A8&amp;"'"&amp;"!D:D"))</f>
        <v>#REF!</v>
      </c>
      <c r="F8" s="3110" t="e">
        <f t="shared" ref="F8:F14" ca="1" si="2">SUMIF(INDIRECT("'"&amp;A8&amp;"'"&amp;"!E:E"),"土地面积",INDIRECT("'"&amp;A8&amp;"'"&amp;"!F:F"))</f>
        <v>#REF!</v>
      </c>
    </row>
    <row r="9" spans="1:6" ht="14.25">
      <c r="A9" s="259"/>
      <c r="B9" s="3109" t="e">
        <f t="shared" ca="1" si="0"/>
        <v>#REF!</v>
      </c>
      <c r="C9" s="3105" t="s">
        <v>2946</v>
      </c>
      <c r="D9" s="1881"/>
      <c r="E9" s="3110" t="e">
        <f t="shared" ca="1" si="1"/>
        <v>#REF!</v>
      </c>
      <c r="F9" s="3110" t="e">
        <f t="shared" ca="1" si="2"/>
        <v>#REF!</v>
      </c>
    </row>
    <row r="10" spans="1:6" ht="14.25">
      <c r="A10" s="259"/>
      <c r="B10" s="3109" t="e">
        <f t="shared" ca="1" si="0"/>
        <v>#REF!</v>
      </c>
      <c r="C10" s="3105" t="s">
        <v>2946</v>
      </c>
      <c r="D10" s="1881"/>
      <c r="E10" s="3110" t="e">
        <f t="shared" ca="1" si="1"/>
        <v>#REF!</v>
      </c>
      <c r="F10" s="3110" t="e">
        <f t="shared" ca="1" si="2"/>
        <v>#REF!</v>
      </c>
    </row>
    <row r="11" spans="1:6" ht="14.25">
      <c r="A11" s="259"/>
      <c r="B11" s="3109" t="e">
        <f t="shared" ca="1" si="0"/>
        <v>#REF!</v>
      </c>
      <c r="C11" s="3105" t="s">
        <v>2946</v>
      </c>
      <c r="D11" s="1881"/>
      <c r="E11" s="3110" t="e">
        <f t="shared" ca="1" si="1"/>
        <v>#REF!</v>
      </c>
      <c r="F11" s="3110" t="e">
        <f t="shared" ca="1" si="2"/>
        <v>#REF!</v>
      </c>
    </row>
    <row r="12" spans="1:6" ht="14.25">
      <c r="A12" s="259"/>
      <c r="B12" s="3109" t="e">
        <f t="shared" ca="1" si="0"/>
        <v>#REF!</v>
      </c>
      <c r="C12" s="3105" t="s">
        <v>2946</v>
      </c>
      <c r="D12" s="1881"/>
      <c r="E12" s="3110" t="e">
        <f t="shared" ca="1" si="1"/>
        <v>#REF!</v>
      </c>
      <c r="F12" s="3110" t="e">
        <f t="shared" ca="1" si="2"/>
        <v>#REF!</v>
      </c>
    </row>
    <row r="13" spans="1:6" ht="14.25">
      <c r="A13" s="259"/>
      <c r="B13" s="3109" t="e">
        <f t="shared" ca="1" si="0"/>
        <v>#REF!</v>
      </c>
      <c r="C13" s="3105" t="s">
        <v>2946</v>
      </c>
      <c r="D13" s="1881"/>
      <c r="E13" s="3110" t="e">
        <f t="shared" ca="1" si="1"/>
        <v>#REF!</v>
      </c>
      <c r="F13" s="3110" t="e">
        <f t="shared" ca="1" si="2"/>
        <v>#REF!</v>
      </c>
    </row>
    <row r="14" spans="1:6" ht="14.25">
      <c r="A14" s="3103"/>
      <c r="B14" s="3109" t="e">
        <f t="shared" ca="1" si="0"/>
        <v>#REF!</v>
      </c>
      <c r="C14" s="3105" t="s">
        <v>2946</v>
      </c>
      <c r="D14" s="1881"/>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627</v>
      </c>
      <c r="B1" s="737"/>
      <c r="C1" s="772"/>
      <c r="D1" s="2050"/>
      <c r="E1" s="2387" t="s">
        <v>2376</v>
      </c>
      <c r="F1" s="2388">
        <f ca="1">J54</f>
        <v>0</v>
      </c>
      <c r="G1" s="773">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628</v>
      </c>
      <c r="B2" s="774">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5" t="s">
        <v>694</v>
      </c>
      <c r="I3" s="2057"/>
      <c r="J3" s="2057"/>
      <c r="K3" s="2058"/>
      <c r="L3" s="2057"/>
      <c r="M3" s="2057"/>
    </row>
    <row r="4" spans="1:25" ht="18" customHeight="1">
      <c r="A4" s="1645" t="s">
        <v>695</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696</v>
      </c>
      <c r="D5" s="2055"/>
      <c r="E5" s="2056"/>
      <c r="F5" s="2056"/>
      <c r="G5" s="1589"/>
      <c r="H5" s="775"/>
      <c r="I5" s="2057"/>
      <c r="J5" s="2057"/>
      <c r="K5" s="2058"/>
      <c r="L5" s="2057"/>
      <c r="M5" s="2057"/>
    </row>
    <row r="6" spans="1:25" ht="18" customHeight="1">
      <c r="A6" s="1828" t="s">
        <v>697</v>
      </c>
      <c r="B6" s="1820" t="s">
        <v>698</v>
      </c>
      <c r="C6" s="1820" t="s">
        <v>631</v>
      </c>
      <c r="D6" s="1820" t="s">
        <v>632</v>
      </c>
      <c r="E6" s="778" t="s">
        <v>633</v>
      </c>
      <c r="F6" s="779"/>
      <c r="G6" s="1591"/>
      <c r="H6" s="1828" t="s">
        <v>629</v>
      </c>
      <c r="I6" s="1820" t="s">
        <v>630</v>
      </c>
      <c r="J6" s="1820" t="s">
        <v>631</v>
      </c>
      <c r="K6" s="1820" t="s">
        <v>632</v>
      </c>
      <c r="L6" s="778" t="s">
        <v>633</v>
      </c>
      <c r="M6" s="779"/>
    </row>
    <row r="7" spans="1:25" ht="18" customHeight="1">
      <c r="A7" s="780">
        <v>1</v>
      </c>
      <c r="B7" s="781" t="s">
        <v>2460</v>
      </c>
      <c r="C7" s="53">
        <f ca="1">C8+C12+C14</f>
        <v>0</v>
      </c>
      <c r="D7" s="2496" t="s">
        <v>2463</v>
      </c>
      <c r="E7" s="2490"/>
      <c r="F7" s="2491"/>
      <c r="G7" s="1591"/>
      <c r="H7" s="780">
        <v>1</v>
      </c>
      <c r="I7" s="781" t="s">
        <v>2460</v>
      </c>
      <c r="J7" s="53">
        <f ca="1">J8+J12+J14</f>
        <v>0</v>
      </c>
      <c r="K7" s="2496" t="s">
        <v>2463</v>
      </c>
      <c r="L7" s="2490"/>
      <c r="M7" s="2491"/>
    </row>
    <row r="8" spans="1:25" ht="18" customHeight="1">
      <c r="A8" s="1830" t="s">
        <v>1824</v>
      </c>
      <c r="B8" s="3463" t="s">
        <v>2465</v>
      </c>
      <c r="C8" s="1825">
        <f ca="1">ROUND(F8*F10*F9*(1-F11)/10000,0)</f>
        <v>0</v>
      </c>
      <c r="D8" s="1822" t="s">
        <v>2536</v>
      </c>
      <c r="E8" s="61" t="s">
        <v>636</v>
      </c>
      <c r="F8" s="784">
        <f ca="1">INDIRECT("'数据-取费表'!u"&amp;$G$1)</f>
        <v>0.8</v>
      </c>
      <c r="G8" s="1591"/>
      <c r="H8" s="2504" t="s">
        <v>1824</v>
      </c>
      <c r="I8" s="3463" t="s">
        <v>2465</v>
      </c>
      <c r="J8" s="782">
        <f ca="1">ROUND(M8*M10*M9*(1-M11)/10000,0)</f>
        <v>0</v>
      </c>
      <c r="K8" s="340" t="s">
        <v>2536</v>
      </c>
      <c r="L8" s="783" t="s">
        <v>1738</v>
      </c>
      <c r="M8" s="784">
        <f ca="1">INDIRECT("'数据-取费表'!z"&amp;$G$1)</f>
        <v>0</v>
      </c>
    </row>
    <row r="9" spans="1:25" ht="18" customHeight="1">
      <c r="A9" s="2500"/>
      <c r="B9" s="3464"/>
      <c r="C9" s="1826"/>
      <c r="D9" s="1823"/>
      <c r="E9" s="61" t="s">
        <v>637</v>
      </c>
      <c r="F9" s="784">
        <f ca="1">IF(INDIRECT("'数据-取费表'!ah"&amp;$G$1)="",INDIRECT("'数据-取费表'!k"&amp;$G$1),INDIRECT("'数据-取费表'!ah"&amp;$G$1))</f>
        <v>0</v>
      </c>
      <c r="G9" s="1591"/>
      <c r="H9" s="2489"/>
      <c r="I9" s="3464"/>
      <c r="J9" s="787"/>
      <c r="K9" s="788"/>
      <c r="L9" s="783" t="s">
        <v>1739</v>
      </c>
      <c r="M9" s="784">
        <f ca="1">F9</f>
        <v>0</v>
      </c>
    </row>
    <row r="10" spans="1:25" ht="18" customHeight="1">
      <c r="A10" s="2493"/>
      <c r="B10" s="3465"/>
      <c r="C10" s="1826"/>
      <c r="D10" s="1823"/>
      <c r="E10" s="61" t="s">
        <v>638</v>
      </c>
      <c r="F10" s="784">
        <f ca="1">INDIRECT("'数据-取费表'!ai"&amp;$G$1)</f>
        <v>365</v>
      </c>
      <c r="G10" s="1591"/>
      <c r="H10" s="2489"/>
      <c r="I10" s="3465"/>
      <c r="J10" s="787"/>
      <c r="K10" s="788"/>
      <c r="L10" s="783" t="s">
        <v>1740</v>
      </c>
      <c r="M10" s="784">
        <f ca="1">INDIRECT("'数据-取费表'!ai"&amp;$G$1)</f>
        <v>365</v>
      </c>
    </row>
    <row r="11" spans="1:25" ht="18" customHeight="1">
      <c r="A11" s="785"/>
      <c r="B11" s="3466"/>
      <c r="C11" s="1826"/>
      <c r="D11" s="1823"/>
      <c r="E11" s="61" t="s">
        <v>639</v>
      </c>
      <c r="F11" s="793">
        <f ca="1">INDIRECT("'数据-取费表'!w"&amp;$G$1)</f>
        <v>0.1</v>
      </c>
      <c r="G11" s="1591"/>
      <c r="H11" s="2505"/>
      <c r="I11" s="3465"/>
      <c r="J11" s="787"/>
      <c r="K11" s="788"/>
      <c r="L11" s="794" t="s">
        <v>1741</v>
      </c>
      <c r="M11" s="795">
        <f ca="1">INDIRECT("'数据-取费表'!ab"&amp;$G$1)</f>
        <v>0</v>
      </c>
    </row>
    <row r="12" spans="1:25" ht="18" customHeight="1">
      <c r="A12" s="1830" t="s">
        <v>1825</v>
      </c>
      <c r="B12" s="2494" t="s">
        <v>2461</v>
      </c>
      <c r="C12" s="798">
        <f ca="1">ROUND(IF(F12="押一",C8/12*F13,IF(F12="押二",C8/12*2*F13,IF(F12="押三",C8/12*3*F13,C13*F13))),0)</f>
        <v>0</v>
      </c>
      <c r="D12" s="2501" t="s">
        <v>2975</v>
      </c>
      <c r="E12" s="2498" t="s">
        <v>2466</v>
      </c>
      <c r="F12" s="2621"/>
      <c r="G12" s="1591"/>
      <c r="H12" s="2561" t="s">
        <v>1825</v>
      </c>
      <c r="I12" s="2566" t="s">
        <v>2461</v>
      </c>
      <c r="J12" s="782">
        <f ca="1">ROUND(IF(M12="押一",J8/12*M13,IF(M12="押二",J8/12*2*M13,IF(M12="押三",J8/12*3*M13,J13*M13))),0)</f>
        <v>0</v>
      </c>
      <c r="K12" s="2501" t="s">
        <v>2975</v>
      </c>
      <c r="L12" s="2498" t="s">
        <v>2466</v>
      </c>
      <c r="M12" s="2621"/>
    </row>
    <row r="13" spans="1:25" ht="18" customHeight="1">
      <c r="A13" s="789"/>
      <c r="B13" s="2495" t="s">
        <v>2575</v>
      </c>
      <c r="C13" s="2499"/>
      <c r="D13" s="788"/>
      <c r="E13" s="2498" t="s">
        <v>2458</v>
      </c>
      <c r="F13" s="795">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1">
        <f ca="1">ROUND(C31*F15,0)</f>
        <v>0</v>
      </c>
      <c r="D15" s="1834" t="s">
        <v>641</v>
      </c>
      <c r="E15" s="794" t="s">
        <v>642</v>
      </c>
      <c r="F15" s="799">
        <f ca="1">INDIRECT("'数据-取费表'!y"&amp;$G$1)</f>
        <v>1</v>
      </c>
      <c r="G15" s="1591"/>
      <c r="H15" s="1829" t="s">
        <v>1826</v>
      </c>
      <c r="I15" s="1827" t="s">
        <v>643</v>
      </c>
      <c r="J15" s="1819">
        <f ca="1">ROUND(J16*J17,0)</f>
        <v>0</v>
      </c>
      <c r="K15" s="1821" t="s">
        <v>641</v>
      </c>
      <c r="L15" s="800"/>
      <c r="M15" s="801"/>
    </row>
    <row r="16" spans="1:25" ht="18" customHeight="1">
      <c r="A16" s="802" t="s">
        <v>1875</v>
      </c>
      <c r="B16" s="783" t="s">
        <v>644</v>
      </c>
      <c r="C16" s="803">
        <f ca="1">INDIRECT("'数据-取费表'!m"&amp;$G$1)+INDIRECT("'数据-取费表'!t"&amp;$G$1)</f>
        <v>0</v>
      </c>
      <c r="D16" s="1979" t="s">
        <v>645</v>
      </c>
      <c r="E16" s="1980"/>
      <c r="F16" s="804"/>
      <c r="G16" s="1591"/>
      <c r="H16" s="802" t="s">
        <v>2071</v>
      </c>
      <c r="I16" s="2231" t="s">
        <v>2827</v>
      </c>
      <c r="J16" s="53">
        <f ca="1">C31</f>
        <v>0</v>
      </c>
      <c r="K16" s="26"/>
      <c r="L16" s="800"/>
      <c r="M16" s="801"/>
    </row>
    <row r="17" spans="1:25" s="2064" customFormat="1" ht="18" customHeight="1">
      <c r="A17" s="802" t="s">
        <v>1849</v>
      </c>
      <c r="B17" s="783" t="s">
        <v>646</v>
      </c>
      <c r="C17" s="53">
        <f ca="1">ROUND(C16*F17,0)</f>
        <v>0</v>
      </c>
      <c r="D17" s="805" t="s">
        <v>647</v>
      </c>
      <c r="E17" s="805" t="s">
        <v>648</v>
      </c>
      <c r="F17" s="806">
        <f>'数据-取费表'!B33</f>
        <v>0.03</v>
      </c>
      <c r="G17" s="1592"/>
      <c r="H17" s="802" t="s">
        <v>2072</v>
      </c>
      <c r="I17" s="783" t="s">
        <v>642</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91"/>
      <c r="H18" s="796" t="s">
        <v>1827</v>
      </c>
      <c r="I18" s="797" t="s">
        <v>650</v>
      </c>
      <c r="J18" s="798">
        <f ca="1">ROUND(J19+J24+J25+J26,0)</f>
        <v>0</v>
      </c>
      <c r="K18" s="26" t="s">
        <v>651</v>
      </c>
      <c r="L18" s="1982"/>
      <c r="M18" s="56"/>
    </row>
    <row r="19" spans="1:25" s="2064" customFormat="1" ht="18" customHeight="1">
      <c r="A19" s="802" t="s">
        <v>1851</v>
      </c>
      <c r="B19" s="783" t="s">
        <v>652</v>
      </c>
      <c r="C19" s="53">
        <f ca="1">ROUND(F19*(INDIRECT("'数据-取费表'!k"&amp;$G$1)+INDIRECT("'数据-取费表'!S"&amp;$G$1))/10000,0)</f>
        <v>0</v>
      </c>
      <c r="D19" s="783" t="s">
        <v>653</v>
      </c>
      <c r="E19" s="783" t="s">
        <v>654</v>
      </c>
      <c r="F19" s="56">
        <f>'数据-取费表'!B35</f>
        <v>200</v>
      </c>
      <c r="G19" s="1592"/>
      <c r="H19" s="802" t="s">
        <v>2071</v>
      </c>
      <c r="I19" s="783" t="s">
        <v>655</v>
      </c>
      <c r="J19" s="53">
        <f ca="1">ROUND(IF(项目基本情况!B11="自然人",J7*M19,J20+J21+J22),0)</f>
        <v>0</v>
      </c>
      <c r="K19" s="1979" t="s">
        <v>656</v>
      </c>
      <c r="L19" s="1977" t="s">
        <v>657</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658</v>
      </c>
      <c r="C20" s="53">
        <f ca="1">ROUND(C16*F20,0)</f>
        <v>0</v>
      </c>
      <c r="D20" s="783" t="s">
        <v>647</v>
      </c>
      <c r="E20" s="783" t="s">
        <v>648</v>
      </c>
      <c r="F20" s="808">
        <f>'数据-取费表'!B36</f>
        <v>1.4999999999999999E-2</v>
      </c>
      <c r="G20" s="1592"/>
      <c r="H20" s="802" t="s">
        <v>1831</v>
      </c>
      <c r="I20" s="783" t="s">
        <v>659</v>
      </c>
      <c r="J20" s="53">
        <f ca="1">ROUND(J7*M20/1.05,1)</f>
        <v>0</v>
      </c>
      <c r="K20" s="1977" t="s">
        <v>660</v>
      </c>
      <c r="L20" s="783" t="s">
        <v>648</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661</v>
      </c>
      <c r="C21" s="53">
        <f ca="1">SUM(C16:C20)</f>
        <v>0</v>
      </c>
      <c r="D21" s="260" t="s">
        <v>662</v>
      </c>
      <c r="E21" s="1982"/>
      <c r="F21" s="56"/>
      <c r="G21" s="1591"/>
      <c r="H21" s="1830" t="s">
        <v>1849</v>
      </c>
      <c r="I21" s="783" t="s">
        <v>663</v>
      </c>
      <c r="J21" s="53">
        <f ca="1">IF(K21="按租金收入计税",ROUND(J7*M21,1),ROUND(C31*F35*0.7,1))</f>
        <v>0</v>
      </c>
      <c r="K21" s="810" t="s">
        <v>664</v>
      </c>
      <c r="L21" s="783" t="s">
        <v>648</v>
      </c>
      <c r="M21" s="808">
        <f>IF(K21="按租金收入计税",'数据-取费表'!B51,'数据-取费表'!B50)</f>
        <v>1.2E-2</v>
      </c>
    </row>
    <row r="22" spans="1:25" s="2064" customFormat="1" ht="18" customHeight="1">
      <c r="A22" s="802" t="s">
        <v>1877</v>
      </c>
      <c r="B22" s="783" t="s">
        <v>665</v>
      </c>
      <c r="C22" s="53">
        <f ca="1">ROUND(C21*F22,0)</f>
        <v>0</v>
      </c>
      <c r="D22" s="811" t="s">
        <v>666</v>
      </c>
      <c r="E22" s="783" t="s">
        <v>648</v>
      </c>
      <c r="F22" s="808">
        <f>'数据-取费表'!B37</f>
        <v>0.03</v>
      </c>
      <c r="G22" s="1592"/>
      <c r="H22" s="1832" t="s">
        <v>1850</v>
      </c>
      <c r="I22" s="1822" t="s">
        <v>667</v>
      </c>
      <c r="J22" s="54">
        <f ca="1">ROUND(M22*M23/10000,0)</f>
        <v>0</v>
      </c>
      <c r="K22" s="813" t="s">
        <v>668</v>
      </c>
      <c r="L22" s="783" t="s">
        <v>669</v>
      </c>
      <c r="M22" s="639">
        <f>'数据-取费表'!B52</f>
        <v>0</v>
      </c>
      <c r="N22" s="2063"/>
      <c r="O22" s="2063"/>
      <c r="P22" s="2063"/>
      <c r="Q22" s="2063"/>
      <c r="R22" s="2063"/>
      <c r="S22" s="2063"/>
      <c r="T22" s="2063"/>
      <c r="U22" s="2063"/>
      <c r="V22" s="2063"/>
      <c r="W22" s="2063"/>
      <c r="X22" s="2063"/>
      <c r="Y22" s="2063"/>
    </row>
    <row r="23" spans="1:25" s="2064" customFormat="1" ht="18" customHeight="1">
      <c r="A23" s="802" t="s">
        <v>1878</v>
      </c>
      <c r="B23" s="783" t="s">
        <v>670</v>
      </c>
      <c r="C23" s="53" t="s">
        <v>1</v>
      </c>
      <c r="D23" s="811" t="s">
        <v>671</v>
      </c>
      <c r="E23" s="783" t="s">
        <v>672</v>
      </c>
      <c r="F23" s="808">
        <f>'数据-取费表'!B38</f>
        <v>0.03</v>
      </c>
      <c r="G23" s="1592"/>
      <c r="H23" s="1833"/>
      <c r="I23" s="1824"/>
      <c r="J23" s="69"/>
      <c r="K23" s="815"/>
      <c r="L23" s="783" t="s">
        <v>673</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674</v>
      </c>
      <c r="C24" s="53"/>
      <c r="D24" s="2572" t="str">
        <f>IF(F25&lt;=1,"单利计息。","复利计息。")&amp;"建造成本、管理费用、销售费用产生的利息。"</f>
        <v>单利计息。建造成本、管理费用、销售费用产生的利息。</v>
      </c>
      <c r="E24" s="1982"/>
      <c r="F24" s="56"/>
      <c r="G24" s="1591"/>
      <c r="H24" s="1831" t="s">
        <v>2072</v>
      </c>
      <c r="I24" s="783" t="s">
        <v>675</v>
      </c>
      <c r="J24" s="53">
        <f ca="1">ROUND(J16*M24,0)</f>
        <v>0</v>
      </c>
      <c r="K24" s="1977" t="s">
        <v>676</v>
      </c>
      <c r="L24" s="783" t="s">
        <v>648</v>
      </c>
      <c r="M24" s="816">
        <f ca="1">INDIRECT("'数据-取费表'!Ak"&amp;$G$1)</f>
        <v>1.4999999999999999E-2</v>
      </c>
    </row>
    <row r="25" spans="1:25" s="2064" customFormat="1" ht="18" customHeight="1">
      <c r="A25" s="802" t="s">
        <v>1875</v>
      </c>
      <c r="B25" s="783" t="s">
        <v>2439</v>
      </c>
      <c r="C25" s="53">
        <f ca="1">ROUND(IF('数据-取费表'!B22&lt;=1,(C21+C22)*F26*F25/2,(C21+C22)*(POWER((1+F26),F25/2)-1)),0)</f>
        <v>0</v>
      </c>
      <c r="D25" s="2571" t="str">
        <f>IF(F25&lt;=1,"(建造成本+管理费用)×利率×(建设周期÷2)","(建造成本+管理费用)×((1+利率)^(建设周期÷2)-1)")</f>
        <v>(建造成本+管理费用)×利率×(建设周期÷2)</v>
      </c>
      <c r="E25" s="783" t="s">
        <v>677</v>
      </c>
      <c r="F25" s="639">
        <f>'数据-取费表'!B20</f>
        <v>1</v>
      </c>
      <c r="G25" s="1592"/>
      <c r="H25" s="802" t="s">
        <v>1878</v>
      </c>
      <c r="I25" s="783" t="s">
        <v>678</v>
      </c>
      <c r="J25" s="53">
        <f ca="1">ROUND(J15*M25,0)</f>
        <v>0</v>
      </c>
      <c r="K25" s="1977" t="s">
        <v>679</v>
      </c>
      <c r="L25" s="783" t="s">
        <v>648</v>
      </c>
      <c r="M25" s="817">
        <f ca="1">INDIRECT("'数据-取费表'!Al"&amp;$G$1)</f>
        <v>2E-3</v>
      </c>
      <c r="N25" s="2063"/>
      <c r="O25" s="2063"/>
      <c r="P25" s="2063"/>
      <c r="Q25" s="2063"/>
      <c r="R25" s="2063"/>
      <c r="S25" s="2063"/>
      <c r="T25" s="2063"/>
      <c r="U25" s="2063"/>
      <c r="V25" s="2063"/>
      <c r="W25" s="2063"/>
      <c r="X25" s="2063"/>
      <c r="Y25" s="2063"/>
    </row>
    <row r="26" spans="1:25" s="2064" customFormat="1" ht="18" customHeight="1">
      <c r="A26" s="802" t="s">
        <v>1849</v>
      </c>
      <c r="B26" s="783" t="s">
        <v>680</v>
      </c>
      <c r="C26" s="53">
        <f ca="1">ROUND(IF('数据-取费表'!B22&lt;=1,F23*F26*F25/2,F23*(POWER((1+F26),F25/2)-1)),4)</f>
        <v>6.9999999999999999E-4</v>
      </c>
      <c r="D26" s="2571" t="str">
        <f>IF(F25&lt;=1,"销售费用×利率×(建设周期÷2)","销售费用×((1+利率)^(建设周期÷2)-1)")</f>
        <v>销售费用×利率×(建设周期÷2)</v>
      </c>
      <c r="E26" s="783" t="s">
        <v>681</v>
      </c>
      <c r="F26" s="818">
        <f ca="1">'数据-取费表'!B40</f>
        <v>4.3499999999999997E-2</v>
      </c>
      <c r="G26" s="1592"/>
      <c r="H26" s="802" t="s">
        <v>1879</v>
      </c>
      <c r="I26" s="783" t="s">
        <v>665</v>
      </c>
      <c r="J26" s="53">
        <f ca="1">ROUND(J7*M26,0)</f>
        <v>0</v>
      </c>
      <c r="K26" s="1977" t="s">
        <v>682</v>
      </c>
      <c r="L26" s="783" t="s">
        <v>648</v>
      </c>
      <c r="M26" s="793">
        <f ca="1">INDIRECT("'数据-取费表'!Am"&amp;$G$1)</f>
        <v>0.02</v>
      </c>
      <c r="N26" s="2063"/>
      <c r="O26" s="2063"/>
      <c r="P26" s="2063"/>
      <c r="Q26" s="2063"/>
      <c r="R26" s="2063"/>
      <c r="S26" s="2063"/>
      <c r="T26" s="2063"/>
      <c r="U26" s="2063"/>
      <c r="V26" s="2063"/>
      <c r="W26" s="2063"/>
      <c r="X26" s="2063"/>
      <c r="Y26" s="2063"/>
    </row>
    <row r="27" spans="1:25" ht="18" customHeight="1">
      <c r="A27" s="802" t="s">
        <v>1881</v>
      </c>
      <c r="B27" s="783" t="s">
        <v>683</v>
      </c>
      <c r="C27" s="53"/>
      <c r="D27" s="260" t="s">
        <v>684</v>
      </c>
      <c r="E27" s="1982"/>
      <c r="F27" s="56"/>
      <c r="G27" s="1591"/>
      <c r="H27" s="796" t="s">
        <v>1828</v>
      </c>
      <c r="I27" s="3011" t="s">
        <v>2824</v>
      </c>
      <c r="J27" s="798">
        <f ca="1">J7-J18</f>
        <v>0</v>
      </c>
      <c r="K27" s="1979" t="s">
        <v>699</v>
      </c>
      <c r="L27" s="1981"/>
      <c r="M27" s="819"/>
    </row>
    <row r="28" spans="1:25" ht="18" customHeight="1">
      <c r="A28" s="802" t="s">
        <v>1875</v>
      </c>
      <c r="B28" s="783" t="s">
        <v>2440</v>
      </c>
      <c r="C28" s="53">
        <f ca="1">ROUND((C21+C22)*F28,0)</f>
        <v>0</v>
      </c>
      <c r="D28" s="811" t="s">
        <v>700</v>
      </c>
      <c r="E28" s="794" t="s">
        <v>701</v>
      </c>
      <c r="F28" s="793">
        <f ca="1">INDIRECT("'数据-取费表'!q"&amp;$G$1)</f>
        <v>0.05</v>
      </c>
      <c r="G28" s="1591"/>
      <c r="H28" s="780" t="s">
        <v>1837</v>
      </c>
      <c r="I28" s="781" t="s">
        <v>702</v>
      </c>
      <c r="J28" s="782">
        <f ca="1">IF(J7&lt;&gt;0,ROUND(J27*(1-((1+M30)/(1+M28))^M29)/(M28-M30),0),0)</f>
        <v>0</v>
      </c>
      <c r="K28" s="813" t="s">
        <v>703</v>
      </c>
      <c r="L28" s="783" t="s">
        <v>704</v>
      </c>
      <c r="M28" s="793">
        <f ca="1">INDIRECT("'数据-取费表'!I"&amp;$G$1)</f>
        <v>0.05</v>
      </c>
    </row>
    <row r="29" spans="1:25" ht="18" customHeight="1">
      <c r="A29" s="802" t="s">
        <v>1849</v>
      </c>
      <c r="B29" s="783" t="s">
        <v>685</v>
      </c>
      <c r="C29" s="53">
        <f ca="1">ROUND(F23*F28,4)</f>
        <v>1.5E-3</v>
      </c>
      <c r="D29" s="811" t="s">
        <v>705</v>
      </c>
      <c r="E29" s="805"/>
      <c r="F29" s="806"/>
      <c r="G29" s="1591"/>
      <c r="H29" s="785"/>
      <c r="I29" s="786"/>
      <c r="J29" s="787"/>
      <c r="K29" s="820" t="s">
        <v>706</v>
      </c>
      <c r="L29" s="783" t="s">
        <v>707</v>
      </c>
      <c r="M29" s="821">
        <f ca="1">INDIRECT("'数据-取费表'!ag"&amp;$G$1)</f>
        <v>0</v>
      </c>
    </row>
    <row r="30" spans="1:25" s="2064" customFormat="1" ht="18" customHeight="1">
      <c r="A30" s="802" t="s">
        <v>1882</v>
      </c>
      <c r="B30" s="783" t="s">
        <v>686</v>
      </c>
      <c r="C30" s="53">
        <f>ROUND(F30/(1+'数据-取费表'!C42),4)</f>
        <v>5.2400000000000002E-2</v>
      </c>
      <c r="D30" s="811" t="s">
        <v>708</v>
      </c>
      <c r="E30" s="783" t="s">
        <v>648</v>
      </c>
      <c r="F30" s="808">
        <f>'数据-取费表'!B41</f>
        <v>5.5000000000000007E-2</v>
      </c>
      <c r="G30" s="1592"/>
      <c r="H30" s="789"/>
      <c r="I30" s="790"/>
      <c r="J30" s="791"/>
      <c r="K30" s="815"/>
      <c r="L30" s="783" t="s">
        <v>709</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2" t="s">
        <v>1872</v>
      </c>
      <c r="I31" s="3012" t="s">
        <v>2826</v>
      </c>
      <c r="J31" s="824" t="e">
        <f ca="1">ROUND(J28/(1+F45)^F46,0)</f>
        <v>#N/A</v>
      </c>
      <c r="K31" s="825" t="s">
        <v>687</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1">
        <f ca="1">ROUND(C33+C38+C39+C40,0)</f>
        <v>0</v>
      </c>
      <c r="D32" s="1821" t="s">
        <v>651</v>
      </c>
      <c r="E32" s="2487"/>
      <c r="F32" s="2491"/>
      <c r="G32" s="2062"/>
      <c r="H32" s="2065"/>
      <c r="I32" s="2066"/>
      <c r="J32" s="2067"/>
      <c r="K32" s="2068"/>
      <c r="L32" s="2069"/>
      <c r="M32" s="2070"/>
    </row>
    <row r="33" spans="1:18" ht="18" customHeight="1">
      <c r="A33" s="802" t="s">
        <v>1876</v>
      </c>
      <c r="B33" s="783" t="s">
        <v>655</v>
      </c>
      <c r="C33" s="53">
        <f ca="1">ROUND(IF(项目基本情况!B11="自然人",C7*F33,C34+C35+C36),1)</f>
        <v>0</v>
      </c>
      <c r="D33" s="1979" t="s">
        <v>656</v>
      </c>
      <c r="E33" s="1977" t="s">
        <v>689</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659</v>
      </c>
      <c r="C34" s="53">
        <f ca="1">ROUND(C7*F34/1.05,1)</f>
        <v>0</v>
      </c>
      <c r="D34" s="1977" t="s">
        <v>660</v>
      </c>
      <c r="E34" s="783" t="s">
        <v>648</v>
      </c>
      <c r="F34" s="808">
        <f>'数据-取费表'!B41</f>
        <v>5.5000000000000007E-2</v>
      </c>
      <c r="G34" s="2062"/>
      <c r="H34" s="2071"/>
      <c r="I34" s="2072"/>
      <c r="J34" s="2073"/>
      <c r="K34" s="2074"/>
      <c r="L34" s="2075"/>
      <c r="M34" s="2076"/>
    </row>
    <row r="35" spans="1:18" ht="18" customHeight="1">
      <c r="A35" s="802" t="s">
        <v>1849</v>
      </c>
      <c r="B35" s="783" t="s">
        <v>663</v>
      </c>
      <c r="C35" s="53">
        <f ca="1">IF(D35="按租金收入计税",ROUND(C7*F35,1),IF(D35="按房产原值计税",ROUND(C31*F35*0.7,1),INDIRECT("'数据-取费表'!Aj"&amp;$G$1)))</f>
        <v>0</v>
      </c>
      <c r="D35" s="810" t="s">
        <v>1680</v>
      </c>
      <c r="E35" s="783" t="s">
        <v>648</v>
      </c>
      <c r="F35" s="808">
        <f>IF(D35="按租金收入计税",'数据-取费表'!B51,'数据-取费表'!B50)</f>
        <v>1.2E-2</v>
      </c>
      <c r="G35" s="2062"/>
      <c r="H35" s="2077"/>
      <c r="I35" s="2077"/>
      <c r="J35" s="2077"/>
      <c r="K35" s="2078"/>
      <c r="L35" s="2077"/>
      <c r="M35" s="2077"/>
    </row>
    <row r="36" spans="1:18" ht="18" customHeight="1">
      <c r="A36" s="812" t="s">
        <v>1880</v>
      </c>
      <c r="B36" s="340" t="s">
        <v>667</v>
      </c>
      <c r="C36" s="54">
        <f ca="1">ROUND(F36*F37/10000,1)</f>
        <v>0</v>
      </c>
      <c r="D36" s="813" t="s">
        <v>668</v>
      </c>
      <c r="E36" s="783" t="s">
        <v>669</v>
      </c>
      <c r="F36" s="639">
        <f>'数据-取费表'!B52</f>
        <v>0</v>
      </c>
      <c r="G36" s="2062"/>
      <c r="H36" s="2065"/>
      <c r="I36" s="3462"/>
      <c r="J36" s="2079"/>
      <c r="K36" s="2080"/>
      <c r="L36" s="2079"/>
      <c r="M36" s="2079"/>
    </row>
    <row r="37" spans="1:18" ht="18" customHeight="1">
      <c r="A37" s="814"/>
      <c r="B37" s="792"/>
      <c r="C37" s="69"/>
      <c r="D37" s="815"/>
      <c r="E37" s="783" t="s">
        <v>673</v>
      </c>
      <c r="F37" s="784">
        <f ca="1">INDIRECT("'数据-取费表'!r"&amp;$G$1)</f>
        <v>0</v>
      </c>
      <c r="G37" s="2062"/>
      <c r="H37" s="2065"/>
      <c r="I37" s="3462"/>
      <c r="J37" s="2077"/>
      <c r="K37" s="2078"/>
      <c r="L37" s="2077"/>
      <c r="M37" s="2077"/>
    </row>
    <row r="38" spans="1:18" ht="18" customHeight="1">
      <c r="A38" s="802" t="s">
        <v>1877</v>
      </c>
      <c r="B38" s="783" t="s">
        <v>675</v>
      </c>
      <c r="C38" s="53">
        <f ca="1">ROUND(C31*F38,1)</f>
        <v>0</v>
      </c>
      <c r="D38" s="1977" t="s">
        <v>690</v>
      </c>
      <c r="E38" s="783" t="s">
        <v>648</v>
      </c>
      <c r="F38" s="816">
        <f ca="1">INDIRECT("'数据-取费表'!Ak"&amp;$G$1)</f>
        <v>1.4999999999999999E-2</v>
      </c>
      <c r="G38" s="2062"/>
      <c r="H38" s="2077"/>
      <c r="I38" s="2081"/>
      <c r="J38" s="1988"/>
      <c r="K38" s="2082"/>
      <c r="L38" s="2077"/>
      <c r="M38" s="2077"/>
    </row>
    <row r="39" spans="1:18" ht="18" customHeight="1">
      <c r="A39" s="802" t="s">
        <v>1878</v>
      </c>
      <c r="B39" s="783" t="s">
        <v>678</v>
      </c>
      <c r="C39" s="53">
        <f ca="1">ROUND(C15*F39,1)</f>
        <v>0</v>
      </c>
      <c r="D39" s="1977" t="s">
        <v>679</v>
      </c>
      <c r="E39" s="783" t="s">
        <v>648</v>
      </c>
      <c r="F39" s="817">
        <f ca="1">INDIRECT("'数据-取费表'!Al"&amp;$G$1)</f>
        <v>2E-3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0.02</v>
      </c>
      <c r="G40" s="2062"/>
      <c r="H40" s="2077"/>
      <c r="I40" s="2081"/>
      <c r="J40" s="1988"/>
      <c r="K40" s="2083"/>
      <c r="L40" s="2077"/>
      <c r="M40" s="2077"/>
    </row>
    <row r="41" spans="1:18" ht="18" customHeight="1" thickTop="1">
      <c r="A41" s="1829">
        <v>4</v>
      </c>
      <c r="B41" s="1827" t="s">
        <v>691</v>
      </c>
      <c r="C41" s="1351"/>
      <c r="D41" s="1352"/>
      <c r="E41" s="1352"/>
      <c r="F41" s="1353"/>
      <c r="G41" s="2062"/>
      <c r="H41" s="2062"/>
      <c r="I41" s="2062"/>
      <c r="J41" s="2062"/>
      <c r="K41" s="2083"/>
      <c r="L41" s="2062"/>
      <c r="M41" s="2062"/>
    </row>
    <row r="42" spans="1:18" ht="18" customHeight="1">
      <c r="A42" s="802" t="s">
        <v>1876</v>
      </c>
      <c r="B42" s="834" t="s">
        <v>692</v>
      </c>
      <c r="C42" s="828">
        <f ca="1">C7-C32</f>
        <v>0</v>
      </c>
      <c r="D42" s="1979" t="s">
        <v>693</v>
      </c>
      <c r="E42" s="1981"/>
      <c r="F42" s="819"/>
      <c r="G42" s="2062"/>
      <c r="H42" s="2062"/>
      <c r="I42" s="2062"/>
      <c r="J42" s="2062"/>
      <c r="K42" s="2083"/>
      <c r="L42" s="2062"/>
      <c r="M42" s="2062"/>
    </row>
    <row r="43" spans="1:18" ht="18" customHeight="1">
      <c r="A43" s="802" t="s">
        <v>1877</v>
      </c>
      <c r="B43" s="834" t="s">
        <v>710</v>
      </c>
      <c r="C43" s="835">
        <f ca="1">ROUND(C15*F43,0)</f>
        <v>0</v>
      </c>
      <c r="D43" s="1354" t="s">
        <v>711</v>
      </c>
      <c r="E43" s="3121" t="s">
        <v>2963</v>
      </c>
      <c r="F43" s="3122">
        <f ca="1">INDIRECT("'数据-取费表'!j"&amp;$G$1)</f>
        <v>0.08</v>
      </c>
      <c r="G43" s="2062"/>
      <c r="H43" s="2062"/>
      <c r="I43" s="2062"/>
      <c r="J43" s="2062"/>
      <c r="K43" s="2083"/>
      <c r="L43" s="2062"/>
      <c r="M43" s="2062"/>
    </row>
    <row r="44" spans="1:18" ht="18" customHeight="1">
      <c r="A44" s="802" t="s">
        <v>1878</v>
      </c>
      <c r="B44" s="834" t="s">
        <v>712</v>
      </c>
      <c r="C44" s="1355">
        <f ca="1">C42-C43</f>
        <v>0</v>
      </c>
      <c r="D44" s="462" t="s">
        <v>713</v>
      </c>
      <c r="E44" s="463"/>
      <c r="F44" s="464"/>
      <c r="G44" s="2062"/>
      <c r="H44" s="2062"/>
      <c r="I44" s="2062"/>
      <c r="J44" s="2062"/>
      <c r="K44" s="2083"/>
      <c r="L44" s="2062"/>
      <c r="M44" s="2062"/>
    </row>
    <row r="45" spans="1:18" ht="18" customHeight="1">
      <c r="A45" s="802" t="s">
        <v>1879</v>
      </c>
      <c r="B45" s="1354" t="s">
        <v>714</v>
      </c>
      <c r="C45" s="3038" t="e">
        <f ca="1">ROUND(-PV(F45,F46,C44,0),0)</f>
        <v>#N/A</v>
      </c>
      <c r="D45" s="1356" t="s">
        <v>715</v>
      </c>
      <c r="E45" s="805" t="s">
        <v>716</v>
      </c>
      <c r="F45" s="829">
        <f ca="1">INDIRECT("'数据-取费表'!h"&amp;$G$1)</f>
        <v>4.4999999999999998E-2</v>
      </c>
      <c r="G45" s="2062"/>
      <c r="H45" s="2062"/>
      <c r="I45" s="2062"/>
      <c r="J45" s="2062"/>
      <c r="K45" s="2083"/>
      <c r="L45" s="2062"/>
      <c r="M45" s="2062"/>
    </row>
    <row r="46" spans="1:18" ht="18" customHeight="1" thickBot="1">
      <c r="A46" s="830"/>
      <c r="B46" s="1357"/>
      <c r="C46" s="1358"/>
      <c r="D46" s="1359"/>
      <c r="E46" s="3123" t="s">
        <v>2966</v>
      </c>
      <c r="F46" s="827"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5" t="e">
        <f ca="1">IF(M48="住宅",0,IF(L49&gt;J52,L61,J61))</f>
        <v>#DIV/0!</v>
      </c>
      <c r="O47" s="2394" t="s">
        <v>2412</v>
      </c>
      <c r="P47" s="1591"/>
      <c r="Q47" s="1603"/>
      <c r="R47" s="1591"/>
    </row>
    <row r="48" spans="1:18" s="2059" customFormat="1" ht="18" customHeight="1" thickBot="1">
      <c r="A48" s="2084"/>
      <c r="C48" s="2087"/>
      <c r="D48" s="2088"/>
      <c r="E48" s="2088"/>
      <c r="F48" s="2089"/>
      <c r="G48" s="2090"/>
      <c r="I48" s="3155" t="s">
        <v>2346</v>
      </c>
      <c r="J48" s="2381"/>
      <c r="K48" s="3162" t="s">
        <v>2351</v>
      </c>
      <c r="L48" s="3166">
        <f ca="1">INDIRECT("'数据-取费表'!d"&amp;$G$1)</f>
        <v>50</v>
      </c>
      <c r="M48" s="3120"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5" t="s">
        <v>2347</v>
      </c>
      <c r="J49" s="2382"/>
      <c r="K49" s="3163" t="s">
        <v>2353</v>
      </c>
      <c r="L49" s="1908">
        <f ca="1">INDIRECT("'数据-取费表'!f"&amp;$G$1)</f>
        <v>48.18</v>
      </c>
      <c r="O49" s="2398" t="s">
        <v>2381</v>
      </c>
      <c r="P49" s="2399" t="s">
        <v>2407</v>
      </c>
      <c r="Q49" s="2400" t="e">
        <f ca="1">C41+J31</f>
        <v>#N/A</v>
      </c>
      <c r="R49" s="2399" t="s">
        <v>2382</v>
      </c>
    </row>
    <row r="50" spans="1:18" s="2059" customFormat="1" ht="18" customHeight="1" thickBot="1">
      <c r="A50" s="2084"/>
      <c r="D50" s="2094"/>
      <c r="E50" s="2094"/>
      <c r="F50" s="2088"/>
      <c r="G50" s="2095"/>
      <c r="H50" s="2093"/>
      <c r="I50" s="3125" t="s">
        <v>2348</v>
      </c>
      <c r="J50" s="2383"/>
      <c r="K50" s="3164"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5" t="s">
        <v>2349</v>
      </c>
      <c r="J51" s="3159">
        <f>SUMPRODUCT((I64:I66=J48)*(J63:L63=J49)*(J64:L66))</f>
        <v>0</v>
      </c>
      <c r="K51" s="3164" t="s">
        <v>2355</v>
      </c>
      <c r="L51" s="2384"/>
      <c r="O51" s="2401" t="s">
        <v>2385</v>
      </c>
      <c r="P51" s="2399" t="s">
        <v>2409</v>
      </c>
      <c r="Q51" s="2400">
        <f ca="1">C31</f>
        <v>0</v>
      </c>
      <c r="R51" s="2399" t="s">
        <v>2382</v>
      </c>
    </row>
    <row r="52" spans="1:18" s="2059" customFormat="1" ht="18" customHeight="1" thickBot="1">
      <c r="A52" s="2096"/>
      <c r="F52" s="2085"/>
      <c r="I52" s="3156" t="s">
        <v>2350</v>
      </c>
      <c r="J52" s="3160">
        <f>IF(J50="",J51,J50+J51-YEAR('数据-取费表'!B3))</f>
        <v>0</v>
      </c>
      <c r="K52" s="3125" t="s">
        <v>2356</v>
      </c>
      <c r="L52" s="3167">
        <f ca="1">ROUND(-PV(INDIRECT("'数据-取费表'!h"&amp;$G$1),L49,(C40-C14*J36),0),0)</f>
        <v>0</v>
      </c>
      <c r="O52" s="2401" t="s">
        <v>2386</v>
      </c>
      <c r="P52" s="2399" t="s">
        <v>2387</v>
      </c>
      <c r="Q52" s="2402" t="e">
        <f ca="1">J59</f>
        <v>#VALUE!</v>
      </c>
      <c r="R52" s="2403"/>
    </row>
    <row r="53" spans="1:18" s="2059" customFormat="1" ht="18" customHeight="1" thickBot="1">
      <c r="A53" s="2096"/>
      <c r="F53" s="2085"/>
      <c r="I53" s="3157" t="s">
        <v>2423</v>
      </c>
      <c r="J53" s="2385"/>
      <c r="K53" s="3157" t="s">
        <v>2422</v>
      </c>
      <c r="L53" s="2385"/>
      <c r="O53" s="2401" t="s">
        <v>2388</v>
      </c>
      <c r="P53" s="2399" t="s">
        <v>2389</v>
      </c>
      <c r="Q53" s="2402">
        <f>J53</f>
        <v>0</v>
      </c>
      <c r="R53" s="2403"/>
    </row>
    <row r="54" spans="1:18" s="2059" customFormat="1" ht="29.25" thickBot="1">
      <c r="A54" s="2096"/>
      <c r="I54" s="3158" t="s">
        <v>2981</v>
      </c>
      <c r="J54" s="3161">
        <f ca="1">IF(M48="住宅",MAX(J52,L49-'数据-取费表'!B20),MIN(J52,L49-'数据-取费表'!B20))</f>
        <v>0</v>
      </c>
      <c r="K54" s="3467"/>
      <c r="L54" s="3468"/>
      <c r="O54" s="2401" t="s">
        <v>2390</v>
      </c>
      <c r="P54" s="2399" t="s">
        <v>2391</v>
      </c>
      <c r="Q54" s="2400">
        <f ca="1">J54</f>
        <v>0</v>
      </c>
      <c r="R54" s="2399" t="s">
        <v>2392</v>
      </c>
    </row>
    <row r="55" spans="1:18" s="2059" customFormat="1" ht="18" customHeight="1" thickBot="1">
      <c r="A55" s="2096"/>
      <c r="I55" s="31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8"/>
      <c r="K55" s="3169"/>
      <c r="O55" s="2398" t="s">
        <v>2393</v>
      </c>
      <c r="P55" s="2399" t="s">
        <v>2410</v>
      </c>
      <c r="Q55" s="2400" t="e">
        <f ca="1">Q49+Q50</f>
        <v>#N/A</v>
      </c>
      <c r="R55" s="2403" t="s">
        <v>2394</v>
      </c>
    </row>
    <row r="56" spans="1:18" s="2059" customFormat="1" ht="16.5" thickBot="1">
      <c r="A56" s="2096"/>
      <c r="B56" s="2097"/>
      <c r="C56" s="2097"/>
      <c r="I56" s="3170" t="s">
        <v>2357</v>
      </c>
      <c r="J56" s="3100" t="e">
        <f ca="1">ROUND(IF(J48="钢混",J58/J51,1-(1-2%)*(J51-J58)/J51),3)</f>
        <v>#VALUE!</v>
      </c>
      <c r="K56" s="3171" t="s">
        <v>2358</v>
      </c>
      <c r="L56" s="2386"/>
      <c r="O56" s="2404" t="s">
        <v>2413</v>
      </c>
      <c r="P56" s="1591"/>
      <c r="Q56" s="1603"/>
      <c r="R56" s="1591"/>
    </row>
    <row r="57" spans="1:18" s="2059" customFormat="1" ht="43.5" thickBot="1">
      <c r="A57" s="2096"/>
      <c r="B57" s="2097"/>
      <c r="C57" s="2097"/>
      <c r="I57" s="3172" t="s">
        <v>2359</v>
      </c>
      <c r="J57" s="3182" t="s">
        <v>1678</v>
      </c>
      <c r="K57" s="3125" t="s">
        <v>2364</v>
      </c>
      <c r="L57" s="1908">
        <f ca="1">IF(L49&lt;J52,"——",L49-J52)</f>
        <v>48.18</v>
      </c>
      <c r="O57" s="2395" t="s">
        <v>2377</v>
      </c>
      <c r="P57" s="2396" t="s">
        <v>2378</v>
      </c>
      <c r="Q57" s="2397" t="s">
        <v>2379</v>
      </c>
      <c r="R57" s="2396" t="s">
        <v>2380</v>
      </c>
    </row>
    <row r="58" spans="1:18" s="2059" customFormat="1" ht="29.25" thickBot="1">
      <c r="A58" s="2096"/>
      <c r="B58" s="2097"/>
      <c r="C58" s="2097"/>
      <c r="I58" s="3173" t="s">
        <v>2360</v>
      </c>
      <c r="J58" s="3174" t="str">
        <f ca="1">IF(OR(M48="住宅",J52&lt;L49,J57="是"),"——",J52-L49)</f>
        <v>——</v>
      </c>
      <c r="K58" s="3125"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73" t="s">
        <v>2361</v>
      </c>
      <c r="J59" s="3101" t="e">
        <f ca="1">IF(J56&lt;0.4,0.4,J56)</f>
        <v>#VALUE!</v>
      </c>
      <c r="K59" s="3125"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73" t="s">
        <v>2362</v>
      </c>
      <c r="J60" s="3174" t="str">
        <f ca="1">IF(OR(M48="住宅",J52&lt;L49,J57="是"),"——",ROUND(C30*J59,0))</f>
        <v>——</v>
      </c>
      <c r="K60" s="3125"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5" t="s">
        <v>2363</v>
      </c>
      <c r="J61" s="3176" t="str">
        <f ca="1">IF(OR(M48="住宅",J52&lt;L49,J57="是"),"0",ROUND(J60/(1+J53)^J54,0))</f>
        <v>0</v>
      </c>
      <c r="K61" s="3177" t="s">
        <v>2368</v>
      </c>
      <c r="L61" s="3176"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8" t="s">
        <v>2369</v>
      </c>
      <c r="J63" s="3179" t="s">
        <v>2370</v>
      </c>
      <c r="K63" s="3179" t="s">
        <v>2371</v>
      </c>
      <c r="L63" s="3179" t="s">
        <v>2352</v>
      </c>
      <c r="M63" s="3180" t="s">
        <v>2943</v>
      </c>
      <c r="O63" s="2401" t="s">
        <v>2390</v>
      </c>
      <c r="P63" s="2399" t="s">
        <v>2398</v>
      </c>
      <c r="Q63" s="2400">
        <f ca="1">L60</f>
        <v>0</v>
      </c>
      <c r="R63" s="2403" t="s">
        <v>2399</v>
      </c>
    </row>
    <row r="64" spans="1:18" s="2059" customFormat="1" ht="15.75" thickBot="1">
      <c r="A64" s="2096"/>
      <c r="B64" s="2097"/>
      <c r="C64" s="2097"/>
      <c r="I64" s="3178" t="s">
        <v>2372</v>
      </c>
      <c r="J64" s="3179">
        <v>70</v>
      </c>
      <c r="K64" s="3179">
        <v>50</v>
      </c>
      <c r="L64" s="3179">
        <v>80</v>
      </c>
      <c r="M64" s="3181">
        <v>0.02</v>
      </c>
      <c r="O64" s="2398" t="s">
        <v>2393</v>
      </c>
      <c r="P64" s="2399" t="s">
        <v>2410</v>
      </c>
      <c r="Q64" s="2400" t="e">
        <f ca="1">Q58+Q59</f>
        <v>#N/A</v>
      </c>
      <c r="R64" s="2403" t="s">
        <v>2394</v>
      </c>
    </row>
    <row r="65" spans="1:18" s="2059" customFormat="1" ht="16.5" thickBot="1">
      <c r="A65" s="2096"/>
      <c r="B65" s="2097"/>
      <c r="C65" s="2097"/>
      <c r="I65" s="3178" t="s">
        <v>2373</v>
      </c>
      <c r="J65" s="3179">
        <v>50</v>
      </c>
      <c r="K65" s="3179">
        <v>35</v>
      </c>
      <c r="L65" s="3179">
        <v>60</v>
      </c>
      <c r="M65" s="845">
        <v>0</v>
      </c>
      <c r="O65" s="2404" t="s">
        <v>2417</v>
      </c>
      <c r="P65" s="1591"/>
      <c r="Q65" s="1603"/>
      <c r="R65" s="1591"/>
    </row>
    <row r="66" spans="1:18" s="2059" customFormat="1" ht="15.75" thickBot="1">
      <c r="A66" s="2096"/>
      <c r="B66" s="2097"/>
      <c r="C66" s="2097"/>
      <c r="I66" s="3178" t="s">
        <v>2374</v>
      </c>
      <c r="J66" s="3179">
        <v>40</v>
      </c>
      <c r="K66" s="3179">
        <v>30</v>
      </c>
      <c r="L66" s="3179">
        <v>50</v>
      </c>
      <c r="M66" s="3181">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0.08</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5" t="s">
        <v>2578</v>
      </c>
      <c r="C1" s="3475"/>
      <c r="D1" s="3475"/>
      <c r="E1" s="3475"/>
      <c r="F1" s="3475"/>
      <c r="G1" s="3474" t="s">
        <v>2579</v>
      </c>
      <c r="H1" s="3474"/>
      <c r="I1" s="3474"/>
      <c r="J1" s="3474"/>
      <c r="K1" s="3474"/>
      <c r="L1" s="3474"/>
      <c r="N1" s="3474" t="s">
        <v>2580</v>
      </c>
      <c r="O1" s="3474"/>
      <c r="P1" s="3474"/>
      <c r="Q1" s="3474"/>
      <c r="R1" s="2654"/>
      <c r="S1" s="3474" t="s">
        <v>2581</v>
      </c>
      <c r="T1" s="3474"/>
      <c r="U1" s="3474"/>
      <c r="V1" s="3474"/>
      <c r="X1" s="3473" t="s">
        <v>2641</v>
      </c>
      <c r="Y1" s="3474"/>
      <c r="Z1" s="3474"/>
      <c r="AA1" s="3474"/>
      <c r="AB1" s="3474"/>
      <c r="AD1" s="3473" t="s">
        <v>2645</v>
      </c>
      <c r="AE1" s="3474"/>
      <c r="AF1" s="3474"/>
      <c r="AG1" s="3474"/>
      <c r="AH1" s="3474"/>
    </row>
    <row r="2" spans="1:34" s="2756" customFormat="1" ht="14.25" thickBot="1">
      <c r="B2" s="2764" t="s">
        <v>2582</v>
      </c>
      <c r="C2" s="2764" t="s">
        <v>2643</v>
      </c>
      <c r="D2" s="2757" t="s">
        <v>1644</v>
      </c>
      <c r="E2" s="2757" t="s">
        <v>1951</v>
      </c>
      <c r="F2" s="2764" t="s">
        <v>2644</v>
      </c>
      <c r="G2" s="2760"/>
      <c r="H2" s="2759"/>
      <c r="I2" s="2764" t="s">
        <v>2957</v>
      </c>
      <c r="J2" s="2757" t="s">
        <v>2959</v>
      </c>
      <c r="K2" s="2757" t="s">
        <v>2960</v>
      </c>
      <c r="L2" s="2764" t="s">
        <v>2961</v>
      </c>
      <c r="N2" s="2764" t="s">
        <v>2582</v>
      </c>
      <c r="O2" s="2757" t="s">
        <v>2958</v>
      </c>
      <c r="P2" s="2757" t="s">
        <v>1951</v>
      </c>
      <c r="Q2" s="2764" t="s">
        <v>2644</v>
      </c>
      <c r="R2" s="2758"/>
      <c r="S2" s="2764" t="s">
        <v>2582</v>
      </c>
      <c r="T2" s="2757" t="s">
        <v>2958</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3" customFormat="1" ht="14.25">
      <c r="A3" s="3145" t="s">
        <v>2970</v>
      </c>
      <c r="B3" s="3134"/>
      <c r="C3" s="3134"/>
      <c r="D3" s="3135"/>
      <c r="E3" s="3135"/>
      <c r="F3" s="3134"/>
      <c r="G3" s="3136"/>
      <c r="H3" s="3137"/>
      <c r="I3" s="3144">
        <f>ROUND(AVERAGE($I7:$I22),2)</f>
        <v>2.4500000000000002</v>
      </c>
      <c r="J3" s="3144">
        <f>ROUND(AVERAGE($J7:$J22),2)</f>
        <v>1.65</v>
      </c>
      <c r="K3" s="3144">
        <f>ROUND(AVERAGE($K7:$K22),2)</f>
        <v>2.71</v>
      </c>
      <c r="L3" s="3144">
        <f>ROUND(AVERAGE($L7:$L22),2)</f>
        <v>1.39</v>
      </c>
      <c r="N3" s="3136"/>
      <c r="O3" s="3138"/>
      <c r="P3" s="3138"/>
      <c r="Q3" s="3138"/>
      <c r="R3" s="3138"/>
      <c r="S3" s="3136"/>
      <c r="T3" s="3138"/>
      <c r="U3" s="3138"/>
      <c r="V3" s="3138"/>
      <c r="W3" s="3141"/>
      <c r="X3" s="3139">
        <f>ROUND(SUMPRODUCT(PRODUCT(1+N3:N$21)),4)</f>
        <v>1.4517</v>
      </c>
      <c r="Y3" s="3139">
        <f>ROUND(SUMPRODUCT(PRODUCT(1+O3:O$21)),4)</f>
        <v>1.2928999999999999</v>
      </c>
      <c r="Z3" s="3139">
        <f t="shared" ref="Z3:Z19" si="0">Y3</f>
        <v>1.2928999999999999</v>
      </c>
      <c r="AA3" s="3139">
        <f>ROUND(SUMPRODUCT(PRODUCT(1+P3:P$21)),4)</f>
        <v>1.5068999999999999</v>
      </c>
      <c r="AB3" s="3139">
        <f>ROUND(SUMPRODUCT(PRODUCT(1+Q3:Q$21)),4)</f>
        <v>1.2557</v>
      </c>
      <c r="AD3" s="3140">
        <f>ROUND(AVERAGE(I3:I$22)/100,4)</f>
        <v>2.2800000000000001E-2</v>
      </c>
      <c r="AE3" s="3140">
        <f>ROUND(AVERAGE(J3:J$22)/100,4)</f>
        <v>1.5699999999999999E-2</v>
      </c>
      <c r="AF3" s="3140">
        <f t="shared" ref="AF3:AF20" si="1">AE3</f>
        <v>1.5699999999999999E-2</v>
      </c>
      <c r="AG3" s="3140">
        <f>ROUND(AVERAGE(K3:K$22)/100,4)</f>
        <v>2.5100000000000001E-2</v>
      </c>
      <c r="AH3" s="3140">
        <f>ROUND(AVERAGE(L3:L$22)/100,4)</f>
        <v>1.35E-2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2977</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3">
        <v>2</v>
      </c>
      <c r="I5" s="3127">
        <v>0</v>
      </c>
      <c r="J5" s="3127">
        <v>0</v>
      </c>
      <c r="K5" s="3127">
        <v>0</v>
      </c>
      <c r="L5" s="3127">
        <v>0</v>
      </c>
      <c r="N5" s="2762">
        <f t="shared" ref="N5" si="6">I5/100</f>
        <v>0</v>
      </c>
      <c r="O5" s="2762">
        <f t="shared" ref="O5" si="7">J5/100</f>
        <v>0</v>
      </c>
      <c r="P5" s="2762">
        <f t="shared" ref="P5" si="8">K5/100</f>
        <v>0</v>
      </c>
      <c r="Q5" s="2762">
        <f t="shared" ref="Q5" si="9">L5/100</f>
        <v>0</v>
      </c>
      <c r="R5" s="3115"/>
      <c r="S5" s="3116"/>
      <c r="T5" s="3115"/>
      <c r="U5" s="3115"/>
      <c r="V5" s="3115"/>
      <c r="W5" s="3143" t="s">
        <v>2971</v>
      </c>
      <c r="X5" s="3117">
        <f>ROUND(SUMPRODUCT(PRODUCT(1+N5:N$21)),4)</f>
        <v>1.4517</v>
      </c>
      <c r="Y5" s="3117">
        <f>ROUND(SUMPRODUCT(PRODUCT(1+O5:O$21)),4)</f>
        <v>1.2928999999999999</v>
      </c>
      <c r="Z5" s="3117">
        <f t="shared" ref="Z5" si="10">Y5</f>
        <v>1.2928999999999999</v>
      </c>
      <c r="AA5" s="3117">
        <f>ROUND(SUMPRODUCT(PRODUCT(1+P5:P$21)),4)</f>
        <v>1.5068999999999999</v>
      </c>
      <c r="AB5" s="3117">
        <f>ROUND(SUMPRODUCT(PRODUCT(1+Q5:Q$21)),4)</f>
        <v>1.2557</v>
      </c>
      <c r="AD5" s="3118">
        <f>ROUND(AVERAGE(I5:I$22)/100,4)</f>
        <v>2.2700000000000001E-2</v>
      </c>
      <c r="AE5" s="3118">
        <f>ROUND(AVERAGE(J5:J$22)/100,4)</f>
        <v>1.5699999999999999E-2</v>
      </c>
      <c r="AF5" s="3118">
        <f t="shared" ref="AF5" si="11">AE5</f>
        <v>1.5699999999999999E-2</v>
      </c>
      <c r="AG5" s="3118">
        <f>ROUND(AVERAGE(K5:K$22)/100,4)</f>
        <v>2.5000000000000001E-2</v>
      </c>
      <c r="AH5" s="3118">
        <f>ROUND(AVERAGE(L5:L$22)/100,4)</f>
        <v>1.35E-2</v>
      </c>
    </row>
    <row r="6" spans="1:34" s="2761" customFormat="1" ht="13.5" thickBot="1">
      <c r="A6" s="2655" t="s">
        <v>2978</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2">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2968</v>
      </c>
      <c r="B7" s="3147">
        <v>439</v>
      </c>
      <c r="C7" s="3147">
        <v>327</v>
      </c>
      <c r="D7" s="3147">
        <f t="shared" si="13"/>
        <v>327</v>
      </c>
      <c r="E7" s="3147">
        <v>627</v>
      </c>
      <c r="F7" s="3148">
        <v>283</v>
      </c>
      <c r="G7" s="3130">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2972</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2"/>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2583</v>
      </c>
      <c r="B9" s="2669">
        <f t="shared" si="25"/>
        <v>419.31181600000002</v>
      </c>
      <c r="C9" s="2669">
        <f t="shared" si="25"/>
        <v>313.95436800000004</v>
      </c>
      <c r="D9" s="2669">
        <f t="shared" si="13"/>
        <v>313.95436800000004</v>
      </c>
      <c r="E9" s="2669">
        <f t="shared" si="26"/>
        <v>596.63028431999999</v>
      </c>
      <c r="F9" s="2669">
        <f t="shared" si="26"/>
        <v>274.74220703999998</v>
      </c>
      <c r="G9" s="3131"/>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2584</v>
      </c>
      <c r="B10" s="2669">
        <f t="shared" si="25"/>
        <v>405.524</v>
      </c>
      <c r="C10" s="2669">
        <f t="shared" si="25"/>
        <v>307.79840000000002</v>
      </c>
      <c r="D10" s="2669">
        <f t="shared" si="13"/>
        <v>307.79840000000002</v>
      </c>
      <c r="E10" s="2669">
        <f t="shared" si="26"/>
        <v>574.67759999999998</v>
      </c>
      <c r="F10" s="2669">
        <f t="shared" si="26"/>
        <v>270.20280000000002</v>
      </c>
      <c r="G10" s="3132"/>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970</v>
      </c>
      <c r="B11" s="2661">
        <v>392</v>
      </c>
      <c r="C11" s="2661">
        <v>302</v>
      </c>
      <c r="D11" s="2661">
        <f t="shared" si="13"/>
        <v>302</v>
      </c>
      <c r="E11" s="2661">
        <v>553</v>
      </c>
      <c r="F11" s="2662">
        <v>266</v>
      </c>
      <c r="G11" s="3472">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969</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70"/>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959</v>
      </c>
      <c r="B13" s="2669">
        <f t="shared" si="34"/>
        <v>360.06949782209392</v>
      </c>
      <c r="C13" s="2669">
        <f t="shared" si="34"/>
        <v>289.84672674747821</v>
      </c>
      <c r="D13" s="2669">
        <f t="shared" si="35"/>
        <v>289.84672674747821</v>
      </c>
      <c r="E13" s="2669">
        <f t="shared" si="36"/>
        <v>501.06543001181495</v>
      </c>
      <c r="F13" s="2669">
        <f t="shared" si="36"/>
        <v>256.82882500744967</v>
      </c>
      <c r="G13" s="3470"/>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968</v>
      </c>
      <c r="B14" s="2669">
        <f t="shared" si="34"/>
        <v>346.720748986128</v>
      </c>
      <c r="C14" s="2669">
        <f t="shared" si="34"/>
        <v>284.30282172386285</v>
      </c>
      <c r="D14" s="2669">
        <f t="shared" si="35"/>
        <v>284.30282172386285</v>
      </c>
      <c r="E14" s="2669">
        <f t="shared" si="36"/>
        <v>479.58023546306947</v>
      </c>
      <c r="F14" s="2669">
        <f t="shared" si="36"/>
        <v>253.25788877571213</v>
      </c>
      <c r="G14" s="3471"/>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967</v>
      </c>
      <c r="B15" s="2661">
        <v>333</v>
      </c>
      <c r="C15" s="2661">
        <v>277</v>
      </c>
      <c r="D15" s="2661">
        <f t="shared" si="35"/>
        <v>277</v>
      </c>
      <c r="E15" s="2661">
        <v>459</v>
      </c>
      <c r="F15" s="2662">
        <v>249</v>
      </c>
      <c r="G15" s="3469">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966</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70"/>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965</v>
      </c>
      <c r="B17" s="2669">
        <f t="shared" si="38"/>
        <v>322.34053690220776</v>
      </c>
      <c r="C17" s="2669">
        <f t="shared" si="38"/>
        <v>271.46160770422546</v>
      </c>
      <c r="D17" s="2669">
        <f t="shared" si="35"/>
        <v>271.46160770422546</v>
      </c>
      <c r="E17" s="2669">
        <f t="shared" si="39"/>
        <v>442.69434542172456</v>
      </c>
      <c r="F17" s="2669">
        <f t="shared" si="39"/>
        <v>241.34030753190925</v>
      </c>
      <c r="G17" s="3470"/>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964</v>
      </c>
      <c r="B18" s="2669">
        <f t="shared" si="38"/>
        <v>319.87748030386797</v>
      </c>
      <c r="C18" s="2669">
        <f t="shared" si="38"/>
        <v>269.60135833173649</v>
      </c>
      <c r="D18" s="2669">
        <f t="shared" si="35"/>
        <v>269.60135833173649</v>
      </c>
      <c r="E18" s="2669">
        <f t="shared" si="39"/>
        <v>439.18089823583784</v>
      </c>
      <c r="F18" s="2669">
        <f t="shared" si="39"/>
        <v>239.23503918706311</v>
      </c>
      <c r="G18" s="3471"/>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963</v>
      </c>
      <c r="B19" s="2683">
        <v>318</v>
      </c>
      <c r="C19" s="2683">
        <v>268</v>
      </c>
      <c r="D19" s="2683">
        <f t="shared" si="35"/>
        <v>268</v>
      </c>
      <c r="E19" s="2683">
        <v>437</v>
      </c>
      <c r="F19" s="2684">
        <v>237</v>
      </c>
      <c r="G19" s="3469">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962</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70"/>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961</v>
      </c>
      <c r="B21" s="2669">
        <f t="shared" si="40"/>
        <v>314.72141172386546</v>
      </c>
      <c r="C21" s="2669">
        <f t="shared" si="40"/>
        <v>263.03901319069001</v>
      </c>
      <c r="D21" s="2669">
        <f t="shared" si="35"/>
        <v>263.03901319069001</v>
      </c>
      <c r="E21" s="2669">
        <f t="shared" si="41"/>
        <v>433.65745506782821</v>
      </c>
      <c r="F21" s="2669">
        <f t="shared" si="41"/>
        <v>233.23005080045735</v>
      </c>
      <c r="G21" s="3470"/>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960</v>
      </c>
      <c r="B22" s="2688">
        <f t="shared" si="40"/>
        <v>307.34512863658733</v>
      </c>
      <c r="C22" s="2688">
        <f t="shared" si="40"/>
        <v>257.80556031626975</v>
      </c>
      <c r="D22" s="2688">
        <f t="shared" si="35"/>
        <v>257.80556031626975</v>
      </c>
      <c r="E22" s="2688">
        <f t="shared" si="41"/>
        <v>422.70928459677179</v>
      </c>
      <c r="F22" s="2688">
        <f t="shared" si="41"/>
        <v>229.73803270336617</v>
      </c>
      <c r="G22" s="3471"/>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2642</v>
      </c>
      <c r="X22" s="2765">
        <v>1</v>
      </c>
      <c r="Y22" s="2765">
        <v>1</v>
      </c>
      <c r="Z22" s="2765">
        <v>1</v>
      </c>
      <c r="AA22" s="2765">
        <v>1</v>
      </c>
      <c r="AB22" s="2765">
        <v>1</v>
      </c>
      <c r="AD22" s="3009">
        <f>I22/100</f>
        <v>2.9700000000000001E-2</v>
      </c>
      <c r="AE22" s="3009">
        <f>J22/100</f>
        <v>2.3399999999999997E-2</v>
      </c>
      <c r="AF22" s="3009">
        <f>AE22</f>
        <v>2.3399999999999997E-2</v>
      </c>
      <c r="AG22" s="3009">
        <f>K22/100</f>
        <v>3.2799999999999996E-2</v>
      </c>
      <c r="AH22" s="3009">
        <f>L22/100</f>
        <v>1.3600000000000001E-2</v>
      </c>
    </row>
    <row r="23" spans="1:34" ht="13.5" thickBot="1">
      <c r="A23" s="2655" t="s">
        <v>2585</v>
      </c>
      <c r="B23" s="2661">
        <v>299</v>
      </c>
      <c r="C23" s="2661">
        <v>252</v>
      </c>
      <c r="D23" s="2661">
        <f t="shared" si="35"/>
        <v>252</v>
      </c>
      <c r="E23" s="2661">
        <v>409</v>
      </c>
      <c r="F23" s="2662">
        <v>227</v>
      </c>
      <c r="G23" s="3476">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2586</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77"/>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2587</v>
      </c>
      <c r="B25" s="2669">
        <f t="shared" si="44"/>
        <v>288.2649053828776</v>
      </c>
      <c r="C25" s="2669">
        <f t="shared" si="44"/>
        <v>243.64564425013293</v>
      </c>
      <c r="D25" s="2669">
        <f t="shared" si="35"/>
        <v>243.64564425013293</v>
      </c>
      <c r="E25" s="2669">
        <f t="shared" si="45"/>
        <v>393.31080825986544</v>
      </c>
      <c r="F25" s="2669">
        <f t="shared" si="45"/>
        <v>223.07903790551154</v>
      </c>
      <c r="G25" s="3477"/>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2588</v>
      </c>
      <c r="B26" s="2669">
        <f t="shared" si="44"/>
        <v>282.50186729015837</v>
      </c>
      <c r="C26" s="2669">
        <f t="shared" si="44"/>
        <v>238.09796174155468</v>
      </c>
      <c r="D26" s="2669">
        <f t="shared" si="35"/>
        <v>238.09796174155468</v>
      </c>
      <c r="E26" s="2669">
        <f t="shared" si="45"/>
        <v>385.33438646014054</v>
      </c>
      <c r="F26" s="2669">
        <f t="shared" si="45"/>
        <v>221.55034055567739</v>
      </c>
      <c r="G26" s="3478"/>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2589</v>
      </c>
      <c r="B27" s="2699">
        <v>278</v>
      </c>
      <c r="C27" s="2699">
        <v>234</v>
      </c>
      <c r="D27" s="2699">
        <f t="shared" si="35"/>
        <v>234</v>
      </c>
      <c r="E27" s="2699">
        <v>379</v>
      </c>
      <c r="F27" s="2700">
        <v>220</v>
      </c>
      <c r="G27" s="3469">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2590</v>
      </c>
      <c r="B28" s="2669">
        <f>B27/(1+N27)</f>
        <v>275.49301357645425</v>
      </c>
      <c r="C28" s="2669">
        <f>C27/(1+O27)</f>
        <v>232.41954707985698</v>
      </c>
      <c r="D28" s="2669">
        <f t="shared" si="35"/>
        <v>232.41954707985698</v>
      </c>
      <c r="E28" s="2669">
        <f t="shared" ref="E28:F30" si="46">E27/(1+P27)</f>
        <v>375.32184591008121</v>
      </c>
      <c r="F28" s="2669">
        <f t="shared" si="46"/>
        <v>218.03766105054513</v>
      </c>
      <c r="G28" s="3470"/>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2591</v>
      </c>
      <c r="B29" s="2669">
        <f>B28/(1+N28)</f>
        <v>275.24529281292263</v>
      </c>
      <c r="C29" s="2669">
        <f>C28/(1+O28)</f>
        <v>231.74747938962707</v>
      </c>
      <c r="D29" s="2669">
        <f t="shared" si="35"/>
        <v>231.74747938962707</v>
      </c>
      <c r="E29" s="2669">
        <f t="shared" si="46"/>
        <v>375.35938184826603</v>
      </c>
      <c r="F29" s="2669">
        <f t="shared" si="46"/>
        <v>216.78033510692495</v>
      </c>
      <c r="G29" s="3470"/>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2592</v>
      </c>
      <c r="B30" s="2669">
        <f>B29/(1+N29)</f>
        <v>275.19025476197027</v>
      </c>
      <c r="C30" s="2701">
        <v>232</v>
      </c>
      <c r="D30" s="2701">
        <f t="shared" si="35"/>
        <v>232</v>
      </c>
      <c r="E30" s="2669">
        <f t="shared" si="46"/>
        <v>375.65990977608692</v>
      </c>
      <c r="F30" s="2669">
        <f t="shared" si="46"/>
        <v>214.12518283971252</v>
      </c>
      <c r="G30" s="3471"/>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2593</v>
      </c>
      <c r="B31" s="2661">
        <v>275</v>
      </c>
      <c r="C31" s="2661">
        <v>232</v>
      </c>
      <c r="D31" s="2661">
        <f t="shared" si="35"/>
        <v>232</v>
      </c>
      <c r="E31" s="2661">
        <v>376</v>
      </c>
      <c r="F31" s="2662">
        <v>213</v>
      </c>
      <c r="G31" s="3469">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2594</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70">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2595</v>
      </c>
      <c r="B33" s="2669">
        <f t="shared" si="47"/>
        <v>275.19335084830601</v>
      </c>
      <c r="C33" s="2669">
        <f t="shared" si="47"/>
        <v>230.18088050139744</v>
      </c>
      <c r="D33" s="2669">
        <f t="shared" si="35"/>
        <v>230.18088050139744</v>
      </c>
      <c r="E33" s="2669">
        <f t="shared" si="48"/>
        <v>377.58482925212331</v>
      </c>
      <c r="F33" s="2669">
        <f t="shared" si="48"/>
        <v>210.90687997847917</v>
      </c>
      <c r="G33" s="3470">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2596</v>
      </c>
      <c r="B34" s="2669">
        <f t="shared" si="47"/>
        <v>276.29854502841971</v>
      </c>
      <c r="C34" s="2669">
        <f t="shared" si="47"/>
        <v>229.79023709833027</v>
      </c>
      <c r="D34" s="2669">
        <f t="shared" si="35"/>
        <v>229.79023709833027</v>
      </c>
      <c r="E34" s="2669">
        <f t="shared" si="48"/>
        <v>379.78759731655936</v>
      </c>
      <c r="F34" s="2669">
        <f t="shared" si="48"/>
        <v>211.32953905659235</v>
      </c>
      <c r="G34" s="3471">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2597</v>
      </c>
      <c r="B35" s="2661">
        <v>269</v>
      </c>
      <c r="C35" s="2661">
        <v>221</v>
      </c>
      <c r="D35" s="2661">
        <f t="shared" si="35"/>
        <v>221</v>
      </c>
      <c r="E35" s="2661">
        <v>373</v>
      </c>
      <c r="F35" s="2662">
        <v>196</v>
      </c>
      <c r="G35" s="3469">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2598</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70">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2599</v>
      </c>
      <c r="B37" s="2669">
        <f t="shared" si="49"/>
        <v>242.95398227588385</v>
      </c>
      <c r="C37" s="2669">
        <f t="shared" si="49"/>
        <v>199.59137053614126</v>
      </c>
      <c r="D37" s="2669">
        <f t="shared" si="35"/>
        <v>199.59137053614126</v>
      </c>
      <c r="E37" s="2669">
        <f t="shared" si="50"/>
        <v>335.92189522342125</v>
      </c>
      <c r="F37" s="2669">
        <f t="shared" si="50"/>
        <v>183.10139991109489</v>
      </c>
      <c r="G37" s="3470">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2600</v>
      </c>
      <c r="B38" s="2669">
        <f t="shared" si="49"/>
        <v>232.06990378821649</v>
      </c>
      <c r="C38" s="2669">
        <f t="shared" si="49"/>
        <v>192.74878854286936</v>
      </c>
      <c r="D38" s="2669">
        <f t="shared" si="35"/>
        <v>192.74878854286936</v>
      </c>
      <c r="E38" s="2669">
        <f t="shared" si="50"/>
        <v>319.71247284992984</v>
      </c>
      <c r="F38" s="2669">
        <f t="shared" si="50"/>
        <v>175.67053622862409</v>
      </c>
      <c r="G38" s="3471">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2601</v>
      </c>
      <c r="B39" s="2661">
        <v>220</v>
      </c>
      <c r="C39" s="2661">
        <v>187</v>
      </c>
      <c r="D39" s="2661">
        <f t="shared" si="35"/>
        <v>187</v>
      </c>
      <c r="E39" s="2661">
        <v>301</v>
      </c>
      <c r="F39" s="2662">
        <v>168</v>
      </c>
      <c r="G39" s="3469">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2602</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70">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2603</v>
      </c>
      <c r="B41" s="2669">
        <f t="shared" si="51"/>
        <v>210.630522469011</v>
      </c>
      <c r="C41" s="2669">
        <f t="shared" si="51"/>
        <v>181.69567812247232</v>
      </c>
      <c r="D41" s="2669">
        <f t="shared" si="35"/>
        <v>181.69567812247232</v>
      </c>
      <c r="E41" s="2669">
        <f t="shared" si="52"/>
        <v>286.13517466736738</v>
      </c>
      <c r="F41" s="2669">
        <f t="shared" si="52"/>
        <v>165.47535084591149</v>
      </c>
      <c r="G41" s="3470">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2604</v>
      </c>
      <c r="B42" s="2669">
        <f t="shared" si="51"/>
        <v>208.83454537875372</v>
      </c>
      <c r="C42" s="2669">
        <f t="shared" si="51"/>
        <v>183.77230517090351</v>
      </c>
      <c r="D42" s="2669">
        <f t="shared" si="35"/>
        <v>183.77230517090351</v>
      </c>
      <c r="E42" s="2669">
        <f t="shared" si="52"/>
        <v>281.10342338870947</v>
      </c>
      <c r="F42" s="2669">
        <f t="shared" si="52"/>
        <v>168.97309388942256</v>
      </c>
      <c r="G42" s="3471">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2605</v>
      </c>
      <c r="B43" s="2699">
        <v>214</v>
      </c>
      <c r="C43" s="2699">
        <v>188</v>
      </c>
      <c r="D43" s="2699">
        <f t="shared" si="35"/>
        <v>188</v>
      </c>
      <c r="E43" s="2699">
        <v>289</v>
      </c>
      <c r="F43" s="2700">
        <v>166</v>
      </c>
      <c r="G43" s="3469">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2606</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70">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2607</v>
      </c>
      <c r="B45" s="2669">
        <f t="shared" si="53"/>
        <v>206.31694671589116</v>
      </c>
      <c r="C45" s="2669">
        <f t="shared" si="53"/>
        <v>183.61041121036101</v>
      </c>
      <c r="D45" s="2669">
        <f t="shared" si="35"/>
        <v>183.61041121036101</v>
      </c>
      <c r="E45" s="2669">
        <f t="shared" si="54"/>
        <v>276.66850301795557</v>
      </c>
      <c r="F45" s="2669">
        <f t="shared" si="54"/>
        <v>165.1360938278614</v>
      </c>
      <c r="G45" s="3470">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2608</v>
      </c>
      <c r="B46" s="2702">
        <f t="shared" si="53"/>
        <v>196.62341248059772</v>
      </c>
      <c r="C46" s="2702">
        <f t="shared" si="53"/>
        <v>170.99125648199012</v>
      </c>
      <c r="D46" s="2702">
        <f t="shared" si="35"/>
        <v>170.99125648199012</v>
      </c>
      <c r="E46" s="2702">
        <f t="shared" si="54"/>
        <v>266.07857570490052</v>
      </c>
      <c r="F46" s="2702">
        <f t="shared" si="54"/>
        <v>154.53499328828505</v>
      </c>
      <c r="G46" s="3471">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2609</v>
      </c>
      <c r="B47" s="2661">
        <v>188</v>
      </c>
      <c r="C47" s="2661">
        <v>165</v>
      </c>
      <c r="D47" s="2661">
        <f t="shared" si="35"/>
        <v>165</v>
      </c>
      <c r="E47" s="2661">
        <v>254</v>
      </c>
      <c r="F47" s="2662">
        <v>148</v>
      </c>
      <c r="G47" s="3469">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2610</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70">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2611</v>
      </c>
      <c r="B49" s="2669">
        <f t="shared" si="57"/>
        <v>168.82017748715555</v>
      </c>
      <c r="C49" s="2669">
        <f t="shared" si="57"/>
        <v>148.06267029972753</v>
      </c>
      <c r="D49" s="2669">
        <f t="shared" si="35"/>
        <v>148.06267029972753</v>
      </c>
      <c r="E49" s="2669">
        <f t="shared" si="58"/>
        <v>216.46288379323747</v>
      </c>
      <c r="F49" s="2669">
        <f t="shared" si="58"/>
        <v>134.23529411764704</v>
      </c>
      <c r="G49" s="3470">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2612</v>
      </c>
      <c r="B50" s="2669">
        <f t="shared" si="57"/>
        <v>163.84913591779542</v>
      </c>
      <c r="C50" s="2669">
        <f t="shared" si="57"/>
        <v>145.0283378746594</v>
      </c>
      <c r="D50" s="2669">
        <f t="shared" si="35"/>
        <v>145.0283378746594</v>
      </c>
      <c r="E50" s="2669">
        <f t="shared" si="58"/>
        <v>204.95180722891567</v>
      </c>
      <c r="F50" s="2669">
        <f t="shared" si="58"/>
        <v>125.95920303605313</v>
      </c>
      <c r="G50" s="3471">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2613</v>
      </c>
      <c r="B51" s="2683">
        <v>159</v>
      </c>
      <c r="C51" s="2683">
        <v>141</v>
      </c>
      <c r="D51" s="2683">
        <f t="shared" si="35"/>
        <v>141</v>
      </c>
      <c r="E51" s="2683">
        <v>195</v>
      </c>
      <c r="F51" s="2684">
        <v>122</v>
      </c>
      <c r="G51" s="3469">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2614</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70">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2615</v>
      </c>
      <c r="B53" s="2669">
        <f t="shared" si="61"/>
        <v>146.57412060301507</v>
      </c>
      <c r="C53" s="2669">
        <f t="shared" si="61"/>
        <v>136.46831955922866</v>
      </c>
      <c r="D53" s="2669">
        <f t="shared" si="35"/>
        <v>136.46831955922866</v>
      </c>
      <c r="E53" s="2669">
        <f t="shared" si="62"/>
        <v>166.73864894795128</v>
      </c>
      <c r="F53" s="2669">
        <f t="shared" si="62"/>
        <v>115.05882352941177</v>
      </c>
      <c r="G53" s="3470">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2616</v>
      </c>
      <c r="B54" s="2669">
        <f t="shared" si="61"/>
        <v>144.04145728643215</v>
      </c>
      <c r="C54" s="2669">
        <f t="shared" si="61"/>
        <v>136.12396694214877</v>
      </c>
      <c r="D54" s="2669">
        <f t="shared" si="35"/>
        <v>136.12396694214877</v>
      </c>
      <c r="E54" s="2669">
        <f t="shared" si="62"/>
        <v>158.32225913621264</v>
      </c>
      <c r="F54" s="2669">
        <f t="shared" si="62"/>
        <v>114.04278074866311</v>
      </c>
      <c r="G54" s="3471">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2617</v>
      </c>
      <c r="B55" s="2683">
        <v>138</v>
      </c>
      <c r="C55" s="2683">
        <v>131</v>
      </c>
      <c r="D55" s="2683">
        <f t="shared" si="35"/>
        <v>131</v>
      </c>
      <c r="E55" s="2683">
        <v>155</v>
      </c>
      <c r="F55" s="2684">
        <v>114</v>
      </c>
      <c r="G55" s="3469">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2618</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70">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2619</v>
      </c>
      <c r="B57" s="2669">
        <f t="shared" si="65"/>
        <v>124.29032258064517</v>
      </c>
      <c r="C57" s="2669">
        <f t="shared" si="65"/>
        <v>123.8968609865471</v>
      </c>
      <c r="D57" s="2669">
        <f t="shared" si="35"/>
        <v>123.8968609865471</v>
      </c>
      <c r="E57" s="2669">
        <f t="shared" si="66"/>
        <v>138.00507614213197</v>
      </c>
      <c r="F57" s="2669">
        <f t="shared" si="66"/>
        <v>107.96106557377048</v>
      </c>
      <c r="G57" s="3470">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2620</v>
      </c>
      <c r="B58" s="2669">
        <f t="shared" si="65"/>
        <v>122.57204301075269</v>
      </c>
      <c r="C58" s="2669">
        <f t="shared" si="65"/>
        <v>123.4932735426009</v>
      </c>
      <c r="D58" s="2669">
        <f t="shared" si="35"/>
        <v>123.4932735426009</v>
      </c>
      <c r="E58" s="2669">
        <f t="shared" si="66"/>
        <v>129.82233502538071</v>
      </c>
      <c r="F58" s="2669">
        <f t="shared" si="66"/>
        <v>107.39446721311475</v>
      </c>
      <c r="G58" s="3471">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2621</v>
      </c>
      <c r="B59" s="2699">
        <v>121</v>
      </c>
      <c r="C59" s="2699">
        <v>122</v>
      </c>
      <c r="D59" s="2699">
        <f t="shared" si="35"/>
        <v>122</v>
      </c>
      <c r="E59" s="2699">
        <v>124</v>
      </c>
      <c r="F59" s="2700">
        <v>107</v>
      </c>
      <c r="G59" s="3469">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2622</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70">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2623</v>
      </c>
      <c r="B61" s="2669">
        <f t="shared" si="69"/>
        <v>116.99099099099099</v>
      </c>
      <c r="C61" s="2669">
        <f t="shared" si="69"/>
        <v>118.84848484848486</v>
      </c>
      <c r="D61" s="2669">
        <f t="shared" si="35"/>
        <v>118.84848484848486</v>
      </c>
      <c r="E61" s="2669">
        <f t="shared" si="70"/>
        <v>117.60960960960961</v>
      </c>
      <c r="F61" s="2669">
        <f t="shared" si="70"/>
        <v>104</v>
      </c>
      <c r="G61" s="3470">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2624</v>
      </c>
      <c r="B62" s="2702">
        <f t="shared" si="69"/>
        <v>112.48648648648648</v>
      </c>
      <c r="C62" s="2702">
        <f t="shared" si="69"/>
        <v>115.21212121212122</v>
      </c>
      <c r="D62" s="2702">
        <f t="shared" si="35"/>
        <v>115.21212121212122</v>
      </c>
      <c r="E62" s="2702">
        <f t="shared" si="70"/>
        <v>110.4024024024024</v>
      </c>
      <c r="F62" s="2702">
        <f t="shared" si="70"/>
        <v>104</v>
      </c>
      <c r="G62" s="3471">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2625</v>
      </c>
      <c r="B63" s="2720">
        <v>111</v>
      </c>
      <c r="C63" s="2720">
        <v>114</v>
      </c>
      <c r="D63" s="2720">
        <f t="shared" si="35"/>
        <v>114</v>
      </c>
      <c r="E63" s="2720">
        <v>108</v>
      </c>
      <c r="F63" s="2721">
        <v>104</v>
      </c>
      <c r="G63" s="3469">
        <v>2003</v>
      </c>
      <c r="H63" s="2710">
        <v>4</v>
      </c>
      <c r="I63" s="2722"/>
      <c r="J63" s="2722"/>
      <c r="K63" s="2722"/>
      <c r="L63" s="2722"/>
      <c r="N63" s="2723"/>
      <c r="O63" s="2722"/>
      <c r="P63" s="2722"/>
      <c r="Q63" s="2722"/>
      <c r="S63" s="2723"/>
      <c r="T63" s="2722"/>
      <c r="U63" s="2722"/>
      <c r="V63" s="2722"/>
      <c r="X63" s="2714"/>
      <c r="Y63" s="2714"/>
      <c r="Z63" s="2714"/>
    </row>
    <row r="64" spans="1:26">
      <c r="A64" s="2655" t="s">
        <v>2626</v>
      </c>
      <c r="B64" s="2724">
        <f t="shared" ref="B64:C66" si="71">B65+(B$63-B$67)/4</f>
        <v>109.75</v>
      </c>
      <c r="C64" s="2724">
        <f t="shared" si="71"/>
        <v>112.25</v>
      </c>
      <c r="D64" s="2724">
        <f t="shared" si="35"/>
        <v>112.25</v>
      </c>
      <c r="E64" s="2724">
        <f t="shared" ref="E64:F66" si="72">E65+(E$63-E$67)/4</f>
        <v>107.25</v>
      </c>
      <c r="F64" s="2724">
        <f t="shared" si="72"/>
        <v>103.5</v>
      </c>
      <c r="G64" s="3470">
        <v>2003</v>
      </c>
      <c r="H64" s="2680">
        <v>3</v>
      </c>
      <c r="I64" s="2722"/>
      <c r="J64" s="2722"/>
      <c r="K64" s="2722"/>
      <c r="L64" s="2722"/>
      <c r="X64" s="2714"/>
      <c r="Y64" s="2714"/>
      <c r="Z64" s="2714"/>
    </row>
    <row r="65" spans="1:26">
      <c r="A65" s="2655" t="s">
        <v>2627</v>
      </c>
      <c r="B65" s="2724">
        <f t="shared" si="71"/>
        <v>108.5</v>
      </c>
      <c r="C65" s="2724">
        <f t="shared" si="71"/>
        <v>110.5</v>
      </c>
      <c r="D65" s="2724">
        <f t="shared" si="35"/>
        <v>110.5</v>
      </c>
      <c r="E65" s="2724">
        <f t="shared" si="72"/>
        <v>106.5</v>
      </c>
      <c r="F65" s="2724">
        <f t="shared" si="72"/>
        <v>103</v>
      </c>
      <c r="G65" s="3470">
        <v>2003</v>
      </c>
      <c r="H65" s="2660">
        <v>2</v>
      </c>
      <c r="I65" s="2722"/>
      <c r="J65" s="2722"/>
      <c r="K65" s="2722"/>
      <c r="L65" s="2722"/>
      <c r="X65" s="2714"/>
      <c r="Y65" s="2714"/>
      <c r="Z65" s="2714"/>
    </row>
    <row r="66" spans="1:26" ht="13.5" thickBot="1">
      <c r="A66" s="2655" t="s">
        <v>2628</v>
      </c>
      <c r="B66" s="2724">
        <f t="shared" si="71"/>
        <v>107.25</v>
      </c>
      <c r="C66" s="2724">
        <f t="shared" si="71"/>
        <v>108.75</v>
      </c>
      <c r="D66" s="2724">
        <f t="shared" si="35"/>
        <v>108.75</v>
      </c>
      <c r="E66" s="2724">
        <f t="shared" si="72"/>
        <v>105.75</v>
      </c>
      <c r="F66" s="2724">
        <f t="shared" si="72"/>
        <v>102.5</v>
      </c>
      <c r="G66" s="3471">
        <v>2003</v>
      </c>
      <c r="H66" s="2725">
        <v>1</v>
      </c>
      <c r="I66" s="2722"/>
      <c r="J66" s="2722"/>
      <c r="K66" s="2722"/>
      <c r="L66" s="2722"/>
      <c r="S66" s="2664"/>
      <c r="T66" s="2665"/>
      <c r="U66" s="2665"/>
      <c r="X66" s="2714"/>
      <c r="Y66" s="2714"/>
      <c r="Z66" s="2714"/>
    </row>
    <row r="67" spans="1:26" ht="13.5" thickBot="1">
      <c r="A67" s="2655" t="s">
        <v>2629</v>
      </c>
      <c r="B67" s="2726">
        <v>106</v>
      </c>
      <c r="C67" s="2726">
        <v>107</v>
      </c>
      <c r="D67" s="2726">
        <f t="shared" si="35"/>
        <v>107</v>
      </c>
      <c r="E67" s="2726">
        <v>105</v>
      </c>
      <c r="F67" s="2727">
        <v>102</v>
      </c>
      <c r="G67" s="3469">
        <v>2002</v>
      </c>
      <c r="H67" s="2675">
        <v>4</v>
      </c>
      <c r="I67" s="2722"/>
      <c r="J67" s="2722"/>
      <c r="K67" s="2722"/>
      <c r="L67" s="2722"/>
      <c r="N67" s="2723"/>
      <c r="O67" s="2722"/>
      <c r="P67" s="2722"/>
      <c r="Q67" s="2722"/>
      <c r="S67" s="2723"/>
      <c r="T67" s="2722"/>
      <c r="U67" s="2722"/>
      <c r="V67" s="2722"/>
      <c r="X67" s="2714"/>
      <c r="Y67" s="2714"/>
      <c r="Z67" s="2714"/>
    </row>
    <row r="68" spans="1:26">
      <c r="A68" s="2655" t="s">
        <v>2630</v>
      </c>
      <c r="B68" s="2724">
        <f t="shared" ref="B68:C70" si="73">B69+(B$67-B$71)/4</f>
        <v>105</v>
      </c>
      <c r="C68" s="2724">
        <f t="shared" si="73"/>
        <v>106</v>
      </c>
      <c r="D68" s="2724">
        <f t="shared" si="35"/>
        <v>106</v>
      </c>
      <c r="E68" s="2724">
        <f t="shared" ref="E68:F70" si="74">E69+(E$67-E$71)/4</f>
        <v>104.5</v>
      </c>
      <c r="F68" s="2724">
        <f t="shared" si="74"/>
        <v>101.5</v>
      </c>
      <c r="G68" s="3470">
        <v>2002</v>
      </c>
      <c r="H68" s="2680">
        <v>3</v>
      </c>
      <c r="I68" s="2722"/>
      <c r="J68" s="2722"/>
      <c r="K68" s="2722"/>
      <c r="L68" s="2722"/>
      <c r="X68" s="2714"/>
      <c r="Y68" s="2714"/>
      <c r="Z68" s="2714"/>
    </row>
    <row r="69" spans="1:26">
      <c r="A69" s="2655" t="s">
        <v>2631</v>
      </c>
      <c r="B69" s="2724">
        <f t="shared" si="73"/>
        <v>104</v>
      </c>
      <c r="C69" s="2724">
        <f t="shared" si="73"/>
        <v>105</v>
      </c>
      <c r="D69" s="2724">
        <f t="shared" si="35"/>
        <v>105</v>
      </c>
      <c r="E69" s="2724">
        <f t="shared" si="74"/>
        <v>104</v>
      </c>
      <c r="F69" s="2724">
        <f t="shared" si="74"/>
        <v>101</v>
      </c>
      <c r="G69" s="3470">
        <v>2002</v>
      </c>
      <c r="H69" s="2660">
        <v>2</v>
      </c>
      <c r="I69" s="2722"/>
      <c r="J69" s="2722"/>
      <c r="K69" s="2722"/>
      <c r="L69" s="2722"/>
      <c r="X69" s="2714"/>
      <c r="Y69" s="2714"/>
      <c r="Z69" s="2714"/>
    </row>
    <row r="70" spans="1:26" s="2691" customFormat="1" ht="13.5" thickBot="1">
      <c r="A70" s="2687" t="s">
        <v>2632</v>
      </c>
      <c r="B70" s="2728">
        <f t="shared" si="73"/>
        <v>103</v>
      </c>
      <c r="C70" s="2728">
        <f t="shared" si="73"/>
        <v>104</v>
      </c>
      <c r="D70" s="2728">
        <f t="shared" si="35"/>
        <v>104</v>
      </c>
      <c r="E70" s="2728">
        <f t="shared" si="74"/>
        <v>103.5</v>
      </c>
      <c r="F70" s="2728">
        <f t="shared" si="74"/>
        <v>100.5</v>
      </c>
      <c r="G70" s="3471">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2633</v>
      </c>
      <c r="G73" s="2738"/>
      <c r="N73" s="2738"/>
      <c r="S73" s="2738"/>
    </row>
    <row r="74" spans="1:26" s="2737" customFormat="1">
      <c r="A74" s="2737" t="s">
        <v>2634</v>
      </c>
      <c r="G74" s="2738"/>
      <c r="N74" s="2738"/>
      <c r="S74" s="2738"/>
    </row>
    <row r="75" spans="1:26" s="2737" customFormat="1">
      <c r="A75" s="2737" t="s">
        <v>2635</v>
      </c>
      <c r="G75" s="2738"/>
      <c r="I75" s="2739"/>
      <c r="J75" s="2739"/>
      <c r="K75" s="2739"/>
      <c r="L75" s="2739"/>
      <c r="N75" s="2740"/>
      <c r="O75" s="2739"/>
      <c r="P75" s="2739"/>
      <c r="Q75" s="2739"/>
      <c r="S75" s="2740"/>
      <c r="T75" s="2739"/>
      <c r="U75" s="2739"/>
      <c r="V75" s="2739"/>
    </row>
    <row r="76" spans="1:26" s="2737" customFormat="1">
      <c r="A76" s="2737" t="s">
        <v>2636</v>
      </c>
      <c r="G76" s="2738"/>
      <c r="N76" s="2738"/>
      <c r="S76" s="2738"/>
    </row>
    <row r="83" spans="7:22" ht="13.5" thickBot="1"/>
    <row r="84" spans="7:22">
      <c r="G84" s="2663"/>
      <c r="S84" s="2741" t="s">
        <v>2637</v>
      </c>
      <c r="T84" s="2742" t="s">
        <v>2638</v>
      </c>
      <c r="U84" s="2742" t="s">
        <v>2639</v>
      </c>
      <c r="V84" s="2742" t="s">
        <v>2640</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2473</v>
      </c>
      <c r="B1" s="3480"/>
      <c r="C1" s="3481"/>
      <c r="D1" s="3482">
        <f>SUM(I10,I15,I20,I21,I23)</f>
        <v>0</v>
      </c>
      <c r="E1" s="3482"/>
      <c r="F1" s="3482"/>
      <c r="G1" s="3482"/>
      <c r="H1" s="3482"/>
      <c r="I1" s="3483"/>
    </row>
    <row r="2" spans="1:9">
      <c r="A2" s="3484" t="s">
        <v>2474</v>
      </c>
      <c r="B2" s="3485" t="s">
        <v>2475</v>
      </c>
      <c r="C2" s="3485"/>
      <c r="D2" s="2507" t="s">
        <v>2476</v>
      </c>
      <c r="E2" s="2507" t="s">
        <v>2477</v>
      </c>
      <c r="F2" s="2507" t="s">
        <v>2478</v>
      </c>
      <c r="G2" s="2507" t="s">
        <v>2479</v>
      </c>
      <c r="H2" s="2507" t="s">
        <v>2480</v>
      </c>
      <c r="I2" s="2508" t="s">
        <v>2481</v>
      </c>
    </row>
    <row r="3" spans="1:9">
      <c r="A3" s="3484"/>
      <c r="B3" s="3485" t="s">
        <v>2482</v>
      </c>
      <c r="C3" s="3485"/>
      <c r="D3" s="2509"/>
      <c r="E3" s="2507"/>
      <c r="F3" s="2510"/>
      <c r="G3" s="2510"/>
      <c r="H3" s="2511"/>
      <c r="I3" s="2512">
        <f>ROUND(D3*E3*F3*G3*H3/10000,0)</f>
        <v>0</v>
      </c>
    </row>
    <row r="4" spans="1:9">
      <c r="A4" s="3484"/>
      <c r="B4" s="3485" t="s">
        <v>2483</v>
      </c>
      <c r="C4" s="3485"/>
      <c r="D4" s="2509"/>
      <c r="E4" s="2507"/>
      <c r="F4" s="2510"/>
      <c r="G4" s="2510"/>
      <c r="H4" s="2511"/>
      <c r="I4" s="2512">
        <f t="shared" ref="I4:I9" si="0">ROUND(D4*E4*F4*G4*H4/10000,0)</f>
        <v>0</v>
      </c>
    </row>
    <row r="5" spans="1:9">
      <c r="A5" s="3484"/>
      <c r="B5" s="3485" t="s">
        <v>2484</v>
      </c>
      <c r="C5" s="3485"/>
      <c r="D5" s="2509"/>
      <c r="E5" s="2507"/>
      <c r="F5" s="2510"/>
      <c r="G5" s="2510"/>
      <c r="H5" s="2511"/>
      <c r="I5" s="2512">
        <f t="shared" si="0"/>
        <v>0</v>
      </c>
    </row>
    <row r="6" spans="1:9">
      <c r="A6" s="3484"/>
      <c r="B6" s="3485" t="s">
        <v>2485</v>
      </c>
      <c r="C6" s="3485"/>
      <c r="D6" s="2509"/>
      <c r="E6" s="2507"/>
      <c r="F6" s="2510"/>
      <c r="G6" s="2510"/>
      <c r="H6" s="2511"/>
      <c r="I6" s="2512">
        <f t="shared" si="0"/>
        <v>0</v>
      </c>
    </row>
    <row r="7" spans="1:9">
      <c r="A7" s="3484"/>
      <c r="B7" s="3485" t="s">
        <v>2486</v>
      </c>
      <c r="C7" s="3485"/>
      <c r="D7" s="2509"/>
      <c r="E7" s="2507"/>
      <c r="F7" s="2510"/>
      <c r="G7" s="2510"/>
      <c r="H7" s="2511"/>
      <c r="I7" s="2512">
        <f t="shared" si="0"/>
        <v>0</v>
      </c>
    </row>
    <row r="8" spans="1:9">
      <c r="A8" s="3484"/>
      <c r="B8" s="3485" t="s">
        <v>2487</v>
      </c>
      <c r="C8" s="3485"/>
      <c r="D8" s="2509"/>
      <c r="E8" s="2507"/>
      <c r="F8" s="2510"/>
      <c r="G8" s="2510"/>
      <c r="H8" s="2511"/>
      <c r="I8" s="2512">
        <f t="shared" si="0"/>
        <v>0</v>
      </c>
    </row>
    <row r="9" spans="1:9">
      <c r="A9" s="3484"/>
      <c r="B9" s="3485" t="s">
        <v>2488</v>
      </c>
      <c r="C9" s="3485"/>
      <c r="D9" s="2509"/>
      <c r="E9" s="2507"/>
      <c r="F9" s="2510"/>
      <c r="G9" s="2510"/>
      <c r="H9" s="2511"/>
      <c r="I9" s="2512">
        <f t="shared" si="0"/>
        <v>0</v>
      </c>
    </row>
    <row r="10" spans="1:9">
      <c r="A10" s="3484"/>
      <c r="B10" s="3486" t="s">
        <v>2489</v>
      </c>
      <c r="C10" s="3486"/>
      <c r="D10" s="2513">
        <v>527</v>
      </c>
      <c r="E10" s="2513" t="e">
        <f>ROUND(D1*10000/D10/H9,0)</f>
        <v>#DIV/0!</v>
      </c>
      <c r="F10" s="2514"/>
      <c r="G10" s="2514"/>
      <c r="H10" s="2515"/>
      <c r="I10" s="2516">
        <f>SUM(I3:I9)</f>
        <v>0</v>
      </c>
    </row>
    <row r="11" spans="1:9" ht="14.25">
      <c r="A11" s="3484" t="s">
        <v>2490</v>
      </c>
      <c r="B11" s="3485" t="s">
        <v>2491</v>
      </c>
      <c r="C11" s="3485"/>
      <c r="D11" s="2509" t="s">
        <v>2492</v>
      </c>
      <c r="E11" s="2509" t="s">
        <v>2493</v>
      </c>
      <c r="F11" s="2510" t="s">
        <v>2494</v>
      </c>
      <c r="G11" s="2510" t="s">
        <v>2495</v>
      </c>
      <c r="H11" s="2517" t="s">
        <v>2496</v>
      </c>
      <c r="I11" s="2508" t="s">
        <v>2497</v>
      </c>
    </row>
    <row r="12" spans="1:9">
      <c r="A12" s="3484"/>
      <c r="B12" s="3485" t="s">
        <v>2498</v>
      </c>
      <c r="C12" s="3485"/>
      <c r="D12" s="2509"/>
      <c r="E12" s="2509"/>
      <c r="F12" s="2510"/>
      <c r="G12" s="2511"/>
      <c r="H12" s="2518"/>
      <c r="I12" s="2508">
        <f>ROUND(D12*E12*F12*G12/10000,0)</f>
        <v>0</v>
      </c>
    </row>
    <row r="13" spans="1:9">
      <c r="A13" s="3484"/>
      <c r="B13" s="3485" t="s">
        <v>2499</v>
      </c>
      <c r="C13" s="3485"/>
      <c r="D13" s="2509"/>
      <c r="E13" s="2509"/>
      <c r="F13" s="2510"/>
      <c r="G13" s="2511"/>
      <c r="H13" s="2518"/>
      <c r="I13" s="2508">
        <f>ROUND(D13*E13*F13*G13/10000,0)</f>
        <v>0</v>
      </c>
    </row>
    <row r="14" spans="1:9">
      <c r="A14" s="3484"/>
      <c r="B14" s="3485" t="s">
        <v>2500</v>
      </c>
      <c r="C14" s="3485"/>
      <c r="D14" s="2509"/>
      <c r="E14" s="2509"/>
      <c r="F14" s="2510"/>
      <c r="G14" s="2511"/>
      <c r="H14" s="2518"/>
      <c r="I14" s="2508">
        <f>ROUND(D14*E14*F14*G14/10000,0)</f>
        <v>0</v>
      </c>
    </row>
    <row r="15" spans="1:9">
      <c r="A15" s="3484"/>
      <c r="B15" s="3486" t="s">
        <v>2489</v>
      </c>
      <c r="C15" s="3486"/>
      <c r="D15" s="2513"/>
      <c r="E15" s="2513">
        <f>SUM(E12:E14)</f>
        <v>0</v>
      </c>
      <c r="F15" s="2514"/>
      <c r="G15" s="2511"/>
      <c r="H15" s="2518"/>
      <c r="I15" s="2519">
        <f>SUM(I12:I14)</f>
        <v>0</v>
      </c>
    </row>
    <row r="16" spans="1:9" ht="24">
      <c r="A16" s="3484" t="s">
        <v>2501</v>
      </c>
      <c r="B16" s="3485" t="s">
        <v>2502</v>
      </c>
      <c r="C16" s="3485"/>
      <c r="D16" s="2509" t="s">
        <v>2503</v>
      </c>
      <c r="E16" s="2520" t="s">
        <v>2504</v>
      </c>
      <c r="F16" s="2510" t="s">
        <v>2505</v>
      </c>
      <c r="G16" s="2511" t="s">
        <v>2495</v>
      </c>
      <c r="H16" s="2517" t="s">
        <v>2496</v>
      </c>
      <c r="I16" s="2508" t="s">
        <v>2497</v>
      </c>
    </row>
    <row r="17" spans="1:9" ht="14.25">
      <c r="A17" s="3484"/>
      <c r="B17" s="3485" t="s">
        <v>2506</v>
      </c>
      <c r="C17" s="3485"/>
      <c r="D17" s="2509"/>
      <c r="E17" s="2509"/>
      <c r="F17" s="2510"/>
      <c r="G17" s="2511"/>
      <c r="H17" s="2521"/>
      <c r="I17" s="2522">
        <f>ROUND(D17*E17*F17*G17/10000,0)</f>
        <v>0</v>
      </c>
    </row>
    <row r="18" spans="1:9" ht="14.25">
      <c r="A18" s="3484"/>
      <c r="B18" s="3485" t="s">
        <v>2507</v>
      </c>
      <c r="C18" s="3485"/>
      <c r="D18" s="2509"/>
      <c r="E18" s="2509"/>
      <c r="F18" s="2510"/>
      <c r="G18" s="2511"/>
      <c r="H18" s="2521"/>
      <c r="I18" s="2522">
        <f>ROUND(D18*E18*F18*G18/10000,0)</f>
        <v>0</v>
      </c>
    </row>
    <row r="19" spans="1:9" ht="14.25">
      <c r="A19" s="3484"/>
      <c r="B19" s="3485" t="s">
        <v>2508</v>
      </c>
      <c r="C19" s="3485"/>
      <c r="D19" s="2509"/>
      <c r="E19" s="2509"/>
      <c r="F19" s="2510"/>
      <c r="G19" s="2511"/>
      <c r="H19" s="2521"/>
      <c r="I19" s="2522">
        <f>ROUND(D19*E19*F19*G19/10000,0)</f>
        <v>0</v>
      </c>
    </row>
    <row r="20" spans="1:9">
      <c r="A20" s="3484"/>
      <c r="B20" s="3486" t="s">
        <v>2489</v>
      </c>
      <c r="C20" s="3486"/>
      <c r="D20" s="2513">
        <f>SUM(D17:D19)</f>
        <v>0</v>
      </c>
      <c r="E20" s="2513"/>
      <c r="F20" s="2514"/>
      <c r="G20" s="2511"/>
      <c r="H20" s="2518"/>
      <c r="I20" s="2519">
        <f>SUM(I17:I19)</f>
        <v>0</v>
      </c>
    </row>
    <row r="21" spans="1:9">
      <c r="A21" s="3484" t="s">
        <v>2509</v>
      </c>
      <c r="B21" s="3488"/>
      <c r="C21" s="3488"/>
      <c r="D21" s="3488"/>
      <c r="E21" s="3488"/>
      <c r="F21" s="3488"/>
      <c r="G21" s="3488"/>
      <c r="H21" s="2523">
        <v>0.1</v>
      </c>
      <c r="I21" s="2516">
        <f>ROUND(I10*H21,0)</f>
        <v>0</v>
      </c>
    </row>
    <row r="22" spans="1:9" ht="14.25">
      <c r="A22" s="3489" t="s">
        <v>2510</v>
      </c>
      <c r="B22" s="3490"/>
      <c r="C22" s="3491"/>
      <c r="D22" s="2524" t="s">
        <v>2511</v>
      </c>
      <c r="E22" s="2524" t="s">
        <v>2512</v>
      </c>
      <c r="F22" s="2525" t="s">
        <v>2513</v>
      </c>
      <c r="G22" s="2525" t="s">
        <v>2514</v>
      </c>
      <c r="H22" s="2517" t="s">
        <v>2515</v>
      </c>
      <c r="I22" s="2508" t="s">
        <v>2516</v>
      </c>
    </row>
    <row r="23" spans="1:9" ht="14.25" thickBot="1">
      <c r="A23" s="3492"/>
      <c r="B23" s="3493"/>
      <c r="C23" s="3494"/>
      <c r="D23" s="2526"/>
      <c r="E23" s="2526"/>
      <c r="F23" s="2526"/>
      <c r="G23" s="2527"/>
      <c r="H23" s="2528"/>
      <c r="I23" s="2529">
        <f>ROUND(E23*D23*F23*(1-G23)/10000,0)</f>
        <v>0</v>
      </c>
    </row>
    <row r="26" spans="1:9">
      <c r="A26" s="2530" t="s">
        <v>2517</v>
      </c>
      <c r="B26" s="2530"/>
      <c r="C26" s="2530"/>
      <c r="D26" s="2530"/>
      <c r="E26" s="3495">
        <f>C27-C30-C31-C32</f>
        <v>0</v>
      </c>
      <c r="F26" s="3495"/>
      <c r="G26" s="3495"/>
      <c r="H26" s="3044" t="s">
        <v>2845</v>
      </c>
    </row>
    <row r="27" spans="1:9">
      <c r="A27" s="2531">
        <v>1</v>
      </c>
      <c r="B27" s="2532" t="s">
        <v>2518</v>
      </c>
      <c r="C27" s="2532"/>
      <c r="D27" s="2532"/>
      <c r="E27" s="3496"/>
      <c r="F27" s="3496"/>
      <c r="G27" s="3496"/>
    </row>
    <row r="28" spans="1:9">
      <c r="A28" s="2533" t="s">
        <v>2519</v>
      </c>
      <c r="B28" s="2532" t="s">
        <v>2520</v>
      </c>
      <c r="C28" s="2532"/>
      <c r="D28" s="2532"/>
      <c r="E28" s="3496"/>
      <c r="F28" s="3496"/>
      <c r="G28" s="3496"/>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87"/>
      <c r="F32" s="3487"/>
      <c r="G32" s="3487"/>
    </row>
    <row r="33" spans="1:7" hidden="1">
      <c r="A33" s="3497" t="s">
        <v>2528</v>
      </c>
      <c r="B33" s="3498"/>
      <c r="C33" s="3498"/>
      <c r="D33" s="3499"/>
      <c r="E33" s="3495"/>
      <c r="F33" s="3495"/>
      <c r="G33" s="3495"/>
    </row>
    <row r="34" spans="1:7" hidden="1">
      <c r="A34" s="2535">
        <v>1</v>
      </c>
      <c r="B34" s="2532" t="s">
        <v>2529</v>
      </c>
      <c r="C34" s="2532"/>
      <c r="D34" s="2532"/>
      <c r="E34" s="3496"/>
      <c r="F34" s="3496"/>
      <c r="G34" s="3496"/>
    </row>
    <row r="35" spans="1:7" hidden="1">
      <c r="A35" s="2535">
        <v>2</v>
      </c>
      <c r="B35" s="2532" t="s">
        <v>2530</v>
      </c>
      <c r="C35" s="2532"/>
      <c r="D35" s="2532"/>
      <c r="E35" s="3496"/>
      <c r="F35" s="3496"/>
      <c r="G35" s="3496"/>
    </row>
    <row r="36" spans="1:7" hidden="1">
      <c r="A36" s="2535">
        <v>3</v>
      </c>
      <c r="B36" s="2532" t="s">
        <v>2531</v>
      </c>
      <c r="C36" s="2532"/>
      <c r="D36" s="2532"/>
      <c r="E36" s="3496"/>
      <c r="F36" s="3496"/>
      <c r="G36" s="3496"/>
    </row>
    <row r="37" spans="1:7" hidden="1">
      <c r="A37" s="2535">
        <v>4</v>
      </c>
      <c r="B37" s="2532" t="s">
        <v>2532</v>
      </c>
      <c r="C37" s="2532"/>
      <c r="D37" s="2532"/>
      <c r="E37" s="3496"/>
      <c r="F37" s="3496"/>
      <c r="G37" s="3496"/>
    </row>
    <row r="38" spans="1:7" hidden="1">
      <c r="A38" s="3497" t="s">
        <v>2533</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融创：</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21659.53平方米。根据《建设工程规划许可证》[]、《出让合同》[]，估价对象规划建筑面积为32489平方米。</v>
      </c>
    </row>
    <row r="7" spans="1:4" ht="56.25">
      <c r="A7" s="1795" t="s">
        <v>2749</v>
      </c>
    </row>
    <row r="8" spans="1:4" ht="18.75">
      <c r="A8" s="1794" t="s">
        <v>1906</v>
      </c>
    </row>
    <row r="9" spans="1:4" ht="56.25">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2018年6月25日（评估专业人员勘察现场之日）</v>
      </c>
    </row>
    <row r="12" spans="1:4" ht="18.75">
      <c r="A12" s="1797" t="s">
        <v>2027</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根据《国有土地使用证》[]，估价对象（分摊）出让国有建设用地使用权面积为21659.53平方米。根据《建设工程规划许可证》[]、《出让合同》[]，估价对象规划建筑面积为32489平方米。</v>
      </c>
    </row>
    <row r="21" spans="1:1" ht="18.75">
      <c r="A21" s="1791" t="s">
        <v>2076</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商业2056年8月18日地下车库2066年8月18日、地下仓储2066年8月18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602</v>
      </c>
      <c r="B1" s="741"/>
      <c r="C1" s="2182"/>
      <c r="D1" s="2182"/>
      <c r="E1" s="2182"/>
      <c r="F1" s="2182"/>
      <c r="G1" s="2108"/>
    </row>
    <row r="2" spans="1:25" s="2059" customFormat="1" ht="18" customHeight="1">
      <c r="A2" s="422" t="s">
        <v>466</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467</v>
      </c>
      <c r="B4" s="426">
        <f ca="1">ROUND(B2*10000/'数据-汇总表'!D3,0)</f>
        <v>0</v>
      </c>
      <c r="C4" s="2061"/>
      <c r="D4" s="2108"/>
      <c r="E4" s="2108"/>
      <c r="F4" s="2108"/>
      <c r="G4" s="2108"/>
    </row>
    <row r="5" spans="1:25" s="2059" customFormat="1" ht="18" customHeight="1" thickBot="1">
      <c r="A5" s="428"/>
      <c r="B5" s="429">
        <f ca="1">ROUND(B2/('数据-汇总表'!D3/666.67),0)</f>
        <v>0</v>
      </c>
      <c r="C5" s="430" t="s">
        <v>468</v>
      </c>
      <c r="D5" s="2108"/>
      <c r="E5" s="2108"/>
      <c r="F5" s="2108"/>
      <c r="G5" s="2108"/>
    </row>
    <row r="6" spans="1:25" s="2183" customFormat="1" ht="13.5" customHeight="1">
      <c r="A6" s="742"/>
      <c r="B6" s="743" t="s">
        <v>603</v>
      </c>
      <c r="C6" s="744" t="s">
        <v>604</v>
      </c>
      <c r="D6" s="744" t="s">
        <v>605</v>
      </c>
      <c r="E6" s="745" t="s">
        <v>606</v>
      </c>
      <c r="F6" s="745" t="s">
        <v>607</v>
      </c>
      <c r="G6" s="746"/>
    </row>
    <row r="7" spans="1:25" s="2183" customFormat="1" ht="13.5" customHeight="1">
      <c r="A7" s="2469">
        <v>1</v>
      </c>
      <c r="B7" s="747" t="s">
        <v>608</v>
      </c>
      <c r="C7" s="748">
        <f>C8+C9</f>
        <v>0</v>
      </c>
      <c r="D7" s="748"/>
      <c r="E7" s="749"/>
      <c r="F7" s="749"/>
      <c r="G7" s="2479"/>
    </row>
    <row r="8" spans="1:25" s="2183" customFormat="1" ht="13.5" customHeight="1">
      <c r="A8" s="2469" t="s">
        <v>2442</v>
      </c>
      <c r="B8" s="2472" t="s">
        <v>2444</v>
      </c>
      <c r="C8" s="2473"/>
      <c r="D8" s="748"/>
      <c r="E8" s="749"/>
      <c r="F8" s="749"/>
      <c r="G8" s="750"/>
    </row>
    <row r="9" spans="1:25" s="2183" customFormat="1" ht="13.5" customHeight="1">
      <c r="A9" s="2469" t="s">
        <v>2443</v>
      </c>
      <c r="B9" s="2472" t="s">
        <v>2445</v>
      </c>
      <c r="C9" s="2473"/>
      <c r="D9" s="748"/>
      <c r="E9" s="749"/>
      <c r="F9" s="749"/>
      <c r="G9" s="750"/>
    </row>
    <row r="10" spans="1:25" s="2183" customFormat="1" ht="36">
      <c r="A10" s="2469">
        <v>2</v>
      </c>
      <c r="B10" s="747" t="s">
        <v>612</v>
      </c>
      <c r="C10" s="748">
        <f>C11+C14+C15</f>
        <v>0</v>
      </c>
      <c r="D10" s="759">
        <f>'数据-汇总表'!E3</f>
        <v>32489</v>
      </c>
      <c r="E10" s="748">
        <f>'数据-取费表'!B31</f>
        <v>170</v>
      </c>
      <c r="F10" s="760"/>
      <c r="G10" s="758" t="s">
        <v>613</v>
      </c>
    </row>
    <row r="11" spans="1:25" s="2183" customFormat="1" ht="13.5" customHeight="1">
      <c r="A11" s="2469" t="s">
        <v>2442</v>
      </c>
      <c r="B11" s="751" t="s">
        <v>609</v>
      </c>
      <c r="C11" s="752">
        <f>'数据-取费表'!B29</f>
        <v>0</v>
      </c>
      <c r="D11" s="753"/>
      <c r="E11" s="752"/>
      <c r="F11" s="754"/>
      <c r="G11" s="2478" t="s">
        <v>2453</v>
      </c>
    </row>
    <row r="12" spans="1:25" s="2183" customFormat="1" ht="13.5" customHeight="1">
      <c r="A12" s="2476" t="s">
        <v>2450</v>
      </c>
      <c r="B12" s="755" t="s">
        <v>610</v>
      </c>
      <c r="C12" s="756">
        <f>ROUND(D12*E12/10000,0)</f>
        <v>0</v>
      </c>
      <c r="D12" s="757">
        <f>'数据-汇总表'!E5</f>
        <v>0</v>
      </c>
      <c r="E12" s="756">
        <f>'数据-取费表'!B27</f>
        <v>1365.5</v>
      </c>
      <c r="F12" s="754"/>
      <c r="G12" s="758"/>
    </row>
    <row r="13" spans="1:25" s="2183" customFormat="1" ht="13.5" customHeight="1">
      <c r="A13" s="2476" t="s">
        <v>2449</v>
      </c>
      <c r="B13" s="755" t="s">
        <v>611</v>
      </c>
      <c r="C13" s="756">
        <f>ROUND(D13*E13/10000,0)</f>
        <v>443</v>
      </c>
      <c r="D13" s="757">
        <f>'数据-汇总表'!E6</f>
        <v>32489</v>
      </c>
      <c r="E13" s="756">
        <f>'数据-取费表'!B28</f>
        <v>136.5</v>
      </c>
      <c r="F13" s="754"/>
      <c r="G13" s="758"/>
    </row>
    <row r="14" spans="1:25" s="2183" customFormat="1" ht="13.5" customHeight="1">
      <c r="A14" s="2469" t="s">
        <v>2443</v>
      </c>
      <c r="B14" s="2475" t="s">
        <v>2446</v>
      </c>
      <c r="C14" s="2473"/>
      <c r="D14" s="757"/>
      <c r="E14" s="756"/>
      <c r="F14" s="2474"/>
      <c r="G14" s="2477" t="s">
        <v>2451</v>
      </c>
    </row>
    <row r="15" spans="1:25" s="2183" customFormat="1" ht="13.5" customHeight="1">
      <c r="A15" s="2469" t="s">
        <v>2448</v>
      </c>
      <c r="B15" s="2475" t="s">
        <v>2447</v>
      </c>
      <c r="C15" s="2473"/>
      <c r="D15" s="757"/>
      <c r="E15" s="756"/>
      <c r="F15" s="2474"/>
      <c r="G15" s="2477" t="s">
        <v>2452</v>
      </c>
    </row>
    <row r="16" spans="1:25" s="2184" customFormat="1" ht="48">
      <c r="A16" s="2469">
        <v>3</v>
      </c>
      <c r="B16" s="747" t="s">
        <v>614</v>
      </c>
      <c r="C16" s="2473"/>
      <c r="D16" s="759"/>
      <c r="E16" s="748"/>
      <c r="F16" s="760"/>
      <c r="G16" s="758"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615</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616</v>
      </c>
      <c r="C18" s="748">
        <f>ROUND((C7+C10+C16)*F18,0)</f>
        <v>0</v>
      </c>
      <c r="D18" s="761"/>
      <c r="E18" s="762"/>
      <c r="F18" s="760">
        <f>'数据-取费表'!Q16</f>
        <v>0.35</v>
      </c>
      <c r="G18" s="764"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618</v>
      </c>
      <c r="C19" s="748">
        <f ca="1">C7+C10+C16+C17+C18</f>
        <v>0</v>
      </c>
      <c r="D19" s="759"/>
      <c r="E19" s="748"/>
      <c r="F19" s="760"/>
      <c r="G19" s="764"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620</v>
      </c>
      <c r="C20" s="748">
        <f ca="1">ROUND(C19*F20,0)</f>
        <v>0</v>
      </c>
      <c r="D20" s="759"/>
      <c r="E20" s="748"/>
      <c r="F20" s="1347"/>
      <c r="G20" s="764"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622</v>
      </c>
      <c r="C21" s="748">
        <f ca="1">C19+C20</f>
        <v>0</v>
      </c>
      <c r="D21" s="759"/>
      <c r="E21" s="748"/>
      <c r="F21" s="760"/>
      <c r="G21" s="764"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624</v>
      </c>
      <c r="C22" s="748">
        <f ca="1">ROUND(C21*F22,0)</f>
        <v>0</v>
      </c>
      <c r="D22" s="759"/>
      <c r="E22" s="748"/>
      <c r="F22" s="765">
        <f>'数据-取费表'!AP16</f>
        <v>0.87</v>
      </c>
      <c r="G22" s="764"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626</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5"/>
  <sheetViews>
    <sheetView topLeftCell="A103" workbookViewId="0">
      <selection activeCell="H167" sqref="H167"/>
    </sheetView>
  </sheetViews>
  <sheetFormatPr defaultRowHeight="12.75"/>
  <cols>
    <col min="1" max="1" width="29.5" style="3183" customWidth="1"/>
    <col min="2" max="2" width="6.25" style="3183" customWidth="1"/>
    <col min="3" max="3" width="11.75" style="3183" customWidth="1"/>
    <col min="4" max="4" width="6.5" style="3183" customWidth="1"/>
    <col min="5" max="5" width="6.75" style="3183" customWidth="1"/>
    <col min="6" max="6" width="8.375" style="3183" customWidth="1"/>
    <col min="7" max="7" width="7.875" style="3183" customWidth="1"/>
    <col min="8" max="8" width="9" style="3183" customWidth="1"/>
    <col min="9" max="9" width="8.125" style="3183" customWidth="1"/>
    <col min="10" max="10" width="7.125" style="3183" customWidth="1"/>
    <col min="11" max="11" width="9.125" style="3183" customWidth="1"/>
    <col min="12" max="12" width="8.5" style="3183" customWidth="1"/>
    <col min="13" max="13" width="6.25" style="3183" customWidth="1"/>
    <col min="14" max="14" width="31" style="3183" customWidth="1"/>
    <col min="15" max="256" width="9" style="3183"/>
    <col min="257" max="257" width="72.375" style="3183" customWidth="1"/>
    <col min="258" max="258" width="6.25" style="3183" customWidth="1"/>
    <col min="259" max="259" width="11.75" style="3183" customWidth="1"/>
    <col min="260" max="261" width="13.875" style="3183" customWidth="1"/>
    <col min="262" max="262" width="8.375" style="3183" customWidth="1"/>
    <col min="263" max="263" width="7.875" style="3183" customWidth="1"/>
    <col min="264" max="264" width="9" style="3183" customWidth="1"/>
    <col min="265" max="266" width="10.625" style="3183" customWidth="1"/>
    <col min="267" max="268" width="14.375" style="3183" customWidth="1"/>
    <col min="269" max="269" width="6.25" style="3183" customWidth="1"/>
    <col min="270" max="270" width="31" style="3183" customWidth="1"/>
    <col min="271" max="512" width="9" style="3183"/>
    <col min="513" max="513" width="72.375" style="3183" customWidth="1"/>
    <col min="514" max="514" width="6.25" style="3183" customWidth="1"/>
    <col min="515" max="515" width="11.75" style="3183" customWidth="1"/>
    <col min="516" max="517" width="13.875" style="3183" customWidth="1"/>
    <col min="518" max="518" width="8.375" style="3183" customWidth="1"/>
    <col min="519" max="519" width="7.875" style="3183" customWidth="1"/>
    <col min="520" max="520" width="9" style="3183" customWidth="1"/>
    <col min="521" max="522" width="10.625" style="3183" customWidth="1"/>
    <col min="523" max="524" width="14.375" style="3183" customWidth="1"/>
    <col min="525" max="525" width="6.25" style="3183" customWidth="1"/>
    <col min="526" max="526" width="31" style="3183" customWidth="1"/>
    <col min="527" max="768" width="9" style="3183"/>
    <col min="769" max="769" width="72.375" style="3183" customWidth="1"/>
    <col min="770" max="770" width="6.25" style="3183" customWidth="1"/>
    <col min="771" max="771" width="11.75" style="3183" customWidth="1"/>
    <col min="772" max="773" width="13.875" style="3183" customWidth="1"/>
    <col min="774" max="774" width="8.375" style="3183" customWidth="1"/>
    <col min="775" max="775" width="7.875" style="3183" customWidth="1"/>
    <col min="776" max="776" width="9" style="3183" customWidth="1"/>
    <col min="777" max="778" width="10.625" style="3183" customWidth="1"/>
    <col min="779" max="780" width="14.375" style="3183" customWidth="1"/>
    <col min="781" max="781" width="6.25" style="3183" customWidth="1"/>
    <col min="782" max="782" width="31" style="3183" customWidth="1"/>
    <col min="783" max="1024" width="9" style="3183"/>
    <col min="1025" max="1025" width="72.375" style="3183" customWidth="1"/>
    <col min="1026" max="1026" width="6.25" style="3183" customWidth="1"/>
    <col min="1027" max="1027" width="11.75" style="3183" customWidth="1"/>
    <col min="1028" max="1029" width="13.875" style="3183" customWidth="1"/>
    <col min="1030" max="1030" width="8.375" style="3183" customWidth="1"/>
    <col min="1031" max="1031" width="7.875" style="3183" customWidth="1"/>
    <col min="1032" max="1032" width="9" style="3183" customWidth="1"/>
    <col min="1033" max="1034" width="10.625" style="3183" customWidth="1"/>
    <col min="1035" max="1036" width="14.375" style="3183" customWidth="1"/>
    <col min="1037" max="1037" width="6.25" style="3183" customWidth="1"/>
    <col min="1038" max="1038" width="31" style="3183" customWidth="1"/>
    <col min="1039" max="1280" width="9" style="3183"/>
    <col min="1281" max="1281" width="72.375" style="3183" customWidth="1"/>
    <col min="1282" max="1282" width="6.25" style="3183" customWidth="1"/>
    <col min="1283" max="1283" width="11.75" style="3183" customWidth="1"/>
    <col min="1284" max="1285" width="13.875" style="3183" customWidth="1"/>
    <col min="1286" max="1286" width="8.375" style="3183" customWidth="1"/>
    <col min="1287" max="1287" width="7.875" style="3183" customWidth="1"/>
    <col min="1288" max="1288" width="9" style="3183" customWidth="1"/>
    <col min="1289" max="1290" width="10.625" style="3183" customWidth="1"/>
    <col min="1291" max="1292" width="14.375" style="3183" customWidth="1"/>
    <col min="1293" max="1293" width="6.25" style="3183" customWidth="1"/>
    <col min="1294" max="1294" width="31" style="3183" customWidth="1"/>
    <col min="1295" max="1536" width="9" style="3183"/>
    <col min="1537" max="1537" width="72.375" style="3183" customWidth="1"/>
    <col min="1538" max="1538" width="6.25" style="3183" customWidth="1"/>
    <col min="1539" max="1539" width="11.75" style="3183" customWidth="1"/>
    <col min="1540" max="1541" width="13.875" style="3183" customWidth="1"/>
    <col min="1542" max="1542" width="8.375" style="3183" customWidth="1"/>
    <col min="1543" max="1543" width="7.875" style="3183" customWidth="1"/>
    <col min="1544" max="1544" width="9" style="3183" customWidth="1"/>
    <col min="1545" max="1546" width="10.625" style="3183" customWidth="1"/>
    <col min="1547" max="1548" width="14.375" style="3183" customWidth="1"/>
    <col min="1549" max="1549" width="6.25" style="3183" customWidth="1"/>
    <col min="1550" max="1550" width="31" style="3183" customWidth="1"/>
    <col min="1551" max="1792" width="9" style="3183"/>
    <col min="1793" max="1793" width="72.375" style="3183" customWidth="1"/>
    <col min="1794" max="1794" width="6.25" style="3183" customWidth="1"/>
    <col min="1795" max="1795" width="11.75" style="3183" customWidth="1"/>
    <col min="1796" max="1797" width="13.875" style="3183" customWidth="1"/>
    <col min="1798" max="1798" width="8.375" style="3183" customWidth="1"/>
    <col min="1799" max="1799" width="7.875" style="3183" customWidth="1"/>
    <col min="1800" max="1800" width="9" style="3183" customWidth="1"/>
    <col min="1801" max="1802" width="10.625" style="3183" customWidth="1"/>
    <col min="1803" max="1804" width="14.375" style="3183" customWidth="1"/>
    <col min="1805" max="1805" width="6.25" style="3183" customWidth="1"/>
    <col min="1806" max="1806" width="31" style="3183" customWidth="1"/>
    <col min="1807" max="2048" width="9" style="3183"/>
    <col min="2049" max="2049" width="72.375" style="3183" customWidth="1"/>
    <col min="2050" max="2050" width="6.25" style="3183" customWidth="1"/>
    <col min="2051" max="2051" width="11.75" style="3183" customWidth="1"/>
    <col min="2052" max="2053" width="13.875" style="3183" customWidth="1"/>
    <col min="2054" max="2054" width="8.375" style="3183" customWidth="1"/>
    <col min="2055" max="2055" width="7.875" style="3183" customWidth="1"/>
    <col min="2056" max="2056" width="9" style="3183" customWidth="1"/>
    <col min="2057" max="2058" width="10.625" style="3183" customWidth="1"/>
    <col min="2059" max="2060" width="14.375" style="3183" customWidth="1"/>
    <col min="2061" max="2061" width="6.25" style="3183" customWidth="1"/>
    <col min="2062" max="2062" width="31" style="3183" customWidth="1"/>
    <col min="2063" max="2304" width="9" style="3183"/>
    <col min="2305" max="2305" width="72.375" style="3183" customWidth="1"/>
    <col min="2306" max="2306" width="6.25" style="3183" customWidth="1"/>
    <col min="2307" max="2307" width="11.75" style="3183" customWidth="1"/>
    <col min="2308" max="2309" width="13.875" style="3183" customWidth="1"/>
    <col min="2310" max="2310" width="8.375" style="3183" customWidth="1"/>
    <col min="2311" max="2311" width="7.875" style="3183" customWidth="1"/>
    <col min="2312" max="2312" width="9" style="3183" customWidth="1"/>
    <col min="2313" max="2314" width="10.625" style="3183" customWidth="1"/>
    <col min="2315" max="2316" width="14.375" style="3183" customWidth="1"/>
    <col min="2317" max="2317" width="6.25" style="3183" customWidth="1"/>
    <col min="2318" max="2318" width="31" style="3183" customWidth="1"/>
    <col min="2319" max="2560" width="9" style="3183"/>
    <col min="2561" max="2561" width="72.375" style="3183" customWidth="1"/>
    <col min="2562" max="2562" width="6.25" style="3183" customWidth="1"/>
    <col min="2563" max="2563" width="11.75" style="3183" customWidth="1"/>
    <col min="2564" max="2565" width="13.875" style="3183" customWidth="1"/>
    <col min="2566" max="2566" width="8.375" style="3183" customWidth="1"/>
    <col min="2567" max="2567" width="7.875" style="3183" customWidth="1"/>
    <col min="2568" max="2568" width="9" style="3183" customWidth="1"/>
    <col min="2569" max="2570" width="10.625" style="3183" customWidth="1"/>
    <col min="2571" max="2572" width="14.375" style="3183" customWidth="1"/>
    <col min="2573" max="2573" width="6.25" style="3183" customWidth="1"/>
    <col min="2574" max="2574" width="31" style="3183" customWidth="1"/>
    <col min="2575" max="2816" width="9" style="3183"/>
    <col min="2817" max="2817" width="72.375" style="3183" customWidth="1"/>
    <col min="2818" max="2818" width="6.25" style="3183" customWidth="1"/>
    <col min="2819" max="2819" width="11.75" style="3183" customWidth="1"/>
    <col min="2820" max="2821" width="13.875" style="3183" customWidth="1"/>
    <col min="2822" max="2822" width="8.375" style="3183" customWidth="1"/>
    <col min="2823" max="2823" width="7.875" style="3183" customWidth="1"/>
    <col min="2824" max="2824" width="9" style="3183" customWidth="1"/>
    <col min="2825" max="2826" width="10.625" style="3183" customWidth="1"/>
    <col min="2827" max="2828" width="14.375" style="3183" customWidth="1"/>
    <col min="2829" max="2829" width="6.25" style="3183" customWidth="1"/>
    <col min="2830" max="2830" width="31" style="3183" customWidth="1"/>
    <col min="2831" max="3072" width="9" style="3183"/>
    <col min="3073" max="3073" width="72.375" style="3183" customWidth="1"/>
    <col min="3074" max="3074" width="6.25" style="3183" customWidth="1"/>
    <col min="3075" max="3075" width="11.75" style="3183" customWidth="1"/>
    <col min="3076" max="3077" width="13.875" style="3183" customWidth="1"/>
    <col min="3078" max="3078" width="8.375" style="3183" customWidth="1"/>
    <col min="3079" max="3079" width="7.875" style="3183" customWidth="1"/>
    <col min="3080" max="3080" width="9" style="3183" customWidth="1"/>
    <col min="3081" max="3082" width="10.625" style="3183" customWidth="1"/>
    <col min="3083" max="3084" width="14.375" style="3183" customWidth="1"/>
    <col min="3085" max="3085" width="6.25" style="3183" customWidth="1"/>
    <col min="3086" max="3086" width="31" style="3183" customWidth="1"/>
    <col min="3087" max="3328" width="9" style="3183"/>
    <col min="3329" max="3329" width="72.375" style="3183" customWidth="1"/>
    <col min="3330" max="3330" width="6.25" style="3183" customWidth="1"/>
    <col min="3331" max="3331" width="11.75" style="3183" customWidth="1"/>
    <col min="3332" max="3333" width="13.875" style="3183" customWidth="1"/>
    <col min="3334" max="3334" width="8.375" style="3183" customWidth="1"/>
    <col min="3335" max="3335" width="7.875" style="3183" customWidth="1"/>
    <col min="3336" max="3336" width="9" style="3183" customWidth="1"/>
    <col min="3337" max="3338" width="10.625" style="3183" customWidth="1"/>
    <col min="3339" max="3340" width="14.375" style="3183" customWidth="1"/>
    <col min="3341" max="3341" width="6.25" style="3183" customWidth="1"/>
    <col min="3342" max="3342" width="31" style="3183" customWidth="1"/>
    <col min="3343" max="3584" width="9" style="3183"/>
    <col min="3585" max="3585" width="72.375" style="3183" customWidth="1"/>
    <col min="3586" max="3586" width="6.25" style="3183" customWidth="1"/>
    <col min="3587" max="3587" width="11.75" style="3183" customWidth="1"/>
    <col min="3588" max="3589" width="13.875" style="3183" customWidth="1"/>
    <col min="3590" max="3590" width="8.375" style="3183" customWidth="1"/>
    <col min="3591" max="3591" width="7.875" style="3183" customWidth="1"/>
    <col min="3592" max="3592" width="9" style="3183" customWidth="1"/>
    <col min="3593" max="3594" width="10.625" style="3183" customWidth="1"/>
    <col min="3595" max="3596" width="14.375" style="3183" customWidth="1"/>
    <col min="3597" max="3597" width="6.25" style="3183" customWidth="1"/>
    <col min="3598" max="3598" width="31" style="3183" customWidth="1"/>
    <col min="3599" max="3840" width="9" style="3183"/>
    <col min="3841" max="3841" width="72.375" style="3183" customWidth="1"/>
    <col min="3842" max="3842" width="6.25" style="3183" customWidth="1"/>
    <col min="3843" max="3843" width="11.75" style="3183" customWidth="1"/>
    <col min="3844" max="3845" width="13.875" style="3183" customWidth="1"/>
    <col min="3846" max="3846" width="8.375" style="3183" customWidth="1"/>
    <col min="3847" max="3847" width="7.875" style="3183" customWidth="1"/>
    <col min="3848" max="3848" width="9" style="3183" customWidth="1"/>
    <col min="3849" max="3850" width="10.625" style="3183" customWidth="1"/>
    <col min="3851" max="3852" width="14.375" style="3183" customWidth="1"/>
    <col min="3853" max="3853" width="6.25" style="3183" customWidth="1"/>
    <col min="3854" max="3854" width="31" style="3183" customWidth="1"/>
    <col min="3855" max="4096" width="9" style="3183"/>
    <col min="4097" max="4097" width="72.375" style="3183" customWidth="1"/>
    <col min="4098" max="4098" width="6.25" style="3183" customWidth="1"/>
    <col min="4099" max="4099" width="11.75" style="3183" customWidth="1"/>
    <col min="4100" max="4101" width="13.875" style="3183" customWidth="1"/>
    <col min="4102" max="4102" width="8.375" style="3183" customWidth="1"/>
    <col min="4103" max="4103" width="7.875" style="3183" customWidth="1"/>
    <col min="4104" max="4104" width="9" style="3183" customWidth="1"/>
    <col min="4105" max="4106" width="10.625" style="3183" customWidth="1"/>
    <col min="4107" max="4108" width="14.375" style="3183" customWidth="1"/>
    <col min="4109" max="4109" width="6.25" style="3183" customWidth="1"/>
    <col min="4110" max="4110" width="31" style="3183" customWidth="1"/>
    <col min="4111" max="4352" width="9" style="3183"/>
    <col min="4353" max="4353" width="72.375" style="3183" customWidth="1"/>
    <col min="4354" max="4354" width="6.25" style="3183" customWidth="1"/>
    <col min="4355" max="4355" width="11.75" style="3183" customWidth="1"/>
    <col min="4356" max="4357" width="13.875" style="3183" customWidth="1"/>
    <col min="4358" max="4358" width="8.375" style="3183" customWidth="1"/>
    <col min="4359" max="4359" width="7.875" style="3183" customWidth="1"/>
    <col min="4360" max="4360" width="9" style="3183" customWidth="1"/>
    <col min="4361" max="4362" width="10.625" style="3183" customWidth="1"/>
    <col min="4363" max="4364" width="14.375" style="3183" customWidth="1"/>
    <col min="4365" max="4365" width="6.25" style="3183" customWidth="1"/>
    <col min="4366" max="4366" width="31" style="3183" customWidth="1"/>
    <col min="4367" max="4608" width="9" style="3183"/>
    <col min="4609" max="4609" width="72.375" style="3183" customWidth="1"/>
    <col min="4610" max="4610" width="6.25" style="3183" customWidth="1"/>
    <col min="4611" max="4611" width="11.75" style="3183" customWidth="1"/>
    <col min="4612" max="4613" width="13.875" style="3183" customWidth="1"/>
    <col min="4614" max="4614" width="8.375" style="3183" customWidth="1"/>
    <col min="4615" max="4615" width="7.875" style="3183" customWidth="1"/>
    <col min="4616" max="4616" width="9" style="3183" customWidth="1"/>
    <col min="4617" max="4618" width="10.625" style="3183" customWidth="1"/>
    <col min="4619" max="4620" width="14.375" style="3183" customWidth="1"/>
    <col min="4621" max="4621" width="6.25" style="3183" customWidth="1"/>
    <col min="4622" max="4622" width="31" style="3183" customWidth="1"/>
    <col min="4623" max="4864" width="9" style="3183"/>
    <col min="4865" max="4865" width="72.375" style="3183" customWidth="1"/>
    <col min="4866" max="4866" width="6.25" style="3183" customWidth="1"/>
    <col min="4867" max="4867" width="11.75" style="3183" customWidth="1"/>
    <col min="4868" max="4869" width="13.875" style="3183" customWidth="1"/>
    <col min="4870" max="4870" width="8.375" style="3183" customWidth="1"/>
    <col min="4871" max="4871" width="7.875" style="3183" customWidth="1"/>
    <col min="4872" max="4872" width="9" style="3183" customWidth="1"/>
    <col min="4873" max="4874" width="10.625" style="3183" customWidth="1"/>
    <col min="4875" max="4876" width="14.375" style="3183" customWidth="1"/>
    <col min="4877" max="4877" width="6.25" style="3183" customWidth="1"/>
    <col min="4878" max="4878" width="31" style="3183" customWidth="1"/>
    <col min="4879" max="5120" width="9" style="3183"/>
    <col min="5121" max="5121" width="72.375" style="3183" customWidth="1"/>
    <col min="5122" max="5122" width="6.25" style="3183" customWidth="1"/>
    <col min="5123" max="5123" width="11.75" style="3183" customWidth="1"/>
    <col min="5124" max="5125" width="13.875" style="3183" customWidth="1"/>
    <col min="5126" max="5126" width="8.375" style="3183" customWidth="1"/>
    <col min="5127" max="5127" width="7.875" style="3183" customWidth="1"/>
    <col min="5128" max="5128" width="9" style="3183" customWidth="1"/>
    <col min="5129" max="5130" width="10.625" style="3183" customWidth="1"/>
    <col min="5131" max="5132" width="14.375" style="3183" customWidth="1"/>
    <col min="5133" max="5133" width="6.25" style="3183" customWidth="1"/>
    <col min="5134" max="5134" width="31" style="3183" customWidth="1"/>
    <col min="5135" max="5376" width="9" style="3183"/>
    <col min="5377" max="5377" width="72.375" style="3183" customWidth="1"/>
    <col min="5378" max="5378" width="6.25" style="3183" customWidth="1"/>
    <col min="5379" max="5379" width="11.75" style="3183" customWidth="1"/>
    <col min="5380" max="5381" width="13.875" style="3183" customWidth="1"/>
    <col min="5382" max="5382" width="8.375" style="3183" customWidth="1"/>
    <col min="5383" max="5383" width="7.875" style="3183" customWidth="1"/>
    <col min="5384" max="5384" width="9" style="3183" customWidth="1"/>
    <col min="5385" max="5386" width="10.625" style="3183" customWidth="1"/>
    <col min="5387" max="5388" width="14.375" style="3183" customWidth="1"/>
    <col min="5389" max="5389" width="6.25" style="3183" customWidth="1"/>
    <col min="5390" max="5390" width="31" style="3183" customWidth="1"/>
    <col min="5391" max="5632" width="9" style="3183"/>
    <col min="5633" max="5633" width="72.375" style="3183" customWidth="1"/>
    <col min="5634" max="5634" width="6.25" style="3183" customWidth="1"/>
    <col min="5635" max="5635" width="11.75" style="3183" customWidth="1"/>
    <col min="5636" max="5637" width="13.875" style="3183" customWidth="1"/>
    <col min="5638" max="5638" width="8.375" style="3183" customWidth="1"/>
    <col min="5639" max="5639" width="7.875" style="3183" customWidth="1"/>
    <col min="5640" max="5640" width="9" style="3183" customWidth="1"/>
    <col min="5641" max="5642" width="10.625" style="3183" customWidth="1"/>
    <col min="5643" max="5644" width="14.375" style="3183" customWidth="1"/>
    <col min="5645" max="5645" width="6.25" style="3183" customWidth="1"/>
    <col min="5646" max="5646" width="31" style="3183" customWidth="1"/>
    <col min="5647" max="5888" width="9" style="3183"/>
    <col min="5889" max="5889" width="72.375" style="3183" customWidth="1"/>
    <col min="5890" max="5890" width="6.25" style="3183" customWidth="1"/>
    <col min="5891" max="5891" width="11.75" style="3183" customWidth="1"/>
    <col min="5892" max="5893" width="13.875" style="3183" customWidth="1"/>
    <col min="5894" max="5894" width="8.375" style="3183" customWidth="1"/>
    <col min="5895" max="5895" width="7.875" style="3183" customWidth="1"/>
    <col min="5896" max="5896" width="9" style="3183" customWidth="1"/>
    <col min="5897" max="5898" width="10.625" style="3183" customWidth="1"/>
    <col min="5899" max="5900" width="14.375" style="3183" customWidth="1"/>
    <col min="5901" max="5901" width="6.25" style="3183" customWidth="1"/>
    <col min="5902" max="5902" width="31" style="3183" customWidth="1"/>
    <col min="5903" max="6144" width="9" style="3183"/>
    <col min="6145" max="6145" width="72.375" style="3183" customWidth="1"/>
    <col min="6146" max="6146" width="6.25" style="3183" customWidth="1"/>
    <col min="6147" max="6147" width="11.75" style="3183" customWidth="1"/>
    <col min="6148" max="6149" width="13.875" style="3183" customWidth="1"/>
    <col min="6150" max="6150" width="8.375" style="3183" customWidth="1"/>
    <col min="6151" max="6151" width="7.875" style="3183" customWidth="1"/>
    <col min="6152" max="6152" width="9" style="3183" customWidth="1"/>
    <col min="6153" max="6154" width="10.625" style="3183" customWidth="1"/>
    <col min="6155" max="6156" width="14.375" style="3183" customWidth="1"/>
    <col min="6157" max="6157" width="6.25" style="3183" customWidth="1"/>
    <col min="6158" max="6158" width="31" style="3183" customWidth="1"/>
    <col min="6159" max="6400" width="9" style="3183"/>
    <col min="6401" max="6401" width="72.375" style="3183" customWidth="1"/>
    <col min="6402" max="6402" width="6.25" style="3183" customWidth="1"/>
    <col min="6403" max="6403" width="11.75" style="3183" customWidth="1"/>
    <col min="6404" max="6405" width="13.875" style="3183" customWidth="1"/>
    <col min="6406" max="6406" width="8.375" style="3183" customWidth="1"/>
    <col min="6407" max="6407" width="7.875" style="3183" customWidth="1"/>
    <col min="6408" max="6408" width="9" style="3183" customWidth="1"/>
    <col min="6409" max="6410" width="10.625" style="3183" customWidth="1"/>
    <col min="6411" max="6412" width="14.375" style="3183" customWidth="1"/>
    <col min="6413" max="6413" width="6.25" style="3183" customWidth="1"/>
    <col min="6414" max="6414" width="31" style="3183" customWidth="1"/>
    <col min="6415" max="6656" width="9" style="3183"/>
    <col min="6657" max="6657" width="72.375" style="3183" customWidth="1"/>
    <col min="6658" max="6658" width="6.25" style="3183" customWidth="1"/>
    <col min="6659" max="6659" width="11.75" style="3183" customWidth="1"/>
    <col min="6660" max="6661" width="13.875" style="3183" customWidth="1"/>
    <col min="6662" max="6662" width="8.375" style="3183" customWidth="1"/>
    <col min="6663" max="6663" width="7.875" style="3183" customWidth="1"/>
    <col min="6664" max="6664" width="9" style="3183" customWidth="1"/>
    <col min="6665" max="6666" width="10.625" style="3183" customWidth="1"/>
    <col min="6667" max="6668" width="14.375" style="3183" customWidth="1"/>
    <col min="6669" max="6669" width="6.25" style="3183" customWidth="1"/>
    <col min="6670" max="6670" width="31" style="3183" customWidth="1"/>
    <col min="6671" max="6912" width="9" style="3183"/>
    <col min="6913" max="6913" width="72.375" style="3183" customWidth="1"/>
    <col min="6914" max="6914" width="6.25" style="3183" customWidth="1"/>
    <col min="6915" max="6915" width="11.75" style="3183" customWidth="1"/>
    <col min="6916" max="6917" width="13.875" style="3183" customWidth="1"/>
    <col min="6918" max="6918" width="8.375" style="3183" customWidth="1"/>
    <col min="6919" max="6919" width="7.875" style="3183" customWidth="1"/>
    <col min="6920" max="6920" width="9" style="3183" customWidth="1"/>
    <col min="6921" max="6922" width="10.625" style="3183" customWidth="1"/>
    <col min="6923" max="6924" width="14.375" style="3183" customWidth="1"/>
    <col min="6925" max="6925" width="6.25" style="3183" customWidth="1"/>
    <col min="6926" max="6926" width="31" style="3183" customWidth="1"/>
    <col min="6927" max="7168" width="9" style="3183"/>
    <col min="7169" max="7169" width="72.375" style="3183" customWidth="1"/>
    <col min="7170" max="7170" width="6.25" style="3183" customWidth="1"/>
    <col min="7171" max="7171" width="11.75" style="3183" customWidth="1"/>
    <col min="7172" max="7173" width="13.875" style="3183" customWidth="1"/>
    <col min="7174" max="7174" width="8.375" style="3183" customWidth="1"/>
    <col min="7175" max="7175" width="7.875" style="3183" customWidth="1"/>
    <col min="7176" max="7176" width="9" style="3183" customWidth="1"/>
    <col min="7177" max="7178" width="10.625" style="3183" customWidth="1"/>
    <col min="7179" max="7180" width="14.375" style="3183" customWidth="1"/>
    <col min="7181" max="7181" width="6.25" style="3183" customWidth="1"/>
    <col min="7182" max="7182" width="31" style="3183" customWidth="1"/>
    <col min="7183" max="7424" width="9" style="3183"/>
    <col min="7425" max="7425" width="72.375" style="3183" customWidth="1"/>
    <col min="7426" max="7426" width="6.25" style="3183" customWidth="1"/>
    <col min="7427" max="7427" width="11.75" style="3183" customWidth="1"/>
    <col min="7428" max="7429" width="13.875" style="3183" customWidth="1"/>
    <col min="7430" max="7430" width="8.375" style="3183" customWidth="1"/>
    <col min="7431" max="7431" width="7.875" style="3183" customWidth="1"/>
    <col min="7432" max="7432" width="9" style="3183" customWidth="1"/>
    <col min="7433" max="7434" width="10.625" style="3183" customWidth="1"/>
    <col min="7435" max="7436" width="14.375" style="3183" customWidth="1"/>
    <col min="7437" max="7437" width="6.25" style="3183" customWidth="1"/>
    <col min="7438" max="7438" width="31" style="3183" customWidth="1"/>
    <col min="7439" max="7680" width="9" style="3183"/>
    <col min="7681" max="7681" width="72.375" style="3183" customWidth="1"/>
    <col min="7682" max="7682" width="6.25" style="3183" customWidth="1"/>
    <col min="7683" max="7683" width="11.75" style="3183" customWidth="1"/>
    <col min="7684" max="7685" width="13.875" style="3183" customWidth="1"/>
    <col min="7686" max="7686" width="8.375" style="3183" customWidth="1"/>
    <col min="7687" max="7687" width="7.875" style="3183" customWidth="1"/>
    <col min="7688" max="7688" width="9" style="3183" customWidth="1"/>
    <col min="7689" max="7690" width="10.625" style="3183" customWidth="1"/>
    <col min="7691" max="7692" width="14.375" style="3183" customWidth="1"/>
    <col min="7693" max="7693" width="6.25" style="3183" customWidth="1"/>
    <col min="7694" max="7694" width="31" style="3183" customWidth="1"/>
    <col min="7695" max="7936" width="9" style="3183"/>
    <col min="7937" max="7937" width="72.375" style="3183" customWidth="1"/>
    <col min="7938" max="7938" width="6.25" style="3183" customWidth="1"/>
    <col min="7939" max="7939" width="11.75" style="3183" customWidth="1"/>
    <col min="7940" max="7941" width="13.875" style="3183" customWidth="1"/>
    <col min="7942" max="7942" width="8.375" style="3183" customWidth="1"/>
    <col min="7943" max="7943" width="7.875" style="3183" customWidth="1"/>
    <col min="7944" max="7944" width="9" style="3183" customWidth="1"/>
    <col min="7945" max="7946" width="10.625" style="3183" customWidth="1"/>
    <col min="7947" max="7948" width="14.375" style="3183" customWidth="1"/>
    <col min="7949" max="7949" width="6.25" style="3183" customWidth="1"/>
    <col min="7950" max="7950" width="31" style="3183" customWidth="1"/>
    <col min="7951" max="8192" width="9" style="3183"/>
    <col min="8193" max="8193" width="72.375" style="3183" customWidth="1"/>
    <col min="8194" max="8194" width="6.25" style="3183" customWidth="1"/>
    <col min="8195" max="8195" width="11.75" style="3183" customWidth="1"/>
    <col min="8196" max="8197" width="13.875" style="3183" customWidth="1"/>
    <col min="8198" max="8198" width="8.375" style="3183" customWidth="1"/>
    <col min="8199" max="8199" width="7.875" style="3183" customWidth="1"/>
    <col min="8200" max="8200" width="9" style="3183" customWidth="1"/>
    <col min="8201" max="8202" width="10.625" style="3183" customWidth="1"/>
    <col min="8203" max="8204" width="14.375" style="3183" customWidth="1"/>
    <col min="8205" max="8205" width="6.25" style="3183" customWidth="1"/>
    <col min="8206" max="8206" width="31" style="3183" customWidth="1"/>
    <col min="8207" max="8448" width="9" style="3183"/>
    <col min="8449" max="8449" width="72.375" style="3183" customWidth="1"/>
    <col min="8450" max="8450" width="6.25" style="3183" customWidth="1"/>
    <col min="8451" max="8451" width="11.75" style="3183" customWidth="1"/>
    <col min="8452" max="8453" width="13.875" style="3183" customWidth="1"/>
    <col min="8454" max="8454" width="8.375" style="3183" customWidth="1"/>
    <col min="8455" max="8455" width="7.875" style="3183" customWidth="1"/>
    <col min="8456" max="8456" width="9" style="3183" customWidth="1"/>
    <col min="8457" max="8458" width="10.625" style="3183" customWidth="1"/>
    <col min="8459" max="8460" width="14.375" style="3183" customWidth="1"/>
    <col min="8461" max="8461" width="6.25" style="3183" customWidth="1"/>
    <col min="8462" max="8462" width="31" style="3183" customWidth="1"/>
    <col min="8463" max="8704" width="9" style="3183"/>
    <col min="8705" max="8705" width="72.375" style="3183" customWidth="1"/>
    <col min="8706" max="8706" width="6.25" style="3183" customWidth="1"/>
    <col min="8707" max="8707" width="11.75" style="3183" customWidth="1"/>
    <col min="8708" max="8709" width="13.875" style="3183" customWidth="1"/>
    <col min="8710" max="8710" width="8.375" style="3183" customWidth="1"/>
    <col min="8711" max="8711" width="7.875" style="3183" customWidth="1"/>
    <col min="8712" max="8712" width="9" style="3183" customWidth="1"/>
    <col min="8713" max="8714" width="10.625" style="3183" customWidth="1"/>
    <col min="8715" max="8716" width="14.375" style="3183" customWidth="1"/>
    <col min="8717" max="8717" width="6.25" style="3183" customWidth="1"/>
    <col min="8718" max="8718" width="31" style="3183" customWidth="1"/>
    <col min="8719" max="8960" width="9" style="3183"/>
    <col min="8961" max="8961" width="72.375" style="3183" customWidth="1"/>
    <col min="8962" max="8962" width="6.25" style="3183" customWidth="1"/>
    <col min="8963" max="8963" width="11.75" style="3183" customWidth="1"/>
    <col min="8964" max="8965" width="13.875" style="3183" customWidth="1"/>
    <col min="8966" max="8966" width="8.375" style="3183" customWidth="1"/>
    <col min="8967" max="8967" width="7.875" style="3183" customWidth="1"/>
    <col min="8968" max="8968" width="9" style="3183" customWidth="1"/>
    <col min="8969" max="8970" width="10.625" style="3183" customWidth="1"/>
    <col min="8971" max="8972" width="14.375" style="3183" customWidth="1"/>
    <col min="8973" max="8973" width="6.25" style="3183" customWidth="1"/>
    <col min="8974" max="8974" width="31" style="3183" customWidth="1"/>
    <col min="8975" max="9216" width="9" style="3183"/>
    <col min="9217" max="9217" width="72.375" style="3183" customWidth="1"/>
    <col min="9218" max="9218" width="6.25" style="3183" customWidth="1"/>
    <col min="9219" max="9219" width="11.75" style="3183" customWidth="1"/>
    <col min="9220" max="9221" width="13.875" style="3183" customWidth="1"/>
    <col min="9222" max="9222" width="8.375" style="3183" customWidth="1"/>
    <col min="9223" max="9223" width="7.875" style="3183" customWidth="1"/>
    <col min="9224" max="9224" width="9" style="3183" customWidth="1"/>
    <col min="9225" max="9226" width="10.625" style="3183" customWidth="1"/>
    <col min="9227" max="9228" width="14.375" style="3183" customWidth="1"/>
    <col min="9229" max="9229" width="6.25" style="3183" customWidth="1"/>
    <col min="9230" max="9230" width="31" style="3183" customWidth="1"/>
    <col min="9231" max="9472" width="9" style="3183"/>
    <col min="9473" max="9473" width="72.375" style="3183" customWidth="1"/>
    <col min="9474" max="9474" width="6.25" style="3183" customWidth="1"/>
    <col min="9475" max="9475" width="11.75" style="3183" customWidth="1"/>
    <col min="9476" max="9477" width="13.875" style="3183" customWidth="1"/>
    <col min="9478" max="9478" width="8.375" style="3183" customWidth="1"/>
    <col min="9479" max="9479" width="7.875" style="3183" customWidth="1"/>
    <col min="9480" max="9480" width="9" style="3183" customWidth="1"/>
    <col min="9481" max="9482" width="10.625" style="3183" customWidth="1"/>
    <col min="9483" max="9484" width="14.375" style="3183" customWidth="1"/>
    <col min="9485" max="9485" width="6.25" style="3183" customWidth="1"/>
    <col min="9486" max="9486" width="31" style="3183" customWidth="1"/>
    <col min="9487" max="9728" width="9" style="3183"/>
    <col min="9729" max="9729" width="72.375" style="3183" customWidth="1"/>
    <col min="9730" max="9730" width="6.25" style="3183" customWidth="1"/>
    <col min="9731" max="9731" width="11.75" style="3183" customWidth="1"/>
    <col min="9732" max="9733" width="13.875" style="3183" customWidth="1"/>
    <col min="9734" max="9734" width="8.375" style="3183" customWidth="1"/>
    <col min="9735" max="9735" width="7.875" style="3183" customWidth="1"/>
    <col min="9736" max="9736" width="9" style="3183" customWidth="1"/>
    <col min="9737" max="9738" width="10.625" style="3183" customWidth="1"/>
    <col min="9739" max="9740" width="14.375" style="3183" customWidth="1"/>
    <col min="9741" max="9741" width="6.25" style="3183" customWidth="1"/>
    <col min="9742" max="9742" width="31" style="3183" customWidth="1"/>
    <col min="9743" max="9984" width="9" style="3183"/>
    <col min="9985" max="9985" width="72.375" style="3183" customWidth="1"/>
    <col min="9986" max="9986" width="6.25" style="3183" customWidth="1"/>
    <col min="9987" max="9987" width="11.75" style="3183" customWidth="1"/>
    <col min="9988" max="9989" width="13.875" style="3183" customWidth="1"/>
    <col min="9990" max="9990" width="8.375" style="3183" customWidth="1"/>
    <col min="9991" max="9991" width="7.875" style="3183" customWidth="1"/>
    <col min="9992" max="9992" width="9" style="3183" customWidth="1"/>
    <col min="9993" max="9994" width="10.625" style="3183" customWidth="1"/>
    <col min="9995" max="9996" width="14.375" style="3183" customWidth="1"/>
    <col min="9997" max="9997" width="6.25" style="3183" customWidth="1"/>
    <col min="9998" max="9998" width="31" style="3183" customWidth="1"/>
    <col min="9999" max="10240" width="9" style="3183"/>
    <col min="10241" max="10241" width="72.375" style="3183" customWidth="1"/>
    <col min="10242" max="10242" width="6.25" style="3183" customWidth="1"/>
    <col min="10243" max="10243" width="11.75" style="3183" customWidth="1"/>
    <col min="10244" max="10245" width="13.875" style="3183" customWidth="1"/>
    <col min="10246" max="10246" width="8.375" style="3183" customWidth="1"/>
    <col min="10247" max="10247" width="7.875" style="3183" customWidth="1"/>
    <col min="10248" max="10248" width="9" style="3183" customWidth="1"/>
    <col min="10249" max="10250" width="10.625" style="3183" customWidth="1"/>
    <col min="10251" max="10252" width="14.375" style="3183" customWidth="1"/>
    <col min="10253" max="10253" width="6.25" style="3183" customWidth="1"/>
    <col min="10254" max="10254" width="31" style="3183" customWidth="1"/>
    <col min="10255" max="10496" width="9" style="3183"/>
    <col min="10497" max="10497" width="72.375" style="3183" customWidth="1"/>
    <col min="10498" max="10498" width="6.25" style="3183" customWidth="1"/>
    <col min="10499" max="10499" width="11.75" style="3183" customWidth="1"/>
    <col min="10500" max="10501" width="13.875" style="3183" customWidth="1"/>
    <col min="10502" max="10502" width="8.375" style="3183" customWidth="1"/>
    <col min="10503" max="10503" width="7.875" style="3183" customWidth="1"/>
    <col min="10504" max="10504" width="9" style="3183" customWidth="1"/>
    <col min="10505" max="10506" width="10.625" style="3183" customWidth="1"/>
    <col min="10507" max="10508" width="14.375" style="3183" customWidth="1"/>
    <col min="10509" max="10509" width="6.25" style="3183" customWidth="1"/>
    <col min="10510" max="10510" width="31" style="3183" customWidth="1"/>
    <col min="10511" max="10752" width="9" style="3183"/>
    <col min="10753" max="10753" width="72.375" style="3183" customWidth="1"/>
    <col min="10754" max="10754" width="6.25" style="3183" customWidth="1"/>
    <col min="10755" max="10755" width="11.75" style="3183" customWidth="1"/>
    <col min="10756" max="10757" width="13.875" style="3183" customWidth="1"/>
    <col min="10758" max="10758" width="8.375" style="3183" customWidth="1"/>
    <col min="10759" max="10759" width="7.875" style="3183" customWidth="1"/>
    <col min="10760" max="10760" width="9" style="3183" customWidth="1"/>
    <col min="10761" max="10762" width="10.625" style="3183" customWidth="1"/>
    <col min="10763" max="10764" width="14.375" style="3183" customWidth="1"/>
    <col min="10765" max="10765" width="6.25" style="3183" customWidth="1"/>
    <col min="10766" max="10766" width="31" style="3183" customWidth="1"/>
    <col min="10767" max="11008" width="9" style="3183"/>
    <col min="11009" max="11009" width="72.375" style="3183" customWidth="1"/>
    <col min="11010" max="11010" width="6.25" style="3183" customWidth="1"/>
    <col min="11011" max="11011" width="11.75" style="3183" customWidth="1"/>
    <col min="11012" max="11013" width="13.875" style="3183" customWidth="1"/>
    <col min="11014" max="11014" width="8.375" style="3183" customWidth="1"/>
    <col min="11015" max="11015" width="7.875" style="3183" customWidth="1"/>
    <col min="11016" max="11016" width="9" style="3183" customWidth="1"/>
    <col min="11017" max="11018" width="10.625" style="3183" customWidth="1"/>
    <col min="11019" max="11020" width="14.375" style="3183" customWidth="1"/>
    <col min="11021" max="11021" width="6.25" style="3183" customWidth="1"/>
    <col min="11022" max="11022" width="31" style="3183" customWidth="1"/>
    <col min="11023" max="11264" width="9" style="3183"/>
    <col min="11265" max="11265" width="72.375" style="3183" customWidth="1"/>
    <col min="11266" max="11266" width="6.25" style="3183" customWidth="1"/>
    <col min="11267" max="11267" width="11.75" style="3183" customWidth="1"/>
    <col min="11268" max="11269" width="13.875" style="3183" customWidth="1"/>
    <col min="11270" max="11270" width="8.375" style="3183" customWidth="1"/>
    <col min="11271" max="11271" width="7.875" style="3183" customWidth="1"/>
    <col min="11272" max="11272" width="9" style="3183" customWidth="1"/>
    <col min="11273" max="11274" width="10.625" style="3183" customWidth="1"/>
    <col min="11275" max="11276" width="14.375" style="3183" customWidth="1"/>
    <col min="11277" max="11277" width="6.25" style="3183" customWidth="1"/>
    <col min="11278" max="11278" width="31" style="3183" customWidth="1"/>
    <col min="11279" max="11520" width="9" style="3183"/>
    <col min="11521" max="11521" width="72.375" style="3183" customWidth="1"/>
    <col min="11522" max="11522" width="6.25" style="3183" customWidth="1"/>
    <col min="11523" max="11523" width="11.75" style="3183" customWidth="1"/>
    <col min="11524" max="11525" width="13.875" style="3183" customWidth="1"/>
    <col min="11526" max="11526" width="8.375" style="3183" customWidth="1"/>
    <col min="11527" max="11527" width="7.875" style="3183" customWidth="1"/>
    <col min="11528" max="11528" width="9" style="3183" customWidth="1"/>
    <col min="11529" max="11530" width="10.625" style="3183" customWidth="1"/>
    <col min="11531" max="11532" width="14.375" style="3183" customWidth="1"/>
    <col min="11533" max="11533" width="6.25" style="3183" customWidth="1"/>
    <col min="11534" max="11534" width="31" style="3183" customWidth="1"/>
    <col min="11535" max="11776" width="9" style="3183"/>
    <col min="11777" max="11777" width="72.375" style="3183" customWidth="1"/>
    <col min="11778" max="11778" width="6.25" style="3183" customWidth="1"/>
    <col min="11779" max="11779" width="11.75" style="3183" customWidth="1"/>
    <col min="11780" max="11781" width="13.875" style="3183" customWidth="1"/>
    <col min="11782" max="11782" width="8.375" style="3183" customWidth="1"/>
    <col min="11783" max="11783" width="7.875" style="3183" customWidth="1"/>
    <col min="11784" max="11784" width="9" style="3183" customWidth="1"/>
    <col min="11785" max="11786" width="10.625" style="3183" customWidth="1"/>
    <col min="11787" max="11788" width="14.375" style="3183" customWidth="1"/>
    <col min="11789" max="11789" width="6.25" style="3183" customWidth="1"/>
    <col min="11790" max="11790" width="31" style="3183" customWidth="1"/>
    <col min="11791" max="12032" width="9" style="3183"/>
    <col min="12033" max="12033" width="72.375" style="3183" customWidth="1"/>
    <col min="12034" max="12034" width="6.25" style="3183" customWidth="1"/>
    <col min="12035" max="12035" width="11.75" style="3183" customWidth="1"/>
    <col min="12036" max="12037" width="13.875" style="3183" customWidth="1"/>
    <col min="12038" max="12038" width="8.375" style="3183" customWidth="1"/>
    <col min="12039" max="12039" width="7.875" style="3183" customWidth="1"/>
    <col min="12040" max="12040" width="9" style="3183" customWidth="1"/>
    <col min="12041" max="12042" width="10.625" style="3183" customWidth="1"/>
    <col min="12043" max="12044" width="14.375" style="3183" customWidth="1"/>
    <col min="12045" max="12045" width="6.25" style="3183" customWidth="1"/>
    <col min="12046" max="12046" width="31" style="3183" customWidth="1"/>
    <col min="12047" max="12288" width="9" style="3183"/>
    <col min="12289" max="12289" width="72.375" style="3183" customWidth="1"/>
    <col min="12290" max="12290" width="6.25" style="3183" customWidth="1"/>
    <col min="12291" max="12291" width="11.75" style="3183" customWidth="1"/>
    <col min="12292" max="12293" width="13.875" style="3183" customWidth="1"/>
    <col min="12294" max="12294" width="8.375" style="3183" customWidth="1"/>
    <col min="12295" max="12295" width="7.875" style="3183" customWidth="1"/>
    <col min="12296" max="12296" width="9" style="3183" customWidth="1"/>
    <col min="12297" max="12298" width="10.625" style="3183" customWidth="1"/>
    <col min="12299" max="12300" width="14.375" style="3183" customWidth="1"/>
    <col min="12301" max="12301" width="6.25" style="3183" customWidth="1"/>
    <col min="12302" max="12302" width="31" style="3183" customWidth="1"/>
    <col min="12303" max="12544" width="9" style="3183"/>
    <col min="12545" max="12545" width="72.375" style="3183" customWidth="1"/>
    <col min="12546" max="12546" width="6.25" style="3183" customWidth="1"/>
    <col min="12547" max="12547" width="11.75" style="3183" customWidth="1"/>
    <col min="12548" max="12549" width="13.875" style="3183" customWidth="1"/>
    <col min="12550" max="12550" width="8.375" style="3183" customWidth="1"/>
    <col min="12551" max="12551" width="7.875" style="3183" customWidth="1"/>
    <col min="12552" max="12552" width="9" style="3183" customWidth="1"/>
    <col min="12553" max="12554" width="10.625" style="3183" customWidth="1"/>
    <col min="12555" max="12556" width="14.375" style="3183" customWidth="1"/>
    <col min="12557" max="12557" width="6.25" style="3183" customWidth="1"/>
    <col min="12558" max="12558" width="31" style="3183" customWidth="1"/>
    <col min="12559" max="12800" width="9" style="3183"/>
    <col min="12801" max="12801" width="72.375" style="3183" customWidth="1"/>
    <col min="12802" max="12802" width="6.25" style="3183" customWidth="1"/>
    <col min="12803" max="12803" width="11.75" style="3183" customWidth="1"/>
    <col min="12804" max="12805" width="13.875" style="3183" customWidth="1"/>
    <col min="12806" max="12806" width="8.375" style="3183" customWidth="1"/>
    <col min="12807" max="12807" width="7.875" style="3183" customWidth="1"/>
    <col min="12808" max="12808" width="9" style="3183" customWidth="1"/>
    <col min="12809" max="12810" width="10.625" style="3183" customWidth="1"/>
    <col min="12811" max="12812" width="14.375" style="3183" customWidth="1"/>
    <col min="12813" max="12813" width="6.25" style="3183" customWidth="1"/>
    <col min="12814" max="12814" width="31" style="3183" customWidth="1"/>
    <col min="12815" max="13056" width="9" style="3183"/>
    <col min="13057" max="13057" width="72.375" style="3183" customWidth="1"/>
    <col min="13058" max="13058" width="6.25" style="3183" customWidth="1"/>
    <col min="13059" max="13059" width="11.75" style="3183" customWidth="1"/>
    <col min="13060" max="13061" width="13.875" style="3183" customWidth="1"/>
    <col min="13062" max="13062" width="8.375" style="3183" customWidth="1"/>
    <col min="13063" max="13063" width="7.875" style="3183" customWidth="1"/>
    <col min="13064" max="13064" width="9" style="3183" customWidth="1"/>
    <col min="13065" max="13066" width="10.625" style="3183" customWidth="1"/>
    <col min="13067" max="13068" width="14.375" style="3183" customWidth="1"/>
    <col min="13069" max="13069" width="6.25" style="3183" customWidth="1"/>
    <col min="13070" max="13070" width="31" style="3183" customWidth="1"/>
    <col min="13071" max="13312" width="9" style="3183"/>
    <col min="13313" max="13313" width="72.375" style="3183" customWidth="1"/>
    <col min="13314" max="13314" width="6.25" style="3183" customWidth="1"/>
    <col min="13315" max="13315" width="11.75" style="3183" customWidth="1"/>
    <col min="13316" max="13317" width="13.875" style="3183" customWidth="1"/>
    <col min="13318" max="13318" width="8.375" style="3183" customWidth="1"/>
    <col min="13319" max="13319" width="7.875" style="3183" customWidth="1"/>
    <col min="13320" max="13320" width="9" style="3183" customWidth="1"/>
    <col min="13321" max="13322" width="10.625" style="3183" customWidth="1"/>
    <col min="13323" max="13324" width="14.375" style="3183" customWidth="1"/>
    <col min="13325" max="13325" width="6.25" style="3183" customWidth="1"/>
    <col min="13326" max="13326" width="31" style="3183" customWidth="1"/>
    <col min="13327" max="13568" width="9" style="3183"/>
    <col min="13569" max="13569" width="72.375" style="3183" customWidth="1"/>
    <col min="13570" max="13570" width="6.25" style="3183" customWidth="1"/>
    <col min="13571" max="13571" width="11.75" style="3183" customWidth="1"/>
    <col min="13572" max="13573" width="13.875" style="3183" customWidth="1"/>
    <col min="13574" max="13574" width="8.375" style="3183" customWidth="1"/>
    <col min="13575" max="13575" width="7.875" style="3183" customWidth="1"/>
    <col min="13576" max="13576" width="9" style="3183" customWidth="1"/>
    <col min="13577" max="13578" width="10.625" style="3183" customWidth="1"/>
    <col min="13579" max="13580" width="14.375" style="3183" customWidth="1"/>
    <col min="13581" max="13581" width="6.25" style="3183" customWidth="1"/>
    <col min="13582" max="13582" width="31" style="3183" customWidth="1"/>
    <col min="13583" max="13824" width="9" style="3183"/>
    <col min="13825" max="13825" width="72.375" style="3183" customWidth="1"/>
    <col min="13826" max="13826" width="6.25" style="3183" customWidth="1"/>
    <col min="13827" max="13827" width="11.75" style="3183" customWidth="1"/>
    <col min="13828" max="13829" width="13.875" style="3183" customWidth="1"/>
    <col min="13830" max="13830" width="8.375" style="3183" customWidth="1"/>
    <col min="13831" max="13831" width="7.875" style="3183" customWidth="1"/>
    <col min="13832" max="13832" width="9" style="3183" customWidth="1"/>
    <col min="13833" max="13834" width="10.625" style="3183" customWidth="1"/>
    <col min="13835" max="13836" width="14.375" style="3183" customWidth="1"/>
    <col min="13837" max="13837" width="6.25" style="3183" customWidth="1"/>
    <col min="13838" max="13838" width="31" style="3183" customWidth="1"/>
    <col min="13839" max="14080" width="9" style="3183"/>
    <col min="14081" max="14081" width="72.375" style="3183" customWidth="1"/>
    <col min="14082" max="14082" width="6.25" style="3183" customWidth="1"/>
    <col min="14083" max="14083" width="11.75" style="3183" customWidth="1"/>
    <col min="14084" max="14085" width="13.875" style="3183" customWidth="1"/>
    <col min="14086" max="14086" width="8.375" style="3183" customWidth="1"/>
    <col min="14087" max="14087" width="7.875" style="3183" customWidth="1"/>
    <col min="14088" max="14088" width="9" style="3183" customWidth="1"/>
    <col min="14089" max="14090" width="10.625" style="3183" customWidth="1"/>
    <col min="14091" max="14092" width="14.375" style="3183" customWidth="1"/>
    <col min="14093" max="14093" width="6.25" style="3183" customWidth="1"/>
    <col min="14094" max="14094" width="31" style="3183" customWidth="1"/>
    <col min="14095" max="14336" width="9" style="3183"/>
    <col min="14337" max="14337" width="72.375" style="3183" customWidth="1"/>
    <col min="14338" max="14338" width="6.25" style="3183" customWidth="1"/>
    <col min="14339" max="14339" width="11.75" style="3183" customWidth="1"/>
    <col min="14340" max="14341" width="13.875" style="3183" customWidth="1"/>
    <col min="14342" max="14342" width="8.375" style="3183" customWidth="1"/>
    <col min="14343" max="14343" width="7.875" style="3183" customWidth="1"/>
    <col min="14344" max="14344" width="9" style="3183" customWidth="1"/>
    <col min="14345" max="14346" width="10.625" style="3183" customWidth="1"/>
    <col min="14347" max="14348" width="14.375" style="3183" customWidth="1"/>
    <col min="14349" max="14349" width="6.25" style="3183" customWidth="1"/>
    <col min="14350" max="14350" width="31" style="3183" customWidth="1"/>
    <col min="14351" max="14592" width="9" style="3183"/>
    <col min="14593" max="14593" width="72.375" style="3183" customWidth="1"/>
    <col min="14594" max="14594" width="6.25" style="3183" customWidth="1"/>
    <col min="14595" max="14595" width="11.75" style="3183" customWidth="1"/>
    <col min="14596" max="14597" width="13.875" style="3183" customWidth="1"/>
    <col min="14598" max="14598" width="8.375" style="3183" customWidth="1"/>
    <col min="14599" max="14599" width="7.875" style="3183" customWidth="1"/>
    <col min="14600" max="14600" width="9" style="3183" customWidth="1"/>
    <col min="14601" max="14602" width="10.625" style="3183" customWidth="1"/>
    <col min="14603" max="14604" width="14.375" style="3183" customWidth="1"/>
    <col min="14605" max="14605" width="6.25" style="3183" customWidth="1"/>
    <col min="14606" max="14606" width="31" style="3183" customWidth="1"/>
    <col min="14607" max="14848" width="9" style="3183"/>
    <col min="14849" max="14849" width="72.375" style="3183" customWidth="1"/>
    <col min="14850" max="14850" width="6.25" style="3183" customWidth="1"/>
    <col min="14851" max="14851" width="11.75" style="3183" customWidth="1"/>
    <col min="14852" max="14853" width="13.875" style="3183" customWidth="1"/>
    <col min="14854" max="14854" width="8.375" style="3183" customWidth="1"/>
    <col min="14855" max="14855" width="7.875" style="3183" customWidth="1"/>
    <col min="14856" max="14856" width="9" style="3183" customWidth="1"/>
    <col min="14857" max="14858" width="10.625" style="3183" customWidth="1"/>
    <col min="14859" max="14860" width="14.375" style="3183" customWidth="1"/>
    <col min="14861" max="14861" width="6.25" style="3183" customWidth="1"/>
    <col min="14862" max="14862" width="31" style="3183" customWidth="1"/>
    <col min="14863" max="15104" width="9" style="3183"/>
    <col min="15105" max="15105" width="72.375" style="3183" customWidth="1"/>
    <col min="15106" max="15106" width="6.25" style="3183" customWidth="1"/>
    <col min="15107" max="15107" width="11.75" style="3183" customWidth="1"/>
    <col min="15108" max="15109" width="13.875" style="3183" customWidth="1"/>
    <col min="15110" max="15110" width="8.375" style="3183" customWidth="1"/>
    <col min="15111" max="15111" width="7.875" style="3183" customWidth="1"/>
    <col min="15112" max="15112" width="9" style="3183" customWidth="1"/>
    <col min="15113" max="15114" width="10.625" style="3183" customWidth="1"/>
    <col min="15115" max="15116" width="14.375" style="3183" customWidth="1"/>
    <col min="15117" max="15117" width="6.25" style="3183" customWidth="1"/>
    <col min="15118" max="15118" width="31" style="3183" customWidth="1"/>
    <col min="15119" max="15360" width="9" style="3183"/>
    <col min="15361" max="15361" width="72.375" style="3183" customWidth="1"/>
    <col min="15362" max="15362" width="6.25" style="3183" customWidth="1"/>
    <col min="15363" max="15363" width="11.75" style="3183" customWidth="1"/>
    <col min="15364" max="15365" width="13.875" style="3183" customWidth="1"/>
    <col min="15366" max="15366" width="8.375" style="3183" customWidth="1"/>
    <col min="15367" max="15367" width="7.875" style="3183" customWidth="1"/>
    <col min="15368" max="15368" width="9" style="3183" customWidth="1"/>
    <col min="15369" max="15370" width="10.625" style="3183" customWidth="1"/>
    <col min="15371" max="15372" width="14.375" style="3183" customWidth="1"/>
    <col min="15373" max="15373" width="6.25" style="3183" customWidth="1"/>
    <col min="15374" max="15374" width="31" style="3183" customWidth="1"/>
    <col min="15375" max="15616" width="9" style="3183"/>
    <col min="15617" max="15617" width="72.375" style="3183" customWidth="1"/>
    <col min="15618" max="15618" width="6.25" style="3183" customWidth="1"/>
    <col min="15619" max="15619" width="11.75" style="3183" customWidth="1"/>
    <col min="15620" max="15621" width="13.875" style="3183" customWidth="1"/>
    <col min="15622" max="15622" width="8.375" style="3183" customWidth="1"/>
    <col min="15623" max="15623" width="7.875" style="3183" customWidth="1"/>
    <col min="15624" max="15624" width="9" style="3183" customWidth="1"/>
    <col min="15625" max="15626" width="10.625" style="3183" customWidth="1"/>
    <col min="15627" max="15628" width="14.375" style="3183" customWidth="1"/>
    <col min="15629" max="15629" width="6.25" style="3183" customWidth="1"/>
    <col min="15630" max="15630" width="31" style="3183" customWidth="1"/>
    <col min="15631" max="15872" width="9" style="3183"/>
    <col min="15873" max="15873" width="72.375" style="3183" customWidth="1"/>
    <col min="15874" max="15874" width="6.25" style="3183" customWidth="1"/>
    <col min="15875" max="15875" width="11.75" style="3183" customWidth="1"/>
    <col min="15876" max="15877" width="13.875" style="3183" customWidth="1"/>
    <col min="15878" max="15878" width="8.375" style="3183" customWidth="1"/>
    <col min="15879" max="15879" width="7.875" style="3183" customWidth="1"/>
    <col min="15880" max="15880" width="9" style="3183" customWidth="1"/>
    <col min="15881" max="15882" width="10.625" style="3183" customWidth="1"/>
    <col min="15883" max="15884" width="14.375" style="3183" customWidth="1"/>
    <col min="15885" max="15885" width="6.25" style="3183" customWidth="1"/>
    <col min="15886" max="15886" width="31" style="3183" customWidth="1"/>
    <col min="15887" max="16128" width="9" style="3183"/>
    <col min="16129" max="16129" width="72.375" style="3183" customWidth="1"/>
    <col min="16130" max="16130" width="6.25" style="3183" customWidth="1"/>
    <col min="16131" max="16131" width="11.75" style="3183" customWidth="1"/>
    <col min="16132" max="16133" width="13.875" style="3183" customWidth="1"/>
    <col min="16134" max="16134" width="8.375" style="3183" customWidth="1"/>
    <col min="16135" max="16135" width="7.875" style="3183" customWidth="1"/>
    <col min="16136" max="16136" width="9" style="3183" customWidth="1"/>
    <col min="16137" max="16138" width="10.625" style="3183" customWidth="1"/>
    <col min="16139" max="16140" width="14.375" style="3183" customWidth="1"/>
    <col min="16141" max="16141" width="6.25" style="3183" customWidth="1"/>
    <col min="16142" max="16142" width="31" style="3183" customWidth="1"/>
    <col min="16143" max="16384" width="9" style="3183"/>
  </cols>
  <sheetData>
    <row r="1" spans="1:14" ht="14.25">
      <c r="A1" s="3183" t="s">
        <v>2998</v>
      </c>
      <c r="B1" s="3183" t="s">
        <v>2999</v>
      </c>
      <c r="C1" s="3183" t="s">
        <v>3000</v>
      </c>
      <c r="D1" s="3183" t="s">
        <v>3001</v>
      </c>
      <c r="E1" s="3183" t="s">
        <v>3002</v>
      </c>
      <c r="F1" s="3183" t="s">
        <v>2034</v>
      </c>
      <c r="G1" s="3183" t="s">
        <v>3003</v>
      </c>
      <c r="H1" s="3183" t="s">
        <v>3004</v>
      </c>
      <c r="I1" s="3183" t="s">
        <v>3005</v>
      </c>
      <c r="J1" s="3183" t="s">
        <v>3006</v>
      </c>
      <c r="K1" s="3183" t="s">
        <v>3007</v>
      </c>
      <c r="L1" s="3191" t="s">
        <v>3085</v>
      </c>
      <c r="M1" s="3183" t="s">
        <v>3008</v>
      </c>
      <c r="N1" s="3183" t="s">
        <v>3009</v>
      </c>
    </row>
    <row r="2" spans="1:14" s="3192" customFormat="1">
      <c r="A2" s="3192" t="s">
        <v>3084</v>
      </c>
      <c r="B2" s="3192" t="s">
        <v>3010</v>
      </c>
      <c r="C2" s="3192" t="s">
        <v>3041</v>
      </c>
      <c r="D2" s="3192">
        <v>74233.100000000006</v>
      </c>
      <c r="E2" s="3192">
        <v>89079.72</v>
      </c>
      <c r="F2" s="3192" t="s">
        <v>3083</v>
      </c>
      <c r="G2" s="3192" t="s">
        <v>3011</v>
      </c>
      <c r="H2" s="3192" t="s">
        <v>3012</v>
      </c>
      <c r="I2" s="3192">
        <v>9500</v>
      </c>
      <c r="J2" s="3192">
        <v>9500</v>
      </c>
      <c r="K2" s="3192">
        <v>1066.46</v>
      </c>
      <c r="L2" s="3192">
        <f t="shared" ref="L2:L16" si="0">ROUND(J2*10000/D2,0)</f>
        <v>1280</v>
      </c>
      <c r="M2" s="3192">
        <v>0</v>
      </c>
      <c r="N2" s="3192" t="s">
        <v>3013</v>
      </c>
    </row>
    <row r="3" spans="1:14" s="3192" customFormat="1">
      <c r="A3" s="3192" t="s">
        <v>3082</v>
      </c>
      <c r="B3" s="3192" t="s">
        <v>3010</v>
      </c>
      <c r="C3" s="3192" t="s">
        <v>3041</v>
      </c>
      <c r="D3" s="3192">
        <v>14257.89</v>
      </c>
      <c r="E3" s="3192">
        <v>28515.78</v>
      </c>
      <c r="F3" s="3192" t="s">
        <v>3078</v>
      </c>
      <c r="G3" s="3192" t="s">
        <v>3011</v>
      </c>
      <c r="H3" s="3192" t="s">
        <v>3081</v>
      </c>
      <c r="I3" s="3192">
        <v>1900</v>
      </c>
      <c r="J3" s="3192">
        <v>1900</v>
      </c>
      <c r="K3" s="3192">
        <v>666.29</v>
      </c>
      <c r="L3" s="3192">
        <f t="shared" si="0"/>
        <v>1333</v>
      </c>
      <c r="M3" s="3192">
        <v>0</v>
      </c>
      <c r="N3" s="3192" t="s">
        <v>3080</v>
      </c>
    </row>
    <row r="4" spans="1:14" s="3192" customFormat="1">
      <c r="A4" s="3192" t="s">
        <v>3079</v>
      </c>
      <c r="B4" s="3192" t="s">
        <v>3010</v>
      </c>
      <c r="C4" s="3192" t="s">
        <v>3041</v>
      </c>
      <c r="D4" s="3192">
        <v>12659.73</v>
      </c>
      <c r="E4" s="3192">
        <v>25319.46</v>
      </c>
      <c r="F4" s="3192" t="s">
        <v>3078</v>
      </c>
      <c r="G4" s="3192" t="s">
        <v>3011</v>
      </c>
      <c r="H4" s="3192" t="s">
        <v>3077</v>
      </c>
      <c r="I4" s="3192">
        <v>1650</v>
      </c>
      <c r="J4" s="3192">
        <v>1650</v>
      </c>
      <c r="K4" s="3192">
        <v>651.66</v>
      </c>
      <c r="L4" s="3192">
        <f t="shared" si="0"/>
        <v>1303</v>
      </c>
      <c r="M4" s="3192">
        <v>0</v>
      </c>
      <c r="N4" s="3192" t="s">
        <v>3076</v>
      </c>
    </row>
    <row r="5" spans="1:14" s="3184" customFormat="1">
      <c r="A5" s="3184" t="s">
        <v>3075</v>
      </c>
      <c r="B5" s="3184" t="s">
        <v>3010</v>
      </c>
      <c r="C5" s="3184" t="s">
        <v>3041</v>
      </c>
      <c r="D5" s="3184">
        <v>14552.8</v>
      </c>
      <c r="E5" s="3184">
        <v>48751.88</v>
      </c>
      <c r="F5" s="3184" t="s">
        <v>3074</v>
      </c>
      <c r="G5" s="3184" t="s">
        <v>3011</v>
      </c>
      <c r="H5" s="3184" t="s">
        <v>3073</v>
      </c>
      <c r="I5" s="3184">
        <v>2600</v>
      </c>
      <c r="J5" s="3184">
        <v>2600</v>
      </c>
      <c r="K5" s="3184">
        <v>533.29999999999995</v>
      </c>
      <c r="L5" s="3184">
        <f t="shared" si="0"/>
        <v>1787</v>
      </c>
      <c r="M5" s="3184">
        <v>0</v>
      </c>
      <c r="N5" s="3184" t="s">
        <v>3072</v>
      </c>
    </row>
    <row r="6" spans="1:14" s="3184" customFormat="1">
      <c r="A6" s="3184" t="s">
        <v>3071</v>
      </c>
      <c r="B6" s="3184" t="s">
        <v>3010</v>
      </c>
      <c r="C6" s="3184" t="s">
        <v>3041</v>
      </c>
      <c r="D6" s="3184">
        <v>13778.9</v>
      </c>
      <c r="E6" s="3184">
        <v>48226.15</v>
      </c>
      <c r="F6" s="3184" t="s">
        <v>3070</v>
      </c>
      <c r="G6" s="3184" t="s">
        <v>3011</v>
      </c>
      <c r="H6" s="3184" t="s">
        <v>3069</v>
      </c>
      <c r="I6" s="3184">
        <v>2400</v>
      </c>
      <c r="J6" s="3184">
        <v>2400</v>
      </c>
      <c r="K6" s="3184">
        <v>497.66</v>
      </c>
      <c r="L6" s="3184">
        <f t="shared" si="0"/>
        <v>1742</v>
      </c>
      <c r="M6" s="3184">
        <v>0</v>
      </c>
      <c r="N6" s="3184" t="s">
        <v>3068</v>
      </c>
    </row>
    <row r="7" spans="1:14" s="3184" customFormat="1">
      <c r="A7" s="3184" t="s">
        <v>3067</v>
      </c>
      <c r="B7" s="3184" t="s">
        <v>3010</v>
      </c>
      <c r="C7" s="3184" t="s">
        <v>3041</v>
      </c>
      <c r="D7" s="3184">
        <v>6262.6</v>
      </c>
      <c r="E7" s="3184">
        <v>9393.9</v>
      </c>
      <c r="F7" s="3184" t="s">
        <v>3060</v>
      </c>
      <c r="G7" s="3184" t="s">
        <v>3011</v>
      </c>
      <c r="H7" s="3184" t="s">
        <v>3066</v>
      </c>
      <c r="I7" s="3184">
        <v>1290</v>
      </c>
      <c r="J7" s="3184">
        <v>1290</v>
      </c>
      <c r="K7" s="3184">
        <v>1373.23</v>
      </c>
      <c r="L7" s="3184">
        <f t="shared" si="0"/>
        <v>2060</v>
      </c>
      <c r="M7" s="3184">
        <v>0</v>
      </c>
      <c r="N7" s="3184" t="s">
        <v>3065</v>
      </c>
    </row>
    <row r="8" spans="1:14">
      <c r="A8" s="3183" t="s">
        <v>3064</v>
      </c>
      <c r="B8" s="3183" t="s">
        <v>3010</v>
      </c>
      <c r="C8" s="3183" t="s">
        <v>3041</v>
      </c>
      <c r="D8" s="3183">
        <v>13393.48</v>
      </c>
      <c r="E8" s="3183">
        <v>19286.61</v>
      </c>
      <c r="F8" s="3183" t="s">
        <v>3063</v>
      </c>
      <c r="G8" s="3183" t="s">
        <v>3011</v>
      </c>
      <c r="H8" s="3183" t="s">
        <v>3014</v>
      </c>
      <c r="I8" s="3183">
        <v>6429</v>
      </c>
      <c r="J8" s="3183">
        <v>6429</v>
      </c>
      <c r="K8" s="3183">
        <v>3333.4</v>
      </c>
      <c r="L8" s="3183">
        <f t="shared" si="0"/>
        <v>4800</v>
      </c>
      <c r="M8" s="3183">
        <v>0</v>
      </c>
      <c r="N8" s="3183" t="s">
        <v>3062</v>
      </c>
    </row>
    <row r="9" spans="1:14">
      <c r="A9" s="3183" t="s">
        <v>3061</v>
      </c>
      <c r="B9" s="3183" t="s">
        <v>3010</v>
      </c>
      <c r="C9" s="3183" t="s">
        <v>3041</v>
      </c>
      <c r="D9" s="3183">
        <v>56790.47</v>
      </c>
      <c r="E9" s="3183">
        <v>85185.71</v>
      </c>
      <c r="F9" s="3183" t="s">
        <v>3060</v>
      </c>
      <c r="G9" s="3183" t="s">
        <v>3011</v>
      </c>
      <c r="H9" s="3183" t="s">
        <v>3015</v>
      </c>
      <c r="I9" s="3183">
        <v>10137</v>
      </c>
      <c r="J9" s="3183">
        <v>10137</v>
      </c>
      <c r="K9" s="3183">
        <v>1189.99</v>
      </c>
      <c r="L9" s="3183">
        <f t="shared" si="0"/>
        <v>1785</v>
      </c>
      <c r="M9" s="3183">
        <v>0</v>
      </c>
      <c r="N9" s="3183" t="s">
        <v>3059</v>
      </c>
    </row>
    <row r="10" spans="1:14">
      <c r="A10" s="3183" t="s">
        <v>3058</v>
      </c>
      <c r="B10" s="3183" t="s">
        <v>3010</v>
      </c>
      <c r="C10" s="3183" t="s">
        <v>3041</v>
      </c>
      <c r="D10" s="3183">
        <v>2785.2</v>
      </c>
      <c r="E10" s="3183">
        <v>3481.5</v>
      </c>
      <c r="F10" s="3183" t="s">
        <v>3057</v>
      </c>
      <c r="G10" s="3183" t="s">
        <v>3011</v>
      </c>
      <c r="H10" s="3183" t="s">
        <v>3053</v>
      </c>
      <c r="I10" s="3183">
        <v>550</v>
      </c>
      <c r="J10" s="3183">
        <v>750</v>
      </c>
      <c r="K10" s="3183">
        <v>2154.23</v>
      </c>
      <c r="L10" s="3183">
        <f t="shared" si="0"/>
        <v>2693</v>
      </c>
      <c r="M10" s="3183">
        <v>36.36</v>
      </c>
      <c r="N10" s="3183" t="s">
        <v>3056</v>
      </c>
    </row>
    <row r="11" spans="1:14">
      <c r="A11" s="3183" t="s">
        <v>3055</v>
      </c>
      <c r="B11" s="3183" t="s">
        <v>3010</v>
      </c>
      <c r="C11" s="3183" t="s">
        <v>3041</v>
      </c>
      <c r="D11" s="3183">
        <v>96916.5</v>
      </c>
      <c r="E11" s="3183">
        <v>114361.5</v>
      </c>
      <c r="F11" s="3183" t="s">
        <v>3054</v>
      </c>
      <c r="G11" s="3183" t="s">
        <v>3011</v>
      </c>
      <c r="H11" s="3183" t="s">
        <v>3053</v>
      </c>
      <c r="I11" s="3183">
        <v>13380</v>
      </c>
      <c r="J11" s="3183">
        <v>13380</v>
      </c>
      <c r="K11" s="3183">
        <v>1169.97</v>
      </c>
      <c r="L11" s="3183">
        <f t="shared" si="0"/>
        <v>1381</v>
      </c>
      <c r="M11" s="3183">
        <v>0</v>
      </c>
      <c r="N11" s="3183" t="s">
        <v>3044</v>
      </c>
    </row>
    <row r="12" spans="1:14">
      <c r="A12" s="3183" t="s">
        <v>3052</v>
      </c>
      <c r="B12" s="3183" t="s">
        <v>3010</v>
      </c>
      <c r="C12" s="3183" t="s">
        <v>3041</v>
      </c>
      <c r="D12" s="3183">
        <v>6496.5</v>
      </c>
      <c r="E12" s="3183">
        <v>8185.59</v>
      </c>
      <c r="F12" s="3183" t="s">
        <v>3051</v>
      </c>
      <c r="G12" s="3183" t="s">
        <v>3011</v>
      </c>
      <c r="H12" s="3183" t="s">
        <v>3045</v>
      </c>
      <c r="I12" s="3183" t="s">
        <v>2820</v>
      </c>
      <c r="J12" s="3183">
        <v>1040</v>
      </c>
      <c r="K12" s="3183">
        <v>1270.52</v>
      </c>
      <c r="L12" s="3183">
        <f t="shared" si="0"/>
        <v>1601</v>
      </c>
      <c r="M12" s="3183" t="s">
        <v>2820</v>
      </c>
      <c r="N12" s="3183" t="s">
        <v>3050</v>
      </c>
    </row>
    <row r="13" spans="1:14">
      <c r="A13" s="3183" t="s">
        <v>3047</v>
      </c>
      <c r="B13" s="3183" t="s">
        <v>3010</v>
      </c>
      <c r="C13" s="3183" t="s">
        <v>3041</v>
      </c>
      <c r="D13" s="3183">
        <v>6583.5</v>
      </c>
      <c r="E13" s="3183">
        <v>7241.85</v>
      </c>
      <c r="F13" s="3183" t="s">
        <v>3049</v>
      </c>
      <c r="G13" s="3183" t="s">
        <v>3011</v>
      </c>
      <c r="H13" s="3183" t="s">
        <v>3045</v>
      </c>
      <c r="I13" s="3183" t="s">
        <v>2820</v>
      </c>
      <c r="J13" s="3183">
        <v>850</v>
      </c>
      <c r="K13" s="3183">
        <v>1173.73</v>
      </c>
      <c r="L13" s="3183">
        <f t="shared" si="0"/>
        <v>1291</v>
      </c>
      <c r="M13" s="3183" t="s">
        <v>2820</v>
      </c>
      <c r="N13" s="3183" t="s">
        <v>3048</v>
      </c>
    </row>
    <row r="14" spans="1:14">
      <c r="A14" s="3183" t="s">
        <v>3047</v>
      </c>
      <c r="B14" s="3183" t="s">
        <v>3010</v>
      </c>
      <c r="C14" s="3183" t="s">
        <v>3041</v>
      </c>
      <c r="D14" s="3183">
        <v>23431.8</v>
      </c>
      <c r="E14" s="3183">
        <v>25306.34</v>
      </c>
      <c r="F14" s="3183" t="s">
        <v>3046</v>
      </c>
      <c r="G14" s="3183" t="s">
        <v>3011</v>
      </c>
      <c r="H14" s="3183" t="s">
        <v>3045</v>
      </c>
      <c r="I14" s="3183" t="s">
        <v>2820</v>
      </c>
      <c r="J14" s="3183">
        <v>3050</v>
      </c>
      <c r="K14" s="3183">
        <v>1205.23</v>
      </c>
      <c r="L14" s="3183">
        <f t="shared" si="0"/>
        <v>1302</v>
      </c>
      <c r="M14" s="3183" t="s">
        <v>2820</v>
      </c>
      <c r="N14" s="3183" t="s">
        <v>3044</v>
      </c>
    </row>
    <row r="15" spans="1:14">
      <c r="A15" s="3183" t="s">
        <v>3042</v>
      </c>
      <c r="B15" s="3183" t="s">
        <v>3010</v>
      </c>
      <c r="C15" s="3183" t="s">
        <v>3041</v>
      </c>
      <c r="D15" s="3183">
        <v>6676.63</v>
      </c>
      <c r="E15" s="3183">
        <v>6676.63</v>
      </c>
      <c r="F15" s="3183" t="s">
        <v>3043</v>
      </c>
      <c r="G15" s="3183" t="s">
        <v>3011</v>
      </c>
      <c r="H15" s="3183" t="s">
        <v>3039</v>
      </c>
      <c r="I15" s="3183">
        <v>1000</v>
      </c>
      <c r="J15" s="3183">
        <v>1000</v>
      </c>
      <c r="K15" s="3183">
        <v>1497.75</v>
      </c>
      <c r="L15" s="3183">
        <f t="shared" si="0"/>
        <v>1498</v>
      </c>
      <c r="M15" s="3183">
        <v>0</v>
      </c>
      <c r="N15" s="3183" t="s">
        <v>3038</v>
      </c>
    </row>
    <row r="16" spans="1:14">
      <c r="A16" s="3183" t="s">
        <v>3042</v>
      </c>
      <c r="B16" s="3183" t="s">
        <v>3010</v>
      </c>
      <c r="C16" s="3183" t="s">
        <v>3041</v>
      </c>
      <c r="D16" s="3183">
        <v>13171.72</v>
      </c>
      <c r="E16" s="3183">
        <v>25026.27</v>
      </c>
      <c r="F16" s="3183" t="s">
        <v>3040</v>
      </c>
      <c r="G16" s="3183" t="s">
        <v>3011</v>
      </c>
      <c r="H16" s="3183" t="s">
        <v>3039</v>
      </c>
      <c r="I16" s="3183">
        <v>1970</v>
      </c>
      <c r="J16" s="3183">
        <v>1970</v>
      </c>
      <c r="K16" s="3183">
        <v>787.16</v>
      </c>
      <c r="L16" s="3183">
        <f t="shared" si="0"/>
        <v>1496</v>
      </c>
      <c r="M16" s="3183">
        <v>0</v>
      </c>
      <c r="N16" s="3183" t="s">
        <v>3038</v>
      </c>
    </row>
    <row r="17" spans="1:10">
      <c r="A17" s="3183" t="s">
        <v>3109</v>
      </c>
      <c r="J17" s="3183" t="s">
        <v>3110</v>
      </c>
    </row>
    <row r="65" spans="1:1">
      <c r="A65" s="3183" t="s">
        <v>3111</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1">
        <f>MATCH(B1,'数据-取费表'!A6:A16,0)+5</f>
        <v>7</v>
      </c>
    </row>
    <row r="2" spans="1:31" s="2041" customFormat="1" ht="18" customHeight="1">
      <c r="A2" s="2101" t="s">
        <v>466</v>
      </c>
      <c r="B2" s="2105">
        <f ca="1">C36</f>
        <v>12080</v>
      </c>
      <c r="C2" s="2104"/>
      <c r="D2" s="2104"/>
      <c r="E2" s="2104"/>
      <c r="F2" s="2104"/>
      <c r="G2" s="2104"/>
      <c r="H2" s="2104"/>
      <c r="I2" s="2104"/>
      <c r="J2" s="2104"/>
      <c r="K2" s="2104"/>
    </row>
    <row r="3" spans="1:31" s="2041" customFormat="1" ht="18" customHeight="1">
      <c r="A3" s="2106" t="s">
        <v>1684</v>
      </c>
      <c r="B3" s="2107">
        <f ca="1">ROUND(B2*10000/IF(B1="",'数据-汇总表'!E3,INDIRECT("'数据-取费表'!K"&amp;$K$1)),0)</f>
        <v>3718</v>
      </c>
      <c r="C3" s="2104"/>
      <c r="D3" s="2104"/>
      <c r="E3" s="2104"/>
      <c r="F3" s="2104"/>
      <c r="G3" s="2104"/>
      <c r="H3" s="2104"/>
      <c r="I3" s="2104"/>
      <c r="J3" s="2104"/>
      <c r="K3" s="2104"/>
    </row>
    <row r="4" spans="1:31" s="2041" customFormat="1" ht="18" customHeight="1">
      <c r="A4" s="425" t="s">
        <v>467</v>
      </c>
      <c r="B4" s="426">
        <f ca="1">ROUND(B2*10000/IF(B1="",'数据-汇总表'!D3,INDIRECT("'数据-取费表'!R"&amp;$K$1)),0)</f>
        <v>5577</v>
      </c>
      <c r="C4" s="427"/>
      <c r="D4" s="421"/>
      <c r="E4" s="421"/>
      <c r="F4" s="421"/>
      <c r="G4" s="421"/>
      <c r="H4" s="421"/>
      <c r="I4" s="421"/>
      <c r="J4" s="421"/>
      <c r="K4" s="421"/>
    </row>
    <row r="5" spans="1:31" s="2041" customFormat="1" ht="18" customHeight="1" thickBot="1">
      <c r="A5" s="428"/>
      <c r="B5" s="429">
        <f ca="1">ROUND(B2/(IF(B1="",'数据-汇总表'!D3,INDIRECT("'数据-取费表'!R"&amp;$K$1))/666.67),0)</f>
        <v>372</v>
      </c>
      <c r="C5" s="430" t="s">
        <v>468</v>
      </c>
      <c r="D5" s="421"/>
      <c r="E5" s="421"/>
      <c r="F5" s="421"/>
      <c r="G5" s="421"/>
      <c r="H5" s="421"/>
      <c r="I5" s="421"/>
      <c r="J5" s="421"/>
      <c r="K5" s="421"/>
    </row>
    <row r="6" spans="1:31" s="2111" customFormat="1" ht="16.5" customHeight="1">
      <c r="A6" s="2828" t="s">
        <v>1842</v>
      </c>
      <c r="B6" s="2829"/>
      <c r="C6" s="2830">
        <f>SUM(C10:K10)</f>
        <v>35782</v>
      </c>
      <c r="D6" s="2829"/>
      <c r="E6" s="2829"/>
      <c r="F6" s="2829"/>
      <c r="G6" s="2829"/>
      <c r="H6" s="2829"/>
      <c r="I6" s="2829"/>
      <c r="J6" s="2829"/>
      <c r="K6" s="2831"/>
    </row>
    <row r="7" spans="1:31" s="2113" customFormat="1" ht="15">
      <c r="A7" s="2832" t="s">
        <v>469</v>
      </c>
      <c r="B7" s="2833" t="s">
        <v>470</v>
      </c>
      <c r="C7" s="435" t="s">
        <v>3086</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471</v>
      </c>
      <c r="C8" s="2834">
        <f>'不动产比较法-商业'!C49</f>
        <v>12957</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472</v>
      </c>
      <c r="C9" s="440">
        <f>SUMIF('数据-汇总表'!$C19:$C33,'剩余法-待开发'!C7,'数据-汇总表'!$E19:$E33)</f>
        <v>32489</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Sheet1!O73</f>
        <v>35782</v>
      </c>
      <c r="D10" s="3029"/>
      <c r="E10" s="3029"/>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49">
        <f ca="1">IF(B1="",'数据-取费表'!P16,INDIRECT("'数据-取费表'!p"&amp;$K$1)+INDIRECT("'数据-取费表'!t"&amp;$K$1))</f>
        <v>9097</v>
      </c>
      <c r="D13" s="2844"/>
      <c r="E13" s="2845"/>
      <c r="F13" s="2846"/>
      <c r="G13" s="2812"/>
      <c r="H13" s="2813"/>
      <c r="I13" s="2813"/>
      <c r="J13" s="2813"/>
      <c r="K13" s="2814"/>
    </row>
    <row r="14" spans="1:31" s="2116" customFormat="1" ht="13.5" customHeight="1">
      <c r="A14" s="2842" t="s">
        <v>1849</v>
      </c>
      <c r="B14" s="2843" t="s">
        <v>479</v>
      </c>
      <c r="C14" s="53">
        <f ca="1">ROUND(C13*F14,0)</f>
        <v>273</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0.03</v>
      </c>
      <c r="G15" s="2812" t="s">
        <v>482</v>
      </c>
      <c r="H15" s="2813"/>
      <c r="I15" s="2813"/>
      <c r="J15" s="2813"/>
      <c r="K15" s="2814"/>
    </row>
    <row r="16" spans="1:31" s="2117" customFormat="1" ht="13.5" customHeight="1">
      <c r="A16" s="2842" t="s">
        <v>1851</v>
      </c>
      <c r="B16" s="2843" t="s">
        <v>483</v>
      </c>
      <c r="C16" s="53">
        <f ca="1">ROUND(D16*E16/10000,0)</f>
        <v>650</v>
      </c>
      <c r="D16" s="2844">
        <f ca="1">IF(B1="",'数据-汇总表'!E3,INDIRECT("'数据-取费表'!K"&amp;$K$1)+INDIRECT("'数据-取费表'!S"&amp;$K$1))</f>
        <v>32489</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136</v>
      </c>
      <c r="D17" s="474"/>
      <c r="E17" s="2848"/>
      <c r="F17" s="2849">
        <f>'数据-取费表'!B36</f>
        <v>1.4999999999999999E-2</v>
      </c>
      <c r="G17" s="260" t="s">
        <v>485</v>
      </c>
      <c r="H17" s="2815"/>
      <c r="I17" s="2815"/>
      <c r="J17" s="2815"/>
      <c r="K17" s="278"/>
    </row>
    <row r="18" spans="1:14" s="2116" customFormat="1" ht="13.5" customHeight="1">
      <c r="A18" s="2850" t="s">
        <v>1853</v>
      </c>
      <c r="B18" s="2851" t="s">
        <v>486</v>
      </c>
      <c r="C18" s="2852">
        <f ca="1">SUM(C13:C17)</f>
        <v>10156</v>
      </c>
      <c r="D18" s="2853"/>
      <c r="E18" s="467"/>
      <c r="F18" s="467"/>
      <c r="G18" s="2816" t="s">
        <v>2432</v>
      </c>
      <c r="H18" s="2817"/>
      <c r="I18" s="2817"/>
      <c r="J18" s="2817"/>
      <c r="K18" s="2818"/>
    </row>
    <row r="19" spans="1:14" s="2116" customFormat="1" ht="13.5" customHeight="1">
      <c r="A19" s="2850" t="s">
        <v>1854</v>
      </c>
      <c r="B19" s="2851" t="s">
        <v>487</v>
      </c>
      <c r="C19" s="2808">
        <f ca="1">ROUND(D19*E19/10000,0)</f>
        <v>97</v>
      </c>
      <c r="D19" s="2854">
        <f ca="1">D16</f>
        <v>32489</v>
      </c>
      <c r="E19" s="2808">
        <f>'数据-取费表'!B32</f>
        <v>30</v>
      </c>
      <c r="F19" s="467"/>
      <c r="G19" s="2812" t="s">
        <v>488</v>
      </c>
      <c r="H19" s="2813"/>
      <c r="I19" s="2817"/>
      <c r="J19" s="2817"/>
      <c r="K19" s="2818"/>
    </row>
    <row r="20" spans="1:14" s="2116" customFormat="1" ht="13.5" customHeight="1">
      <c r="A20" s="2850" t="s">
        <v>1855</v>
      </c>
      <c r="B20" s="2851" t="s">
        <v>489</v>
      </c>
      <c r="C20" s="2808">
        <f ca="1">C21+C22-IF(B1="",'数据-取费表'!B29,IF(G20="已全部缴纳",C21+C22,H20))</f>
        <v>443</v>
      </c>
      <c r="D20" s="2854"/>
      <c r="E20" s="2808"/>
      <c r="F20" s="2855"/>
      <c r="G20" s="3087" t="s">
        <v>3033</v>
      </c>
      <c r="H20" s="2810">
        <v>0</v>
      </c>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1365.5</v>
      </c>
      <c r="F21" s="2847"/>
      <c r="G21" s="26"/>
      <c r="H21" s="51"/>
      <c r="I21" s="51"/>
      <c r="J21" s="51"/>
      <c r="K21" s="2819"/>
    </row>
    <row r="22" spans="1:14" s="2116" customFormat="1" ht="13.5" customHeight="1">
      <c r="A22" s="2842" t="s">
        <v>1857</v>
      </c>
      <c r="B22" s="2843" t="s">
        <v>491</v>
      </c>
      <c r="C22" s="53">
        <f ca="1">ROUND(D22*E22/10000,0)</f>
        <v>443</v>
      </c>
      <c r="D22" s="2844">
        <f ca="1">IF(B1="",'数据-汇总表'!E6,IF(INDIRECT("'数据-取费表'!c"&amp;$K$1)="住宅",INDIRECT("'数据-取费表'!s"&amp;$K$1),INDIRECT("'数据-取费表'!k"&amp;$K$1)+INDIRECT("'数据-取费表'!s"&amp;$K$1)))</f>
        <v>32489</v>
      </c>
      <c r="E22" s="53">
        <f>'数据-取费表'!B28</f>
        <v>136.5</v>
      </c>
      <c r="F22" s="2847"/>
      <c r="G22" s="26"/>
      <c r="H22" s="51"/>
      <c r="I22" s="51"/>
      <c r="J22" s="51"/>
      <c r="K22" s="2819"/>
    </row>
    <row r="23" spans="1:14" s="2116" customFormat="1" ht="13.5" customHeight="1">
      <c r="A23" s="2850" t="s">
        <v>1858</v>
      </c>
      <c r="B23" s="3035" t="s">
        <v>2836</v>
      </c>
      <c r="C23" s="2852">
        <f ca="1">ROUND((C18+C19+C20)*F23,0)</f>
        <v>321</v>
      </c>
      <c r="D23" s="467"/>
      <c r="E23" s="467"/>
      <c r="F23" s="2856">
        <f>'数据-取费表'!B37</f>
        <v>0.03</v>
      </c>
      <c r="G23" s="2812" t="s">
        <v>2433</v>
      </c>
      <c r="H23" s="2813"/>
      <c r="I23" s="2813"/>
      <c r="J23" s="2813"/>
      <c r="K23" s="2814"/>
      <c r="L23" s="2118"/>
      <c r="M23" s="2118"/>
      <c r="N23" s="2118"/>
    </row>
    <row r="24" spans="1:14" s="2116" customFormat="1" ht="13.5" customHeight="1">
      <c r="A24" s="2850" t="s">
        <v>1859</v>
      </c>
      <c r="B24" s="3035" t="s">
        <v>2839</v>
      </c>
      <c r="C24" s="2852">
        <f>ROUND(C6*F24,0)</f>
        <v>1073</v>
      </c>
      <c r="D24" s="474"/>
      <c r="E24" s="472"/>
      <c r="F24" s="2856">
        <f>'数据-取费表'!B38</f>
        <v>0.03</v>
      </c>
      <c r="G24" s="2821" t="s">
        <v>498</v>
      </c>
      <c r="H24" s="2815"/>
      <c r="I24" s="2815"/>
      <c r="J24" s="2815"/>
      <c r="K24" s="278"/>
      <c r="L24" s="2118"/>
      <c r="M24" s="2118"/>
      <c r="N24" s="2118"/>
    </row>
    <row r="25" spans="1:14" s="2119" customFormat="1" ht="13.5" customHeight="1">
      <c r="A25" s="2850" t="s">
        <v>1860</v>
      </c>
      <c r="B25" s="3035" t="s">
        <v>2837</v>
      </c>
      <c r="C25" s="466">
        <f>ROUND(F25/(1+'数据-取费表'!C42),4)</f>
        <v>2.9000000000000001E-2</v>
      </c>
      <c r="D25" s="461" t="s">
        <v>2831</v>
      </c>
      <c r="E25" s="468"/>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263</v>
      </c>
      <c r="D26" s="466">
        <f ca="1">C27</f>
        <v>4.48E-2</v>
      </c>
      <c r="E26" s="468" t="s">
        <v>494</v>
      </c>
      <c r="F26" s="470">
        <f ca="1">'数据-取费表'!B40</f>
        <v>4.3499999999999997E-2</v>
      </c>
      <c r="G26" s="2572" t="str">
        <f>IF('数据-取费表'!B22&lt;=1,"单利计息。","复利计息。")&amp;"后续开发成本、管理费用及销售费用产生的利息。"</f>
        <v>单利计息。后续开发成本、管理费用及销售费用产生的利息。</v>
      </c>
      <c r="H26" s="2817"/>
      <c r="I26" s="2817"/>
      <c r="J26" s="2817"/>
      <c r="K26" s="2818"/>
    </row>
    <row r="27" spans="1:14" s="2120" customFormat="1" ht="13.5" customHeight="1">
      <c r="A27" s="802" t="s">
        <v>1856</v>
      </c>
      <c r="B27" s="2858" t="s">
        <v>495</v>
      </c>
      <c r="C27" s="2859">
        <f ca="1">ROUND(IF('数据-取费表'!B22&lt;=1,(1+C25)*F26*'数据-取费表'!B24,(1+C25)*(POWER((1+F26),'数据-取费表'!B24)-1)),4)</f>
        <v>4.48E-2</v>
      </c>
      <c r="D27" s="471"/>
      <c r="E27" s="472"/>
      <c r="F27" s="473"/>
      <c r="G27" s="2572" t="str">
        <f>IF('数据-取费表'!B22&lt;=1,"（1+取得税费率/(1+5%)）×年利率×建设期","（1+取得税费率）/(1+5%)×((1+年利率)^建设期-1)")</f>
        <v>（1+取得税费率/(1+5%)）×年利率×建设期</v>
      </c>
      <c r="H27" s="2815"/>
      <c r="I27" s="2815"/>
      <c r="J27" s="2815"/>
      <c r="K27" s="278"/>
    </row>
    <row r="28" spans="1:14" s="2120" customFormat="1" ht="13.5" customHeight="1">
      <c r="A28" s="802" t="s">
        <v>1857</v>
      </c>
      <c r="B28" s="2858" t="s">
        <v>2840</v>
      </c>
      <c r="C28" s="2860">
        <f ca="1">ROUND(IF('数据-取费表'!B22&lt;=1,(C18+C19+C20+C23+C24)*F26*'数据-取费表'!B24/2,(C18+C19+C20+C23+C24)*(POWER((1+F26),'数据-取费表'!B24/2)-1)),0)</f>
        <v>263</v>
      </c>
      <c r="D28" s="471"/>
      <c r="E28" s="472"/>
      <c r="F28" s="473"/>
      <c r="G28" s="2572" t="str">
        <f>IF('数据-取费表'!B22&lt;=1,"（1）-（4）项×年利率×建设期÷2","（1）-（4）项×((1+年利率)^(建设期÷2)-1)")</f>
        <v>（1）-（4）项×年利率×建设期÷2</v>
      </c>
      <c r="H28" s="2815"/>
      <c r="I28" s="2815"/>
      <c r="J28" s="2815"/>
      <c r="K28" s="278"/>
    </row>
    <row r="29" spans="1:14" s="2120" customFormat="1" ht="13.5" customHeight="1">
      <c r="A29" s="2861" t="s">
        <v>1862</v>
      </c>
      <c r="B29" s="2851" t="s">
        <v>496</v>
      </c>
      <c r="C29" s="2852">
        <f>ROUND(C6*F29/(1+'数据-取费表'!C42),0)</f>
        <v>1874</v>
      </c>
      <c r="D29" s="467"/>
      <c r="E29" s="467"/>
      <c r="F29" s="3037">
        <f>'数据-取费表'!B41</f>
        <v>5.5000000000000007E-2</v>
      </c>
      <c r="G29" s="2821" t="s">
        <v>497</v>
      </c>
      <c r="H29" s="2813"/>
      <c r="I29" s="2813"/>
      <c r="J29" s="2813"/>
      <c r="K29" s="2814"/>
    </row>
    <row r="30" spans="1:14" s="2121" customFormat="1" ht="13.5" customHeight="1">
      <c r="A30" s="1634" t="s">
        <v>1863</v>
      </c>
      <c r="B30" s="2862" t="s">
        <v>499</v>
      </c>
      <c r="C30" s="2857">
        <f ca="1">C31</f>
        <v>14227</v>
      </c>
      <c r="D30" s="476">
        <f ca="1">C32</f>
        <v>7.3800000000000004E-2</v>
      </c>
      <c r="E30" s="468" t="s">
        <v>494</v>
      </c>
      <c r="F30" s="470"/>
      <c r="G30" s="2820" t="s">
        <v>2973</v>
      </c>
      <c r="H30" s="2813"/>
      <c r="I30" s="2813"/>
      <c r="J30" s="2813"/>
      <c r="K30" s="2814"/>
    </row>
    <row r="31" spans="1:14" s="2120" customFormat="1" ht="13.5" customHeight="1">
      <c r="A31" s="802" t="s">
        <v>1856</v>
      </c>
      <c r="B31" s="2858"/>
      <c r="C31" s="449">
        <f ca="1">C18+C19+C20+C23+C24+C26+C29</f>
        <v>14227</v>
      </c>
      <c r="D31" s="471"/>
      <c r="E31" s="472"/>
      <c r="F31" s="473"/>
      <c r="G31" s="260"/>
      <c r="H31" s="2815"/>
      <c r="I31" s="2815"/>
      <c r="J31" s="2815"/>
      <c r="K31" s="278"/>
    </row>
    <row r="32" spans="1:14" s="2120" customFormat="1" ht="13.5" customHeight="1">
      <c r="A32" s="802" t="s">
        <v>1857</v>
      </c>
      <c r="B32" s="2858"/>
      <c r="C32" s="53">
        <f ca="1">ROUND(C25+D26,4)</f>
        <v>7.3800000000000004E-2</v>
      </c>
      <c r="D32" s="471"/>
      <c r="E32" s="472"/>
      <c r="F32" s="473"/>
      <c r="G32" s="260"/>
      <c r="H32" s="2815"/>
      <c r="I32" s="2815"/>
      <c r="J32" s="2815"/>
      <c r="K32" s="278"/>
    </row>
    <row r="33" spans="1:11" s="2122" customFormat="1" ht="13.5" customHeight="1">
      <c r="A33" s="3034" t="s">
        <v>2835</v>
      </c>
      <c r="B33" s="3032" t="s">
        <v>2833</v>
      </c>
      <c r="C33" s="477">
        <f ca="1">C35</f>
        <v>4232</v>
      </c>
      <c r="D33" s="466">
        <f ca="1">C34</f>
        <v>0.36020000000000002</v>
      </c>
      <c r="E33" s="468" t="s">
        <v>494</v>
      </c>
      <c r="F33" s="478">
        <f ca="1">IF(B1="",'数据-取费表'!Q16,INDIRECT("'数据-取费表'!q"&amp;$K$1))</f>
        <v>0.35</v>
      </c>
      <c r="G33" s="2816"/>
      <c r="H33" s="2817"/>
      <c r="I33" s="2817"/>
      <c r="J33" s="2817"/>
      <c r="K33" s="2818"/>
    </row>
    <row r="34" spans="1:11" s="2123" customFormat="1" ht="13.5" customHeight="1">
      <c r="A34" s="374" t="s">
        <v>1856</v>
      </c>
      <c r="B34" s="2863" t="s">
        <v>500</v>
      </c>
      <c r="C34" s="471">
        <f ca="1">ROUND((1+C25)*F33,4)</f>
        <v>0.36020000000000002</v>
      </c>
      <c r="D34" s="471"/>
      <c r="E34" s="472"/>
      <c r="F34" s="479"/>
      <c r="G34" s="260" t="s">
        <v>2292</v>
      </c>
      <c r="H34" s="2815"/>
      <c r="I34" s="2815"/>
      <c r="J34" s="2815"/>
      <c r="K34" s="278"/>
    </row>
    <row r="35" spans="1:11" s="2123" customFormat="1" ht="13.5" customHeight="1" thickBot="1">
      <c r="A35" s="1635" t="s">
        <v>1857</v>
      </c>
      <c r="B35" s="3033" t="s">
        <v>2841</v>
      </c>
      <c r="C35" s="1627">
        <f ca="1">ROUND((C18+C19+C20+C23+C24)*F33,0)</f>
        <v>4232</v>
      </c>
      <c r="D35" s="1628"/>
      <c r="E35" s="2864"/>
      <c r="F35" s="1629"/>
      <c r="G35" s="2822"/>
      <c r="H35" s="2823"/>
      <c r="I35" s="2823"/>
      <c r="J35" s="2823"/>
      <c r="K35" s="2824"/>
    </row>
    <row r="36" spans="1:11" s="2085" customFormat="1" ht="13.5" customHeight="1" thickBot="1">
      <c r="A36" s="283" t="s">
        <v>1844</v>
      </c>
      <c r="B36" s="2826"/>
      <c r="C36" s="2865">
        <f ca="1">ROUND((C6-C30-C33)/(1+D30+D33),0)</f>
        <v>12080</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C3" sqref="C3"/>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23" t="s">
        <v>718</v>
      </c>
      <c r="C1" s="2624" t="s">
        <v>719</v>
      </c>
      <c r="D1" s="2625" t="s">
        <v>922</v>
      </c>
      <c r="E1" s="2626"/>
      <c r="F1" s="2807" t="s">
        <v>3032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518</v>
      </c>
      <c r="B3" s="850">
        <f>C49</f>
        <v>10000</v>
      </c>
      <c r="C3" s="851" t="s">
        <v>721</v>
      </c>
      <c r="D3" s="850">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520</v>
      </c>
      <c r="B4" s="512"/>
      <c r="C4" s="3396" t="s">
        <v>521</v>
      </c>
      <c r="D4" s="3397"/>
      <c r="E4" s="3430" t="s">
        <v>522</v>
      </c>
      <c r="F4" s="3431"/>
      <c r="G4" s="3396" t="s">
        <v>523</v>
      </c>
      <c r="H4" s="3397"/>
      <c r="I4" s="3396" t="s">
        <v>524</v>
      </c>
      <c r="J4" s="3397"/>
      <c r="K4" s="852"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3" t="s">
        <v>523</v>
      </c>
      <c r="AC4" s="3393" t="s">
        <v>524</v>
      </c>
    </row>
    <row r="5" spans="1:29" ht="15">
      <c r="A5" s="514"/>
      <c r="B5" s="515"/>
      <c r="C5" s="3412" t="s">
        <v>2928</v>
      </c>
      <c r="D5" s="3413"/>
      <c r="E5" s="3432" t="s">
        <v>2929</v>
      </c>
      <c r="F5" s="3433"/>
      <c r="G5" s="3412" t="s">
        <v>2930</v>
      </c>
      <c r="H5" s="3413"/>
      <c r="I5" s="3412" t="s">
        <v>2931</v>
      </c>
      <c r="J5" s="3413"/>
      <c r="K5" s="85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2932</v>
      </c>
      <c r="D6" s="3411"/>
      <c r="E6" s="3428" t="s">
        <v>2932</v>
      </c>
      <c r="F6" s="3429"/>
      <c r="G6" s="3410" t="s">
        <v>2932</v>
      </c>
      <c r="H6" s="3411"/>
      <c r="I6" s="3410" t="s">
        <v>2932</v>
      </c>
      <c r="J6" s="3411"/>
      <c r="K6" s="85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43276</v>
      </c>
      <c r="D7" s="519">
        <v>100</v>
      </c>
      <c r="E7" s="520">
        <v>43272</v>
      </c>
      <c r="F7" s="521">
        <f>SUMIF(58:58,YEAR(E7)&amp;"-"&amp;MONTH(E7),59:59)</f>
        <v>100</v>
      </c>
      <c r="G7" s="522">
        <v>43252</v>
      </c>
      <c r="H7" s="519">
        <f>SUMIF(58:58,YEAR(G7)&amp;"-"&amp;MONTH(G7),59:59)</f>
        <v>100</v>
      </c>
      <c r="I7" s="522">
        <v>43252</v>
      </c>
      <c r="J7" s="519">
        <f>SUMIF(58:58,YEAR(I7)&amp;"-"&amp;MONTH(I7),59:59)</f>
        <v>100</v>
      </c>
      <c r="K7" s="854"/>
      <c r="L7" s="2135"/>
      <c r="M7" s="2136"/>
      <c r="N7" s="2136"/>
      <c r="O7" s="2136"/>
      <c r="P7" s="3421" t="s">
        <v>529</v>
      </c>
      <c r="Q7" s="3423"/>
      <c r="R7" s="1567" t="s">
        <v>13</v>
      </c>
      <c r="S7" s="1568">
        <f t="shared" ref="S7:S15" si="0">F7</f>
        <v>100</v>
      </c>
      <c r="T7" s="1567" t="s">
        <v>13</v>
      </c>
      <c r="U7" s="1568">
        <f t="shared" ref="U7:U15" si="1">H7</f>
        <v>100</v>
      </c>
      <c r="V7" s="1567" t="s">
        <v>13</v>
      </c>
      <c r="W7" s="1568">
        <f t="shared" ref="W7:W15" si="2">J7</f>
        <v>100</v>
      </c>
      <c r="X7" s="1569"/>
      <c r="Y7" s="3421" t="s">
        <v>529</v>
      </c>
      <c r="Z7" s="3422"/>
      <c r="AA7" s="1570">
        <f>D7/F7</f>
        <v>1</v>
      </c>
      <c r="AB7" s="1570">
        <f>D7/H7</f>
        <v>1</v>
      </c>
      <c r="AC7" s="1570">
        <f>D7/J7</f>
        <v>1</v>
      </c>
    </row>
    <row r="8" spans="1:29" s="1218" customFormat="1" ht="15.75" thickBot="1">
      <c r="A8" s="2913"/>
      <c r="B8" s="2920" t="s">
        <v>530</v>
      </c>
      <c r="C8" s="524" t="s">
        <v>575</v>
      </c>
      <c r="D8" s="519">
        <v>100</v>
      </c>
      <c r="E8" s="855" t="s">
        <v>3016</v>
      </c>
      <c r="F8" s="521">
        <f>SUMIF(61:61,E8,62:62)-SUMIF(61:61,C8,62:62)+100</f>
        <v>100</v>
      </c>
      <c r="G8" s="524" t="s">
        <v>3016</v>
      </c>
      <c r="H8" s="519">
        <f>SUMIF(61:61,G8,62:62)-SUMIF(61:61,C8,62:62)+100</f>
        <v>100</v>
      </c>
      <c r="I8" s="855" t="s">
        <v>3016</v>
      </c>
      <c r="J8" s="519">
        <f>SUMIF(61:61,I8,62:62)-SUMIF(61:61,C8,62:62)+100</f>
        <v>100</v>
      </c>
      <c r="K8" s="854"/>
      <c r="L8" s="2135"/>
      <c r="M8" s="2136"/>
      <c r="N8" s="2136"/>
      <c r="O8" s="2136"/>
      <c r="P8" s="3421" t="s">
        <v>532</v>
      </c>
      <c r="Q8" s="3422"/>
      <c r="R8" s="1567" t="s">
        <v>13</v>
      </c>
      <c r="S8" s="1568">
        <f t="shared" si="0"/>
        <v>100</v>
      </c>
      <c r="T8" s="1567" t="s">
        <v>13</v>
      </c>
      <c r="U8" s="1568">
        <f t="shared" si="1"/>
        <v>100</v>
      </c>
      <c r="V8" s="1567" t="s">
        <v>13</v>
      </c>
      <c r="W8" s="1568">
        <f t="shared" si="2"/>
        <v>100</v>
      </c>
      <c r="X8" s="1569"/>
      <c r="Y8" s="3421" t="s">
        <v>532</v>
      </c>
      <c r="Z8" s="3422"/>
      <c r="AA8" s="1570">
        <f t="shared" ref="AA8:AA46" si="3">D8/F8</f>
        <v>1</v>
      </c>
      <c r="AB8" s="1570">
        <f t="shared" ref="AB8:AB46" si="4">D8/H8</f>
        <v>1</v>
      </c>
      <c r="AC8" s="1570">
        <f t="shared" ref="AC8:AC46" si="5">D8/J8</f>
        <v>1</v>
      </c>
    </row>
    <row r="9" spans="1:29" s="1218" customFormat="1" ht="15">
      <c r="A9" s="2914"/>
      <c r="B9" s="2921" t="s">
        <v>2758</v>
      </c>
      <c r="C9" s="3188" t="s">
        <v>3030</v>
      </c>
      <c r="D9" s="253">
        <v>100</v>
      </c>
      <c r="E9" s="3189" t="s">
        <v>3030</v>
      </c>
      <c r="F9" s="858">
        <f>SUMIF(63:63,E9,64:64)-SUMIF(63:63,C9,64:64)+100</f>
        <v>100</v>
      </c>
      <c r="G9" s="3190" t="s">
        <v>3030</v>
      </c>
      <c r="H9" s="253">
        <f>SUMIF(63:63,G9,64:64)-SUMIF(63:63,C9,64:64)+100</f>
        <v>100</v>
      </c>
      <c r="I9" s="3190" t="s">
        <v>3030</v>
      </c>
      <c r="J9" s="253">
        <f>SUMIF(63:63,I9,64:64)-SUMIF(63:63,C9,64:64)+100</f>
        <v>100</v>
      </c>
      <c r="K9" s="854"/>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2759</v>
      </c>
      <c r="C10" s="860" t="s">
        <v>3031</v>
      </c>
      <c r="D10" s="254">
        <v>100</v>
      </c>
      <c r="E10" s="861" t="s">
        <v>3031</v>
      </c>
      <c r="F10" s="862">
        <f>SUMIF(65:65,E10,66:66)-SUMIF(65:65,C10,66:66)+100</f>
        <v>100</v>
      </c>
      <c r="G10" s="860" t="s">
        <v>3031</v>
      </c>
      <c r="H10" s="254">
        <f>SUMIF(65:65,G10,66:66)-SUMIF(65:65,C10,66:66)+100</f>
        <v>100</v>
      </c>
      <c r="I10" s="860" t="s">
        <v>3031</v>
      </c>
      <c r="J10" s="254">
        <f>SUMIF(65:65,I10,66:66)-SUMIF(65:65,C10,66:66)+100</f>
        <v>100</v>
      </c>
      <c r="K10" s="863">
        <v>1</v>
      </c>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2760</v>
      </c>
      <c r="C11" s="532">
        <v>1.5</v>
      </c>
      <c r="D11" s="254">
        <v>100</v>
      </c>
      <c r="E11" s="533"/>
      <c r="F11" s="862">
        <f>LOOKUP(E11,68:68,69:69)-LOOKUP(C11,68:68,69:69)+100</f>
        <v>100</v>
      </c>
      <c r="G11" s="532"/>
      <c r="H11" s="254">
        <f>LOOKUP(G11,68:68,69:69)-LOOKUP(C11,68:68,69:69)+100</f>
        <v>100</v>
      </c>
      <c r="I11" s="532"/>
      <c r="J11" s="254">
        <f>LOOKUP(I11,68:68,69:69)-LOOKUP(C11,68:68,69:69)+100</f>
        <v>100</v>
      </c>
      <c r="K11" s="863"/>
      <c r="L11" s="2140"/>
      <c r="M11" s="2134"/>
      <c r="N11" s="2134"/>
      <c r="O11" s="2141"/>
      <c r="P11" s="3390"/>
      <c r="Q11" s="1149" t="str">
        <f t="shared" si="6"/>
        <v>容积率</v>
      </c>
      <c r="R11" s="1567" t="s">
        <v>11</v>
      </c>
      <c r="S11" s="1568">
        <f t="shared" si="0"/>
        <v>100</v>
      </c>
      <c r="T11" s="1567" t="s">
        <v>11</v>
      </c>
      <c r="U11" s="1568">
        <f t="shared" si="1"/>
        <v>100</v>
      </c>
      <c r="V11" s="1567" t="s">
        <v>11</v>
      </c>
      <c r="W11" s="1568">
        <f t="shared" si="2"/>
        <v>100</v>
      </c>
      <c r="X11" s="1569"/>
      <c r="Y11" s="3336"/>
      <c r="Z11" s="1148" t="str">
        <f t="shared" si="7"/>
        <v>容积率</v>
      </c>
      <c r="AA11" s="1570">
        <f t="shared" si="3"/>
        <v>1</v>
      </c>
      <c r="AB11" s="1570">
        <f t="shared" si="4"/>
        <v>1</v>
      </c>
      <c r="AC11" s="1570">
        <f t="shared" si="5"/>
        <v>1</v>
      </c>
    </row>
    <row r="12" spans="1:29" s="1218" customFormat="1" ht="15">
      <c r="A12" s="2917"/>
      <c r="B12" s="2923">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90"/>
      <c r="Q12" s="1149">
        <f t="shared" si="6"/>
        <v>111</v>
      </c>
      <c r="R12" s="1567" t="s">
        <v>11</v>
      </c>
      <c r="S12" s="1568">
        <f t="shared" si="0"/>
        <v>100</v>
      </c>
      <c r="T12" s="1567" t="s">
        <v>11</v>
      </c>
      <c r="U12" s="1568">
        <f t="shared" si="1"/>
        <v>100</v>
      </c>
      <c r="V12" s="1567" t="s">
        <v>11</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90"/>
      <c r="Q13" s="1149">
        <f t="shared" si="6"/>
        <v>111</v>
      </c>
      <c r="R13" s="1567" t="s">
        <v>11</v>
      </c>
      <c r="S13" s="1568">
        <f t="shared" si="0"/>
        <v>100</v>
      </c>
      <c r="T13" s="1567" t="s">
        <v>11</v>
      </c>
      <c r="U13" s="1568">
        <f t="shared" si="1"/>
        <v>100</v>
      </c>
      <c r="V13" s="1567" t="s">
        <v>11</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90"/>
      <c r="Q14" s="1149">
        <f t="shared" si="6"/>
        <v>111</v>
      </c>
      <c r="R14" s="1567" t="s">
        <v>11</v>
      </c>
      <c r="S14" s="1568">
        <f t="shared" si="0"/>
        <v>100</v>
      </c>
      <c r="T14" s="1567" t="s">
        <v>11</v>
      </c>
      <c r="U14" s="1568">
        <f t="shared" si="1"/>
        <v>100</v>
      </c>
      <c r="V14" s="1567" t="s">
        <v>11</v>
      </c>
      <c r="W14" s="1568">
        <f t="shared" si="2"/>
        <v>100</v>
      </c>
      <c r="X14" s="1569"/>
      <c r="Y14" s="3336"/>
      <c r="Z14" s="1148">
        <f t="shared" si="7"/>
        <v>111</v>
      </c>
      <c r="AA14" s="1570">
        <f t="shared" si="3"/>
        <v>1</v>
      </c>
      <c r="AB14" s="1570">
        <f t="shared" si="4"/>
        <v>1</v>
      </c>
      <c r="AC14" s="1570">
        <f t="shared" si="5"/>
        <v>1</v>
      </c>
    </row>
    <row r="15" spans="1:29" ht="42.75">
      <c r="A15" s="2910" t="s">
        <v>2756</v>
      </c>
      <c r="B15" s="166" t="s">
        <v>294</v>
      </c>
      <c r="C15" s="866" t="str">
        <f>估价对象房地状况!C3</f>
        <v>骊山新家园、骊山下的院子，一般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3424" t="s">
        <v>539</v>
      </c>
      <c r="Q15" s="1571" t="str">
        <f t="shared" si="6"/>
        <v>居住社区成熟度</v>
      </c>
      <c r="R15" s="1572" t="s">
        <v>11</v>
      </c>
      <c r="S15" s="1573">
        <f t="shared" si="0"/>
        <v>100</v>
      </c>
      <c r="T15" s="1572" t="s">
        <v>11</v>
      </c>
      <c r="U15" s="1573">
        <f t="shared" si="1"/>
        <v>100</v>
      </c>
      <c r="V15" s="1572" t="s">
        <v>11</v>
      </c>
      <c r="W15" s="1573">
        <f t="shared" si="2"/>
        <v>100</v>
      </c>
      <c r="X15" s="1566"/>
      <c r="Y15" s="3424" t="s">
        <v>539</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2"/>
      <c r="M16" s="2134"/>
      <c r="N16" s="2134"/>
      <c r="O16" s="2141"/>
      <c r="P16" s="3425"/>
      <c r="Q16" s="1571"/>
      <c r="R16" s="1572"/>
      <c r="S16" s="1573"/>
      <c r="T16" s="1572"/>
      <c r="U16" s="1573"/>
      <c r="V16" s="1572"/>
      <c r="W16" s="1573"/>
      <c r="X16" s="1566"/>
      <c r="Y16" s="3425"/>
      <c r="Z16" s="1574"/>
      <c r="AA16" s="1575">
        <v>1</v>
      </c>
      <c r="AB16" s="1575">
        <v>1</v>
      </c>
      <c r="AC16" s="1575">
        <v>1</v>
      </c>
    </row>
    <row r="17" spans="1:29" ht="42.75">
      <c r="A17" s="531"/>
      <c r="B17" s="870" t="s">
        <v>295</v>
      </c>
      <c r="C17" s="871" t="str">
        <f>估价对象房地状况!C6</f>
        <v>临支路，1公里内无公共交通，较差</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3425"/>
      <c r="Q17" s="1571" t="str">
        <f>B17</f>
        <v>交通便捷度</v>
      </c>
      <c r="R17" s="1572" t="s">
        <v>11</v>
      </c>
      <c r="S17" s="1573">
        <f>F17</f>
        <v>100</v>
      </c>
      <c r="T17" s="1572" t="s">
        <v>11</v>
      </c>
      <c r="U17" s="1573">
        <f>H17</f>
        <v>100</v>
      </c>
      <c r="V17" s="1572" t="s">
        <v>11</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1"/>
      <c r="B19" s="2600" t="s">
        <v>2548</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3425"/>
      <c r="Q19" s="1571" t="str">
        <f>B19</f>
        <v>公共配套设施</v>
      </c>
      <c r="R19" s="1572" t="s">
        <v>11</v>
      </c>
      <c r="S19" s="1573">
        <f>F19</f>
        <v>100</v>
      </c>
      <c r="T19" s="1572" t="s">
        <v>11</v>
      </c>
      <c r="U19" s="1573">
        <f>H19</f>
        <v>100</v>
      </c>
      <c r="V19" s="1572" t="s">
        <v>11</v>
      </c>
      <c r="W19" s="1573">
        <f>J19</f>
        <v>100</v>
      </c>
      <c r="X19" s="1566"/>
      <c r="Y19" s="3425"/>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2"/>
      <c r="M20" s="2134"/>
      <c r="N20" s="2134"/>
      <c r="O20" s="2141"/>
      <c r="P20" s="3425"/>
      <c r="Q20" s="1571"/>
      <c r="R20" s="1572"/>
      <c r="S20" s="1573"/>
      <c r="T20" s="1572"/>
      <c r="U20" s="1573"/>
      <c r="V20" s="1572"/>
      <c r="W20" s="1573"/>
      <c r="X20" s="1566"/>
      <c r="Y20" s="3425"/>
      <c r="Z20" s="1574"/>
      <c r="AA20" s="1575">
        <v>1</v>
      </c>
      <c r="AB20" s="1575">
        <v>1</v>
      </c>
      <c r="AC20" s="1575">
        <v>1</v>
      </c>
    </row>
    <row r="21" spans="1:29" ht="42.75">
      <c r="A21" s="531"/>
      <c r="B21" s="2593" t="s">
        <v>2560</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3425"/>
      <c r="Q21" s="2579" t="str">
        <f>B21</f>
        <v>基础设施水平</v>
      </c>
      <c r="R21" s="1572" t="s">
        <v>11</v>
      </c>
      <c r="S21" s="1573">
        <f>F21</f>
        <v>100</v>
      </c>
      <c r="T21" s="1572" t="s">
        <v>11</v>
      </c>
      <c r="U21" s="1573">
        <f>H21</f>
        <v>100</v>
      </c>
      <c r="V21" s="1572" t="s">
        <v>11</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599"/>
      <c r="L22" s="2142"/>
      <c r="M22" s="2134"/>
      <c r="N22" s="2134"/>
      <c r="O22" s="2141"/>
      <c r="P22" s="3425"/>
      <c r="Q22" s="2579"/>
      <c r="R22" s="1572"/>
      <c r="S22" s="1573"/>
      <c r="T22" s="1572"/>
      <c r="U22" s="1573"/>
      <c r="V22" s="1572"/>
      <c r="W22" s="1573"/>
      <c r="X22" s="2581"/>
      <c r="Y22" s="3425"/>
      <c r="Z22" s="2580"/>
      <c r="AA22" s="1575">
        <v>1</v>
      </c>
      <c r="AB22" s="1575">
        <v>1</v>
      </c>
      <c r="AC22" s="1575">
        <v>1</v>
      </c>
    </row>
    <row r="23" spans="1:29" ht="85.5">
      <c r="A23" s="531"/>
      <c r="B23" s="870" t="s">
        <v>296</v>
      </c>
      <c r="C23" s="871" t="str">
        <f>估价对象房地状况!C9</f>
        <v>贾平凹文化艺术馆、鹦鹉寺公园、西安工程大学、北京大学光华管理学院西安分院，较好</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3425"/>
      <c r="Q23" s="1571" t="str">
        <f>B23</f>
        <v>自然及人文环境</v>
      </c>
      <c r="R23" s="1572" t="s">
        <v>11</v>
      </c>
      <c r="S23" s="1573">
        <f>F23</f>
        <v>100</v>
      </c>
      <c r="T23" s="1572" t="s">
        <v>11</v>
      </c>
      <c r="U23" s="1573">
        <f>H23</f>
        <v>100</v>
      </c>
      <c r="V23" s="1572" t="s">
        <v>11</v>
      </c>
      <c r="W23" s="1573">
        <f>J23</f>
        <v>100</v>
      </c>
      <c r="X23" s="1566"/>
      <c r="Y23" s="3425"/>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1"/>
      <c r="B25" s="1895" t="s">
        <v>2258</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25"/>
      <c r="Q27" s="1149" t="str">
        <f t="shared" si="11"/>
        <v>道路级别</v>
      </c>
      <c r="R27" s="1567" t="s">
        <v>11</v>
      </c>
      <c r="S27" s="1568">
        <f>F27</f>
        <v>100</v>
      </c>
      <c r="T27" s="1567" t="s">
        <v>11</v>
      </c>
      <c r="U27" s="1568">
        <f>H27</f>
        <v>100</v>
      </c>
      <c r="V27" s="1567" t="s">
        <v>11</v>
      </c>
      <c r="W27" s="1568">
        <f>J27</f>
        <v>100</v>
      </c>
      <c r="X27" s="1569"/>
      <c r="Y27" s="3425"/>
      <c r="Z27" s="1148"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7" t="s">
        <v>2757</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3426" t="s">
        <v>549</v>
      </c>
      <c r="Q32" s="1571" t="str">
        <f t="shared" si="11"/>
        <v>建筑类型</v>
      </c>
      <c r="R32" s="1572" t="s">
        <v>11</v>
      </c>
      <c r="S32" s="1573">
        <f t="shared" si="12"/>
        <v>100</v>
      </c>
      <c r="T32" s="1572" t="s">
        <v>11</v>
      </c>
      <c r="U32" s="1573">
        <f t="shared" si="13"/>
        <v>100</v>
      </c>
      <c r="V32" s="1572" t="s">
        <v>11</v>
      </c>
      <c r="W32" s="1573">
        <f t="shared" si="14"/>
        <v>100</v>
      </c>
      <c r="X32" s="1566"/>
      <c r="Y32" s="3427" t="s">
        <v>549</v>
      </c>
      <c r="Z32" s="1574" t="str">
        <f t="shared" si="15"/>
        <v>建筑类型</v>
      </c>
      <c r="AA32" s="1575">
        <f t="shared" si="3"/>
        <v>1</v>
      </c>
      <c r="AB32" s="1575">
        <f t="shared" si="4"/>
        <v>1</v>
      </c>
      <c r="AC32" s="1575">
        <f t="shared" si="5"/>
        <v>1</v>
      </c>
    </row>
    <row r="33" spans="1:29" s="1337"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40"/>
      <c r="M33" s="2171"/>
      <c r="N33" s="2171"/>
      <c r="O33" s="2143"/>
      <c r="P33" s="3427"/>
      <c r="Q33" s="1604" t="str">
        <f t="shared" si="11"/>
        <v>项目建筑规模</v>
      </c>
      <c r="R33" s="1576" t="s">
        <v>11</v>
      </c>
      <c r="S33" s="1577">
        <f t="shared" si="12"/>
        <v>100</v>
      </c>
      <c r="T33" s="1576" t="s">
        <v>11</v>
      </c>
      <c r="U33" s="1577">
        <f t="shared" si="13"/>
        <v>100</v>
      </c>
      <c r="V33" s="1576" t="s">
        <v>11</v>
      </c>
      <c r="W33" s="1577">
        <f t="shared" si="14"/>
        <v>100</v>
      </c>
      <c r="X33" s="1578"/>
      <c r="Y33" s="3427"/>
      <c r="Z33" s="1579" t="str">
        <f t="shared" si="15"/>
        <v>项目建筑规模</v>
      </c>
      <c r="AA33" s="1575">
        <f t="shared" si="3"/>
        <v>1</v>
      </c>
      <c r="AB33" s="1575">
        <f t="shared" si="4"/>
        <v>1</v>
      </c>
      <c r="AC33" s="1575">
        <f t="shared" si="5"/>
        <v>1</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8" customFormat="1" ht="15">
      <c r="A37" s="599"/>
      <c r="B37" s="526" t="s">
        <v>729</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c r="L37" s="2135"/>
      <c r="M37" s="2136"/>
      <c r="N37" s="2136"/>
      <c r="O37" s="2137"/>
      <c r="P37" s="3427"/>
      <c r="Q37" s="1149" t="str">
        <f t="shared" si="11"/>
        <v>成新度</v>
      </c>
      <c r="R37" s="1567" t="s">
        <v>11</v>
      </c>
      <c r="S37" s="1568">
        <f t="shared" si="12"/>
        <v>100</v>
      </c>
      <c r="T37" s="1567" t="s">
        <v>11</v>
      </c>
      <c r="U37" s="1568">
        <f t="shared" si="13"/>
        <v>100</v>
      </c>
      <c r="V37" s="1567" t="s">
        <v>11</v>
      </c>
      <c r="W37" s="1568">
        <f t="shared" si="14"/>
        <v>100</v>
      </c>
      <c r="X37" s="1569"/>
      <c r="Y37" s="3427"/>
      <c r="Z37" s="1148" t="str">
        <f t="shared" si="15"/>
        <v>成新度</v>
      </c>
      <c r="AA37" s="1570">
        <f t="shared" si="3"/>
        <v>1</v>
      </c>
      <c r="AB37" s="1570">
        <f t="shared" si="4"/>
        <v>1</v>
      </c>
      <c r="AC37" s="1570">
        <f t="shared" si="5"/>
        <v>1</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3427" t="s">
        <v>549</v>
      </c>
      <c r="Q38" s="1571" t="str">
        <f t="shared" si="11"/>
        <v>物业管理</v>
      </c>
      <c r="R38" s="1572" t="s">
        <v>11</v>
      </c>
      <c r="S38" s="1573">
        <f t="shared" si="12"/>
        <v>100</v>
      </c>
      <c r="T38" s="1572" t="s">
        <v>11</v>
      </c>
      <c r="U38" s="1573">
        <f t="shared" si="13"/>
        <v>100</v>
      </c>
      <c r="V38" s="1572" t="s">
        <v>11</v>
      </c>
      <c r="W38" s="1573">
        <f t="shared" si="14"/>
        <v>100</v>
      </c>
      <c r="X38" s="1566"/>
      <c r="Y38" s="3427" t="s">
        <v>549</v>
      </c>
      <c r="Z38" s="1574" t="str">
        <f t="shared" si="15"/>
        <v>物业管理</v>
      </c>
      <c r="AA38" s="1575">
        <f t="shared" si="3"/>
        <v>1</v>
      </c>
      <c r="AB38" s="1575">
        <f t="shared" si="4"/>
        <v>1</v>
      </c>
      <c r="AC38" s="1575">
        <f t="shared" si="5"/>
        <v>1</v>
      </c>
    </row>
    <row r="39" spans="1:29" ht="15">
      <c r="A39" s="593"/>
      <c r="B39" s="1895" t="s">
        <v>2566</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27"/>
      <c r="Q44" s="1149">
        <f t="shared" si="11"/>
        <v>111</v>
      </c>
      <c r="R44" s="1567" t="s">
        <v>11</v>
      </c>
      <c r="S44" s="1568">
        <f t="shared" si="12"/>
        <v>100</v>
      </c>
      <c r="T44" s="1567" t="s">
        <v>11</v>
      </c>
      <c r="U44" s="1568">
        <f t="shared" si="13"/>
        <v>100</v>
      </c>
      <c r="V44" s="1567" t="s">
        <v>11</v>
      </c>
      <c r="W44" s="1568">
        <f t="shared" si="14"/>
        <v>100</v>
      </c>
      <c r="X44" s="1569"/>
      <c r="Y44" s="3427"/>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502"/>
      <c r="Q46" s="1571">
        <f t="shared" si="11"/>
        <v>111</v>
      </c>
      <c r="R46" s="1572" t="s">
        <v>10</v>
      </c>
      <c r="S46" s="1573">
        <f t="shared" si="12"/>
        <v>100</v>
      </c>
      <c r="T46" s="1572" t="s">
        <v>10</v>
      </c>
      <c r="U46" s="1573">
        <f t="shared" si="13"/>
        <v>100</v>
      </c>
      <c r="V46" s="1572" t="s">
        <v>10</v>
      </c>
      <c r="W46" s="1573">
        <f t="shared" si="14"/>
        <v>100</v>
      </c>
      <c r="X46" s="1566"/>
      <c r="Y46" s="3502"/>
      <c r="Z46" s="1574">
        <f t="shared" si="15"/>
        <v>111</v>
      </c>
      <c r="AA46" s="1575">
        <f t="shared" si="3"/>
        <v>1</v>
      </c>
      <c r="AB46" s="1575">
        <f t="shared" si="4"/>
        <v>1</v>
      </c>
      <c r="AC46" s="1575">
        <f t="shared" si="5"/>
        <v>1</v>
      </c>
    </row>
    <row r="47" spans="1:29" ht="15">
      <c r="A47" s="606" t="s">
        <v>735</v>
      </c>
      <c r="B47" s="886"/>
      <c r="C47" s="2627" t="s">
        <v>9</v>
      </c>
      <c r="D47" s="2628"/>
      <c r="E47" s="2629">
        <v>10000</v>
      </c>
      <c r="F47" s="2630"/>
      <c r="G47" s="2631">
        <v>10000</v>
      </c>
      <c r="H47" s="2632"/>
      <c r="I47" s="2629">
        <v>10000</v>
      </c>
      <c r="J47" s="2632"/>
      <c r="K47" s="1605"/>
      <c r="L47" s="2144"/>
      <c r="M47" s="2145"/>
      <c r="N47" s="2134"/>
      <c r="O47" s="2145"/>
      <c r="P47" s="3390" t="str">
        <f>A47</f>
        <v>成交单价（元/平方米）</v>
      </c>
      <c r="Q47" s="3390"/>
      <c r="R47" s="3501">
        <f>E47</f>
        <v>10000</v>
      </c>
      <c r="S47" s="3501"/>
      <c r="T47" s="3501">
        <f>G47</f>
        <v>10000</v>
      </c>
      <c r="U47" s="3501"/>
      <c r="V47" s="3501">
        <f>I47</f>
        <v>10000</v>
      </c>
      <c r="W47" s="3501"/>
      <c r="X47" s="1558"/>
      <c r="Y47" s="1580"/>
      <c r="Z47" s="1558"/>
      <c r="AA47" s="1558"/>
      <c r="AB47" s="1558"/>
      <c r="AC47" s="1558"/>
    </row>
    <row r="48" spans="1:29" ht="15.75" thickBot="1">
      <c r="A48" s="614" t="s">
        <v>2762</v>
      </c>
      <c r="B48" s="887"/>
      <c r="C48" s="2633">
        <f>R49</f>
        <v>10000</v>
      </c>
      <c r="D48" s="2634"/>
      <c r="E48" s="2635">
        <f>R48</f>
        <v>10000</v>
      </c>
      <c r="F48" s="2635"/>
      <c r="G48" s="2633">
        <f>T48</f>
        <v>10000</v>
      </c>
      <c r="H48" s="2634"/>
      <c r="I48" s="2635">
        <f>V48</f>
        <v>10000</v>
      </c>
      <c r="J48" s="2634"/>
      <c r="K48" s="1606"/>
      <c r="L48" s="2144"/>
      <c r="M48" s="2145"/>
      <c r="N48" s="2145"/>
      <c r="O48" s="2145"/>
      <c r="P48" s="3390" t="str">
        <f>A48</f>
        <v>比较价格（元/平方米）</v>
      </c>
      <c r="Q48" s="3390"/>
      <c r="R48" s="3501">
        <f>IF(F1="售价",ROUND(PRODUCT(R47,AA7:AA46),0),ROUND(PRODUCT(R47,AA7:AA46),1))</f>
        <v>10000</v>
      </c>
      <c r="S48" s="3501"/>
      <c r="T48" s="3501">
        <f>IF(F1="售价",ROUND(PRODUCT(T47,AB7:AB46),0),ROUND(PRODUCT(T47,AB7:AB46),1))</f>
        <v>10000</v>
      </c>
      <c r="U48" s="3501"/>
      <c r="V48" s="3501">
        <f>IF(F1="售价",ROUND(PRODUCT(V47,AC7:AC46),0),ROUND(PRODUCT(V47,AC7:AC46),1))</f>
        <v>10000</v>
      </c>
      <c r="W48" s="3501"/>
      <c r="X48" s="1558"/>
      <c r="Y48" s="1558"/>
      <c r="Z48" s="1558"/>
      <c r="AA48" s="1558"/>
      <c r="AB48" s="1558"/>
      <c r="AC48" s="1558"/>
    </row>
    <row r="49" spans="1:29" ht="15.75" thickBot="1">
      <c r="A49" s="620" t="s">
        <v>2934</v>
      </c>
      <c r="B49" s="621"/>
      <c r="C49" s="2636">
        <f>R49</f>
        <v>10000</v>
      </c>
      <c r="D49" s="2636"/>
      <c r="E49" s="2636"/>
      <c r="F49" s="2636"/>
      <c r="G49" s="2636"/>
      <c r="H49" s="2636"/>
      <c r="I49" s="2636"/>
      <c r="J49" s="2636"/>
      <c r="K49" s="1607"/>
      <c r="L49" s="2144"/>
      <c r="M49" s="2145"/>
      <c r="N49" s="2145"/>
      <c r="O49" s="2145"/>
      <c r="P49" s="3387" t="str">
        <f>A49</f>
        <v>估价对象XX用房的比较价格（楼面单价，元/平方米）</v>
      </c>
      <c r="Q49" s="3388"/>
      <c r="R49" s="3500">
        <f>IF(F1="售价",ROUND(AVERAGE(R48:V48),0),ROUND(AVERAGE(R48:V48),1))</f>
        <v>10000</v>
      </c>
      <c r="S49" s="3500"/>
      <c r="T49" s="3500"/>
      <c r="U49" s="3500"/>
      <c r="V49" s="3500"/>
      <c r="W49" s="350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0</v>
      </c>
      <c r="F52" s="626" t="str">
        <f>IF(OR(E52&gt;=0.3,E52&lt;=-0.3),"超过30%","")</f>
        <v/>
      </c>
      <c r="G52" s="625">
        <f>IF(G47&lt;G48,G48/G47-1,G47/G48-1)</f>
        <v>0</v>
      </c>
      <c r="H52" s="626" t="str">
        <f>IF(OR(G52&gt;=0.3,G52&lt;=-0.3),"超过30%","")</f>
        <v/>
      </c>
      <c r="I52" s="625">
        <f>IF(I47&lt;I48,I48/I47-1,I47/I48-1)</f>
        <v>0</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0</v>
      </c>
      <c r="F53" s="626" t="str">
        <f>IF(OR(E53&gt;=0.2,E53&lt;=-0.2),"超过20%","")</f>
        <v/>
      </c>
      <c r="G53" s="625">
        <f>IF(G48&lt;I48,I48/G48-1,G48/I48-1)</f>
        <v>0</v>
      </c>
      <c r="H53" s="626" t="str">
        <f>IF(OR(G53&gt;=0.2,G53&lt;=-0.2),"超过20%","")</f>
        <v/>
      </c>
      <c r="I53" s="625">
        <f>IF(I48&lt;E48,E48/I48-1,I48/E48-1)</f>
        <v>0</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0</v>
      </c>
      <c r="F54" s="626" t="str">
        <f>IF(OR(E54&gt;=0.3,E54&lt;=-0.3),"超过30%","")</f>
        <v/>
      </c>
      <c r="G54" s="625">
        <f>IF(G47&lt;I47,I47/G47-1,G47/I47-1)</f>
        <v>0</v>
      </c>
      <c r="H54" s="626" t="str">
        <f>IF(OR(G54&gt;=0.3,G54&lt;=-0.3),"超过30%","")</f>
        <v/>
      </c>
      <c r="I54" s="625">
        <f>IF(I47&lt;E47,E47/I47-1,I47/E47-1)</f>
        <v>0</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576</v>
      </c>
      <c r="B63" s="664" t="s">
        <v>533</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2259</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745</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746</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747</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200000(含)-300000</v>
      </c>
      <c r="H102" s="707" t="str">
        <f t="shared" si="23"/>
        <v>300000(含)-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v>
      </c>
      <c r="E103" s="729">
        <v>100000</v>
      </c>
      <c r="F103" s="729">
        <v>150000</v>
      </c>
      <c r="G103" s="729">
        <v>200000</v>
      </c>
      <c r="H103" s="729">
        <v>300000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v>104</v>
      </c>
      <c r="H104" s="670">
        <v>105</v>
      </c>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2558</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732</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3" sqref="E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2997</v>
      </c>
      <c r="D1" s="3124" t="s">
        <v>951</v>
      </c>
      <c r="E1" s="2387" t="s">
        <v>2376</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t="e">
        <f ca="1">C40+J29+L46</f>
        <v>#N/A</v>
      </c>
      <c r="C2" s="2057"/>
      <c r="D2" s="2055"/>
      <c r="E2" s="2056"/>
      <c r="F2" s="2056"/>
      <c r="G2" s="1589"/>
      <c r="H2" s="2057"/>
      <c r="I2" s="2057"/>
      <c r="J2" s="2057"/>
      <c r="K2" s="2058"/>
      <c r="L2" s="2057"/>
      <c r="M2" s="2057"/>
    </row>
    <row r="3" spans="1:33" ht="18" customHeight="1" thickBot="1">
      <c r="A3" s="832" t="s">
        <v>1727</v>
      </c>
      <c r="B3" s="833">
        <f ca="1">IF(ISERROR(B2*10000/F43),0,ROUND(B2*10000/F43,0))</f>
        <v>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63" t="s">
        <v>2465</v>
      </c>
      <c r="C6" s="782" t="e">
        <f ca="1">ROUND(F6*F8*F7*(1-F9)/10000,0)</f>
        <v>#N/A</v>
      </c>
      <c r="D6" s="2497" t="s">
        <v>2464</v>
      </c>
      <c r="E6" s="783" t="s">
        <v>1738</v>
      </c>
      <c r="F6" s="784" t="e">
        <f ca="1">INDIRECT("'数据-取费表'!u"&amp;$G$1)</f>
        <v>#N/A</v>
      </c>
      <c r="G6" s="1591"/>
      <c r="H6" s="2504" t="s">
        <v>2470</v>
      </c>
      <c r="I6" s="3463" t="s">
        <v>2465</v>
      </c>
      <c r="J6" s="782" t="e">
        <f ca="1">ROUND(M6*M8*M7*(1-M9)/10000,0)</f>
        <v>#N/A</v>
      </c>
      <c r="K6" s="340" t="s">
        <v>1737</v>
      </c>
      <c r="L6" s="783" t="s">
        <v>1738</v>
      </c>
      <c r="M6" s="784" t="e">
        <f ca="1">INDIRECT("'数据-取费表'!z"&amp;$G$1)</f>
        <v>#N/A</v>
      </c>
    </row>
    <row r="7" spans="1:33" ht="18" customHeight="1">
      <c r="A7" s="2500"/>
      <c r="B7" s="3464"/>
      <c r="C7" s="787"/>
      <c r="D7" s="788"/>
      <c r="E7" s="783" t="s">
        <v>1739</v>
      </c>
      <c r="F7" s="784" t="e">
        <f ca="1">IF(INDIRECT("'数据-取费表'!ah"&amp;$G$1)="",INDIRECT("'数据-取费表'!k"&amp;$G$1),INDIRECT("'数据-取费表'!ah"&amp;$G$1))</f>
        <v>#N/A</v>
      </c>
      <c r="G7" s="1591"/>
      <c r="H7" s="2489"/>
      <c r="I7" s="3464"/>
      <c r="J7" s="787"/>
      <c r="K7" s="788"/>
      <c r="L7" s="783" t="s">
        <v>1739</v>
      </c>
      <c r="M7" s="784" t="e">
        <f ca="1">F7</f>
        <v>#N/A</v>
      </c>
    </row>
    <row r="8" spans="1:33" ht="18" customHeight="1">
      <c r="A8" s="2493"/>
      <c r="B8" s="3465"/>
      <c r="C8" s="787"/>
      <c r="D8" s="788"/>
      <c r="E8" s="783" t="s">
        <v>1740</v>
      </c>
      <c r="F8" s="784" t="e">
        <f ca="1">INDIRECT("'数据-取费表'!ai"&amp;$G$1)</f>
        <v>#N/A</v>
      </c>
      <c r="G8" s="1591"/>
      <c r="H8" s="2489"/>
      <c r="I8" s="3465"/>
      <c r="J8" s="787"/>
      <c r="K8" s="788"/>
      <c r="L8" s="783" t="s">
        <v>1740</v>
      </c>
      <c r="M8" s="784" t="e">
        <f ca="1">INDIRECT("'数据-取费表'!ai"&amp;$G$1)</f>
        <v>#N/A</v>
      </c>
    </row>
    <row r="9" spans="1:33" ht="18" customHeight="1">
      <c r="A9" s="785"/>
      <c r="B9" s="3466"/>
      <c r="C9" s="787"/>
      <c r="D9" s="788"/>
      <c r="E9" s="783" t="s">
        <v>1741</v>
      </c>
      <c r="F9" s="793" t="e">
        <f ca="1">INDIRECT("'数据-取费表'!w"&amp;$G$1)</f>
        <v>#N/A</v>
      </c>
      <c r="G9" s="1591"/>
      <c r="H9" s="2505"/>
      <c r="I9" s="3465"/>
      <c r="J9" s="787"/>
      <c r="K9" s="788"/>
      <c r="L9" s="794" t="s">
        <v>1741</v>
      </c>
      <c r="M9" s="795" t="e">
        <f ca="1">INDIRECT("'数据-取费表'!ab"&amp;$G$1)</f>
        <v>#N/A</v>
      </c>
    </row>
    <row r="10" spans="1:33" ht="18" customHeight="1">
      <c r="A10" s="1830" t="s">
        <v>2468</v>
      </c>
      <c r="B10" s="2494" t="s">
        <v>2461</v>
      </c>
      <c r="C10" s="798">
        <f ca="1">ROUND(IF(F10="押一",C6/12*F11,IF(F10="押二",C6/12*2*F11,IF(F10="押三",C6/12*3*F11,C11*F11))),0)</f>
        <v>0</v>
      </c>
      <c r="D10" s="2501" t="s">
        <v>2975</v>
      </c>
      <c r="E10" s="2498" t="s">
        <v>2466</v>
      </c>
      <c r="F10" s="2621"/>
      <c r="G10" s="1591"/>
      <c r="H10" s="2561" t="s">
        <v>2471</v>
      </c>
      <c r="I10" s="2566" t="s">
        <v>2461</v>
      </c>
      <c r="J10" s="782">
        <f ca="1">ROUND(IF(M10="押一",J6/12*M11,IF(M10="押二",J6/12*2*M11,IF(M10="押三",J6/12*3*M11,J11*M11))),0)</f>
        <v>0</v>
      </c>
      <c r="K10" s="2501" t="s">
        <v>2975</v>
      </c>
      <c r="L10" s="2498" t="s">
        <v>2466</v>
      </c>
      <c r="M10" s="2621"/>
    </row>
    <row r="11" spans="1:33" ht="18" customHeight="1">
      <c r="A11" s="789"/>
      <c r="B11" s="2495" t="s">
        <v>2575</v>
      </c>
      <c r="C11" s="2499"/>
      <c r="D11" s="788"/>
      <c r="E11" s="2498" t="s">
        <v>2467</v>
      </c>
      <c r="F11" s="795">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1"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1884</v>
      </c>
      <c r="B14" s="783" t="s">
        <v>644</v>
      </c>
      <c r="C14" s="803" t="e">
        <f ca="1">INDIRECT("'数据-取费表'!m"&amp;$G$1)+INDIRECT("'数据-取费表'!t"&amp;$G$1)</f>
        <v>#N/A</v>
      </c>
      <c r="D14" s="1979" t="s">
        <v>1745</v>
      </c>
      <c r="E14" s="1980"/>
      <c r="F14" s="804"/>
      <c r="G14" s="1591"/>
      <c r="H14" s="1648" t="s">
        <v>1830</v>
      </c>
      <c r="I14" s="2231" t="s">
        <v>2828</v>
      </c>
      <c r="J14" s="53" t="e">
        <f ca="1">C29</f>
        <v>#N/A</v>
      </c>
      <c r="K14" s="26"/>
      <c r="L14" s="800"/>
      <c r="M14" s="801"/>
    </row>
    <row r="15" spans="1:33" s="2064" customFormat="1" ht="18" customHeight="1" thickBot="1">
      <c r="A15" s="1647" t="s">
        <v>1885</v>
      </c>
      <c r="B15" s="783" t="s">
        <v>646</v>
      </c>
      <c r="C15" s="53" t="e">
        <f ca="1">ROUND(C14*F15,0)</f>
        <v>#N/A</v>
      </c>
      <c r="D15" s="805" t="s">
        <v>1746</v>
      </c>
      <c r="E15" s="805" t="s">
        <v>1747</v>
      </c>
      <c r="F15" s="806">
        <f>'数据-取费表'!B33</f>
        <v>0.03</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t="e">
        <f ca="1">ROUND(INDIRECT("'数据-取费表'!m"&amp;$G$1)*F16,0)</f>
        <v>#N/A</v>
      </c>
      <c r="D16" s="783" t="s">
        <v>1746</v>
      </c>
      <c r="E16" s="783" t="s">
        <v>1747</v>
      </c>
      <c r="F16" s="808" t="e">
        <f ca="1">IF(INDIRECT("'数据-取费表'!c"&amp;$G$1)="住宅",'数据-取费表'!B34,0)</f>
        <v>#N/A</v>
      </c>
      <c r="G16" s="1591"/>
      <c r="H16" s="1829" t="s">
        <v>1748</v>
      </c>
      <c r="I16" s="1827" t="s">
        <v>1749</v>
      </c>
      <c r="J16" s="791" t="e">
        <f ca="1">ROUND(J17+J22+J23+J24,0)</f>
        <v>#N/A</v>
      </c>
      <c r="K16" s="1821" t="s">
        <v>1750</v>
      </c>
      <c r="L16" s="2486"/>
      <c r="M16" s="2491"/>
    </row>
    <row r="17" spans="1:33" s="2064" customFormat="1" ht="18" customHeight="1">
      <c r="A17" s="1647" t="s">
        <v>1887</v>
      </c>
      <c r="B17" s="783" t="s">
        <v>652</v>
      </c>
      <c r="C17" s="53" t="e">
        <f ca="1">ROUND(F17*(F43+INDIRECT("'数据-取费表'!S"&amp;$G$1))/10000,0)</f>
        <v>#N/A</v>
      </c>
      <c r="D17" s="783" t="s">
        <v>1751</v>
      </c>
      <c r="E17" s="783" t="s">
        <v>1752</v>
      </c>
      <c r="F17" s="56">
        <f>'数据-取费表'!B35</f>
        <v>200</v>
      </c>
      <c r="G17" s="1592"/>
      <c r="H17" s="1648" t="s">
        <v>1830</v>
      </c>
      <c r="I17" s="783" t="s">
        <v>655</v>
      </c>
      <c r="J17" s="53" t="e">
        <f ca="1">ROUND(IF(项目基本情况!B11="自然人",J5*M17,J18+J19+J20),0)</f>
        <v>#N/A</v>
      </c>
      <c r="K17" s="2485" t="s">
        <v>1753</v>
      </c>
      <c r="L17" s="2484"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t="e">
        <f ca="1">ROUND(C14*F18,0)</f>
        <v>#N/A</v>
      </c>
      <c r="D18" s="783" t="s">
        <v>1746</v>
      </c>
      <c r="E18" s="783" t="s">
        <v>1747</v>
      </c>
      <c r="F18" s="808">
        <f>'数据-取费表'!B36</f>
        <v>1.4999999999999999E-2</v>
      </c>
      <c r="G18" s="1592"/>
      <c r="H18" s="1647" t="s">
        <v>1884</v>
      </c>
      <c r="I18" s="783" t="s">
        <v>1755</v>
      </c>
      <c r="J18" s="53" t="e">
        <f ca="1">ROUND(J5*M18/1.05,1)</f>
        <v>#N/A</v>
      </c>
      <c r="K18" s="2484"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661</v>
      </c>
      <c r="C19" s="53" t="e">
        <f ca="1">SUM(C14:C18)</f>
        <v>#N/A</v>
      </c>
      <c r="D19" s="260" t="s">
        <v>1757</v>
      </c>
      <c r="E19" s="1982"/>
      <c r="F19" s="56"/>
      <c r="G19" s="1591"/>
      <c r="H19" s="1647" t="s">
        <v>1885</v>
      </c>
      <c r="I19" s="783" t="s">
        <v>1758</v>
      </c>
      <c r="J19" s="53" t="e">
        <f ca="1">IF(K19="按租金收入计税",ROUND(J5*M19,1),ROUND(C29*F33*0.7,1))</f>
        <v>#N/A</v>
      </c>
      <c r="K19" s="810" t="s">
        <v>664</v>
      </c>
      <c r="L19" s="783" t="s">
        <v>1747</v>
      </c>
      <c r="M19" s="808">
        <f>IF(K19="按租金收入计税",'数据-取费表'!B51,'数据-取费表'!B50)</f>
        <v>1.2E-2</v>
      </c>
    </row>
    <row r="20" spans="1:33" s="2064" customFormat="1" ht="18" customHeight="1">
      <c r="A20" s="1648" t="s">
        <v>1889</v>
      </c>
      <c r="B20" s="783" t="s">
        <v>665</v>
      </c>
      <c r="C20" s="53" t="e">
        <f ca="1">ROUND(C19*F20,0)</f>
        <v>#N/A</v>
      </c>
      <c r="D20" s="811" t="s">
        <v>1759</v>
      </c>
      <c r="E20" s="783" t="s">
        <v>1747</v>
      </c>
      <c r="F20" s="808">
        <f>'数据-取费表'!B37</f>
        <v>0.03</v>
      </c>
      <c r="G20" s="1592"/>
      <c r="H20" s="1650" t="s">
        <v>1880</v>
      </c>
      <c r="I20" s="340" t="s">
        <v>1760</v>
      </c>
      <c r="J20" s="54" t="e">
        <f ca="1">ROUND(M20*M21/10000,0)</f>
        <v>#N/A</v>
      </c>
      <c r="K20" s="813" t="s">
        <v>1761</v>
      </c>
      <c r="L20" s="783" t="s">
        <v>1762</v>
      </c>
      <c r="M20" s="639">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0.03</v>
      </c>
      <c r="G21" s="1592"/>
      <c r="H21" s="2506"/>
      <c r="I21" s="792"/>
      <c r="J21" s="69"/>
      <c r="K21" s="815"/>
      <c r="L21" s="783" t="s">
        <v>1766</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单利计息。建造成本、管理费用、销售费用产生的利息。</v>
      </c>
      <c r="E22" s="1982"/>
      <c r="F22" s="56"/>
      <c r="G22" s="1591"/>
      <c r="H22" s="1648" t="s">
        <v>1889</v>
      </c>
      <c r="I22" s="783" t="s">
        <v>1768</v>
      </c>
      <c r="J22" s="53" t="e">
        <f ca="1">ROUND(J14*M22,0)</f>
        <v>#N/A</v>
      </c>
      <c r="K22" s="2484" t="s">
        <v>1769</v>
      </c>
      <c r="L22" s="783" t="s">
        <v>1747</v>
      </c>
      <c r="M22" s="816" t="e">
        <f ca="1">INDIRECT("'数据-取费表'!Ak"&amp;$G$1)</f>
        <v>#N/A</v>
      </c>
    </row>
    <row r="23" spans="1:33" s="2064" customFormat="1" ht="18" customHeight="1">
      <c r="A23" s="1647" t="s">
        <v>1831</v>
      </c>
      <c r="B23" s="783" t="s">
        <v>2537</v>
      </c>
      <c r="C23" s="53" t="e">
        <f ca="1">ROUND(IF('数据-取费表'!B22&lt;=1,(C19+C20)*F24*F23/2,(C19+C20)*(POWER((1+F24),F23/2)-1)),0)</f>
        <v>#N/A</v>
      </c>
      <c r="D23" s="2571" t="str">
        <f>IF(F23&lt;=1,"(建造成本+管理费用)×利率×(建设周期÷2)","(建造成本+管理费用)×((1+利率)^(建设周期÷2)-1)")</f>
        <v>(建造成本+管理费用)×利率×(建设周期÷2)</v>
      </c>
      <c r="E23" s="783" t="s">
        <v>1770</v>
      </c>
      <c r="F23" s="639">
        <f>'数据-取费表'!B20</f>
        <v>1</v>
      </c>
      <c r="G23" s="1592"/>
      <c r="H23" s="1648" t="s">
        <v>1890</v>
      </c>
      <c r="I23" s="783" t="s">
        <v>678</v>
      </c>
      <c r="J23" s="53" t="e">
        <f ca="1">ROUND(J13*M23,0)</f>
        <v>#N/A</v>
      </c>
      <c r="K23" s="2484" t="s">
        <v>1771</v>
      </c>
      <c r="L23" s="783" t="s">
        <v>1747</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销售费用×利率×(建设周期÷2)</v>
      </c>
      <c r="E24" s="783" t="s">
        <v>1773</v>
      </c>
      <c r="F24" s="818">
        <f ca="1">'数据-取费表'!B40</f>
        <v>4.3499999999999997E-2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1775</v>
      </c>
      <c r="E25" s="1982"/>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1779</v>
      </c>
      <c r="F26" s="793" t="e">
        <f ca="1">INDIRECT("'数据-取费表'!q"&amp;$G$1)</f>
        <v>#N/A</v>
      </c>
      <c r="G26" s="1591"/>
      <c r="H26" s="2502" t="s">
        <v>1780</v>
      </c>
      <c r="I26" s="2232" t="s">
        <v>2829</v>
      </c>
      <c r="J26" s="782" t="e">
        <f ca="1">IF(J5&lt;&gt;0,ROUND(J25*(1-((1+M28)/(1+M26))^M27)/(M26-M28),0),0)</f>
        <v>#N/A</v>
      </c>
      <c r="K26" s="813" t="s">
        <v>1781</v>
      </c>
      <c r="L26" s="783" t="s">
        <v>2421</v>
      </c>
      <c r="M26" s="793" t="e">
        <f ca="1">INDIRECT("'数据-取费表'!I"&amp;$G$1)</f>
        <v>#N/A</v>
      </c>
    </row>
    <row r="27" spans="1:33" ht="18" customHeight="1">
      <c r="A27" s="1647" t="s">
        <v>1832</v>
      </c>
      <c r="B27" s="783" t="s">
        <v>685</v>
      </c>
      <c r="C27" s="53" t="e">
        <f ca="1">ROUND(F21*F26,4)</f>
        <v>#N/A</v>
      </c>
      <c r="D27" s="811" t="s">
        <v>1782</v>
      </c>
      <c r="E27" s="805"/>
      <c r="F27" s="806"/>
      <c r="G27" s="1591"/>
      <c r="H27" s="2503"/>
      <c r="I27" s="786"/>
      <c r="J27" s="787"/>
      <c r="K27" s="820" t="s">
        <v>1783</v>
      </c>
      <c r="L27" s="783" t="s">
        <v>1784</v>
      </c>
      <c r="M27" s="821" t="e">
        <f ca="1">INDIRECT("'数据-取费表'!ag"&amp;$G$1)</f>
        <v>#N/A</v>
      </c>
    </row>
    <row r="28" spans="1:33" s="2064" customFormat="1" ht="18" customHeight="1">
      <c r="A28" s="1649" t="s">
        <v>1841</v>
      </c>
      <c r="B28" s="783" t="s">
        <v>686</v>
      </c>
      <c r="C28" s="53">
        <f>ROUND(F28/(1+'数据-取费表'!C42),4)</f>
        <v>5.2400000000000002E-2</v>
      </c>
      <c r="D28" s="811" t="s">
        <v>2301</v>
      </c>
      <c r="E28" s="783" t="s">
        <v>1785</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t="e">
        <f ca="1">ROUND(C31+C36+C37+C38,0)</f>
        <v>#N/A</v>
      </c>
      <c r="D30" s="1821" t="s">
        <v>1791</v>
      </c>
      <c r="E30" s="2486"/>
      <c r="F30" s="2491"/>
      <c r="G30" s="2062"/>
      <c r="H30" s="2065"/>
      <c r="I30" s="2066"/>
      <c r="J30" s="2067"/>
      <c r="K30" s="2068"/>
      <c r="L30" s="2069"/>
      <c r="M30" s="2070"/>
    </row>
    <row r="31" spans="1:33" ht="18" customHeight="1">
      <c r="A31" s="1648" t="s">
        <v>1830</v>
      </c>
      <c r="B31" s="783" t="s">
        <v>655</v>
      </c>
      <c r="C31" s="53" t="e">
        <f ca="1">ROUND(IF(项目基本情况!B11="自然人",C5*F31,C32+C33+C34),1)</f>
        <v>#N/A</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t="e">
        <f ca="1">ROUND(C5*F32/1.05,1)</f>
        <v>#N/A</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t="e">
        <f ca="1">IF(D33="按租金收入计税",ROUND(C5*F33,1),IF(D33="按房产原值计税",ROUND(C29*F33*0.7,1),INDIRECT("'数据-取费表'!Aj"&amp;$G$1)))</f>
        <v>#N/A</v>
      </c>
      <c r="D33" s="810" t="s">
        <v>1680</v>
      </c>
      <c r="E33" s="783" t="s">
        <v>1796</v>
      </c>
      <c r="F33" s="808">
        <f>IF(D33="按租金收入计税",'数据-取费表'!B51,'数据-取费表'!B50)</f>
        <v>1.2E-2</v>
      </c>
      <c r="G33" s="2062"/>
      <c r="H33" s="2077"/>
      <c r="I33" s="2077"/>
      <c r="J33" s="2077"/>
      <c r="K33" s="2078"/>
      <c r="L33" s="2077"/>
      <c r="M33" s="2077"/>
    </row>
    <row r="34" spans="1:18" ht="18" customHeight="1">
      <c r="A34" s="1650" t="s">
        <v>1833</v>
      </c>
      <c r="B34" s="340" t="s">
        <v>1798</v>
      </c>
      <c r="C34" s="54" t="e">
        <f ca="1">ROUND(F34*F35/10000,1)</f>
        <v>#N/A</v>
      </c>
      <c r="D34" s="813" t="s">
        <v>1799</v>
      </c>
      <c r="E34" s="783" t="s">
        <v>1800</v>
      </c>
      <c r="F34" s="639">
        <f>'数据-取费表'!B52</f>
        <v>0</v>
      </c>
      <c r="G34" s="2062"/>
      <c r="H34" s="2065"/>
      <c r="I34" s="834" t="s">
        <v>1813</v>
      </c>
      <c r="J34" s="835"/>
      <c r="K34" s="2080"/>
      <c r="L34" s="2079"/>
      <c r="M34" s="2079"/>
    </row>
    <row r="35" spans="1:18" ht="18" customHeight="1">
      <c r="A35" s="814"/>
      <c r="B35" s="792"/>
      <c r="C35" s="69"/>
      <c r="D35" s="815"/>
      <c r="E35" s="783" t="s">
        <v>1801</v>
      </c>
      <c r="F35" s="784" t="e">
        <f ca="1">INDIRECT("'数据-取费表'!r"&amp;$G$1)</f>
        <v>#N/A</v>
      </c>
      <c r="G35" s="2062"/>
      <c r="H35" s="2065"/>
      <c r="I35" s="836" t="s">
        <v>1814</v>
      </c>
      <c r="J35" s="837" t="e">
        <f ca="1">ROUND(C13*J36,0)</f>
        <v>#N/A</v>
      </c>
      <c r="K35" s="2078"/>
      <c r="L35" s="2077"/>
      <c r="M35" s="2077"/>
    </row>
    <row r="36" spans="1:18" ht="18" customHeight="1">
      <c r="A36" s="1648" t="s">
        <v>1889</v>
      </c>
      <c r="B36" s="783" t="s">
        <v>1802</v>
      </c>
      <c r="C36" s="53" t="e">
        <f ca="1">ROUND(C29*F36,1)</f>
        <v>#N/A</v>
      </c>
      <c r="D36" s="1977" t="s">
        <v>1803</v>
      </c>
      <c r="E36" s="783" t="s">
        <v>1796</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678</v>
      </c>
      <c r="C37" s="53" t="e">
        <f ca="1">ROUND(C13*F37,1)</f>
        <v>#N/A</v>
      </c>
      <c r="D37" s="1977" t="s">
        <v>1804</v>
      </c>
      <c r="E37" s="783" t="s">
        <v>1796</v>
      </c>
      <c r="F37" s="817" t="e">
        <f ca="1">INDIRECT("'数据-取费表'!Al"&amp;$G$1)</f>
        <v>#N/A</v>
      </c>
      <c r="G37" s="2062"/>
      <c r="H37" s="2077"/>
      <c r="I37" s="840" t="s">
        <v>1816</v>
      </c>
      <c r="J37" s="841"/>
      <c r="K37" s="2082"/>
      <c r="L37" s="2077"/>
      <c r="M37" s="2077"/>
    </row>
    <row r="38" spans="1:18" ht="18" customHeight="1" thickBot="1">
      <c r="A38" s="2551" t="s">
        <v>1891</v>
      </c>
      <c r="B38" s="2546" t="s">
        <v>665</v>
      </c>
      <c r="C38" s="2544" t="e">
        <f ca="1">ROUND(C5*F38,1)</f>
        <v>#N/A</v>
      </c>
      <c r="D38" s="2545" t="s">
        <v>1805</v>
      </c>
      <c r="E38" s="2546" t="s">
        <v>1796</v>
      </c>
      <c r="F38" s="2542" t="e">
        <f ca="1">INDIRECT("'数据-取费表'!Am"&amp;$G$1)</f>
        <v>#N/A</v>
      </c>
      <c r="G38" s="2062"/>
      <c r="H38" s="2077"/>
      <c r="I38" s="842" t="s">
        <v>1817</v>
      </c>
      <c r="J38" s="843"/>
      <c r="K38" s="2083"/>
      <c r="L38" s="2077"/>
      <c r="M38" s="2077"/>
    </row>
    <row r="39" spans="1:18" ht="24.6" customHeight="1" thickTop="1">
      <c r="A39" s="1829" t="s">
        <v>1894</v>
      </c>
      <c r="B39" s="3010" t="s">
        <v>2824</v>
      </c>
      <c r="C39" s="791" t="e">
        <f ca="1">C5-C30</f>
        <v>#N/A</v>
      </c>
      <c r="D39" s="2548" t="s">
        <v>1806</v>
      </c>
      <c r="E39" s="2549"/>
      <c r="F39" s="2550"/>
      <c r="G39" s="2062"/>
      <c r="H39" s="2077"/>
      <c r="I39" s="836" t="s">
        <v>1818</v>
      </c>
      <c r="J39" s="844" t="e">
        <f ca="1">ROUND(J35/C39,3)</f>
        <v>#N/A</v>
      </c>
      <c r="K39" s="2083"/>
      <c r="L39" s="2077"/>
      <c r="M39" s="2077"/>
    </row>
    <row r="40" spans="1:18" ht="18" customHeight="1">
      <c r="A40" s="780" t="s">
        <v>1895</v>
      </c>
      <c r="B40" s="2232" t="s">
        <v>2303</v>
      </c>
      <c r="C40" s="782" t="e">
        <f ca="1">ROUND(C39*(1-((1+F42)/(1+F40))^F41)/(F40-F42),0)</f>
        <v>#N/A</v>
      </c>
      <c r="D40" s="813" t="s">
        <v>1807</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2965</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1809</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5" t="e">
        <f ca="1">IF(OR(M47="住宅",D1="土地（套用方法）"),0,IF(L48&gt;J51,L60,J60))</f>
        <v>#N/A</v>
      </c>
      <c r="O46" s="2394" t="s">
        <v>2412</v>
      </c>
      <c r="P46" s="1591"/>
      <c r="Q46" s="1603"/>
      <c r="R46" s="1591"/>
    </row>
    <row r="47" spans="1:18" s="2059" customFormat="1" ht="18" customHeight="1" thickBot="1">
      <c r="A47" s="2372">
        <v>1</v>
      </c>
      <c r="B47" s="2373" t="s">
        <v>634</v>
      </c>
      <c r="C47" s="2574" t="e">
        <f ca="1">C48+C52+C54</f>
        <v>#N/A</v>
      </c>
      <c r="D47" s="2085"/>
      <c r="E47" s="2085"/>
      <c r="F47" s="2085"/>
      <c r="I47" s="3155" t="s">
        <v>2346</v>
      </c>
      <c r="J47" s="2381" t="s">
        <v>3019</v>
      </c>
      <c r="K47" s="3162" t="s">
        <v>2351</v>
      </c>
      <c r="L47" s="316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t="e">
        <f ca="1">ROUND(F48*F50*F49*(1-F51)/10000,0)</f>
        <v>#N/A</v>
      </c>
      <c r="D48" s="2375" t="s">
        <v>635</v>
      </c>
      <c r="E48" s="2376" t="s">
        <v>2298</v>
      </c>
      <c r="F48" s="2377"/>
      <c r="G48" s="2090"/>
      <c r="I48" s="3125" t="s">
        <v>2347</v>
      </c>
      <c r="J48" s="2382" t="s">
        <v>2352</v>
      </c>
      <c r="K48" s="316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1739</v>
      </c>
      <c r="F49" s="784" t="e">
        <f ca="1">F7</f>
        <v>#N/A</v>
      </c>
      <c r="G49" s="2090"/>
      <c r="H49" s="2093"/>
      <c r="I49" s="3125" t="s">
        <v>2348</v>
      </c>
      <c r="J49" s="2383">
        <v>2020</v>
      </c>
      <c r="K49" s="3164" t="s">
        <v>2354</v>
      </c>
      <c r="L49" s="2384"/>
      <c r="O49" s="2398" t="s">
        <v>2383</v>
      </c>
      <c r="P49" s="2399" t="s">
        <v>2408</v>
      </c>
      <c r="Q49" s="2400" t="e">
        <f ca="1">J60</f>
        <v>#N/A</v>
      </c>
      <c r="R49" s="2399" t="s">
        <v>2384</v>
      </c>
    </row>
    <row r="50" spans="1:18" s="2059" customFormat="1" ht="18" customHeight="1" thickBot="1">
      <c r="A50" s="785"/>
      <c r="B50" s="786"/>
      <c r="C50" s="787"/>
      <c r="D50" s="788"/>
      <c r="E50" s="783" t="s">
        <v>1740</v>
      </c>
      <c r="F50" s="784" t="e">
        <f ca="1">F8</f>
        <v>#N/A</v>
      </c>
      <c r="G50" s="2095"/>
      <c r="H50" s="2093"/>
      <c r="I50" s="3125" t="s">
        <v>2349</v>
      </c>
      <c r="J50" s="3159">
        <f>SUMPRODUCT((I63:I65=J47)*(J62:L62=J48)*(J63:L65))</f>
        <v>60</v>
      </c>
      <c r="K50" s="3164" t="s">
        <v>2355</v>
      </c>
      <c r="L50" s="2384"/>
      <c r="O50" s="2401" t="s">
        <v>2385</v>
      </c>
      <c r="P50" s="2399" t="s">
        <v>2409</v>
      </c>
      <c r="Q50" s="2400" t="e">
        <f ca="1">C29</f>
        <v>#N/A</v>
      </c>
      <c r="R50" s="2399" t="s">
        <v>2382</v>
      </c>
    </row>
    <row r="51" spans="1:18" s="2059" customFormat="1" ht="18" customHeight="1" thickBot="1">
      <c r="A51" s="785"/>
      <c r="B51" s="786"/>
      <c r="C51" s="787"/>
      <c r="D51" s="788"/>
      <c r="E51" s="783" t="s">
        <v>639</v>
      </c>
      <c r="F51" s="2371"/>
      <c r="H51" s="2093"/>
      <c r="I51" s="3156" t="s">
        <v>2350</v>
      </c>
      <c r="J51" s="3160">
        <f>IF(J49="",J50,J49+J50-YEAR('数据-取费表'!B2))</f>
        <v>62</v>
      </c>
      <c r="K51" s="3125" t="s">
        <v>2356</v>
      </c>
      <c r="L51" s="316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2976</v>
      </c>
      <c r="E52" s="2498" t="s">
        <v>2466</v>
      </c>
      <c r="F52" s="2621"/>
      <c r="I52" s="3157" t="s">
        <v>2423</v>
      </c>
      <c r="J52" s="2385">
        <v>0.09</v>
      </c>
      <c r="K52" s="3157" t="s">
        <v>2422</v>
      </c>
      <c r="L52" s="2385"/>
      <c r="O52" s="2401" t="s">
        <v>2388</v>
      </c>
      <c r="P52" s="2399" t="s">
        <v>2389</v>
      </c>
      <c r="Q52" s="2402">
        <f>J52</f>
        <v>0.09</v>
      </c>
      <c r="R52" s="2403"/>
    </row>
    <row r="53" spans="1:18" s="2059" customFormat="1" ht="39.75" customHeight="1" thickBot="1">
      <c r="A53" s="785"/>
      <c r="B53" s="2495" t="s">
        <v>2575</v>
      </c>
      <c r="C53" s="2499"/>
      <c r="D53" s="2501"/>
      <c r="E53" s="2498"/>
      <c r="F53" s="799"/>
      <c r="I53" s="3158" t="s">
        <v>2981</v>
      </c>
      <c r="J53" s="3161" t="e">
        <f ca="1">IF(M47="住宅",IF(D1="——",MAX(J51,L48),MAX(J51,L48-'数据-取费表'!B20)),IF(D1="——",MIN(J51,L48),MIN(J51,L48-'数据-取费表'!B20)))</f>
        <v>#N/A</v>
      </c>
      <c r="K53" s="3503" t="s">
        <v>2967</v>
      </c>
      <c r="L53" s="350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643</v>
      </c>
      <c r="C55" s="798" t="e">
        <f ca="1">C13</f>
        <v>#N/A</v>
      </c>
      <c r="D55" s="794"/>
      <c r="E55" s="794"/>
      <c r="F55" s="799"/>
      <c r="I55" s="3170" t="s">
        <v>2357</v>
      </c>
      <c r="J55" s="3100" t="e">
        <f ca="1">ROUND(IF(J47="钢混",J57/J50,1-(1-2%)*(J50-J57)/J50),3)</f>
        <v>#N/A</v>
      </c>
      <c r="K55" s="3171" t="s">
        <v>2358</v>
      </c>
      <c r="L55" s="2386"/>
      <c r="O55" s="2404" t="s">
        <v>2413</v>
      </c>
      <c r="P55" s="1591"/>
      <c r="Q55" s="1603"/>
      <c r="R55" s="1591"/>
    </row>
    <row r="56" spans="1:18" s="2059" customFormat="1" ht="42.75" customHeight="1" thickBot="1">
      <c r="A56" s="1649"/>
      <c r="B56" s="2231" t="s">
        <v>2304</v>
      </c>
      <c r="C56" s="53" t="e">
        <f ca="1">C29</f>
        <v>#N/A</v>
      </c>
      <c r="D56" s="2639"/>
      <c r="E56" s="783"/>
      <c r="F56" s="808"/>
      <c r="I56" s="3172" t="s">
        <v>2359</v>
      </c>
      <c r="J56" s="3182" t="s">
        <v>3020</v>
      </c>
      <c r="K56" s="3125" t="s">
        <v>2364</v>
      </c>
      <c r="L56" s="1908" t="e">
        <f ca="1">IF(L48&lt;J51,"——",L48-J51)</f>
        <v>#N/A</v>
      </c>
      <c r="O56" s="2395" t="s">
        <v>2377</v>
      </c>
      <c r="P56" s="2396" t="s">
        <v>2378</v>
      </c>
      <c r="Q56" s="2397" t="s">
        <v>2379</v>
      </c>
      <c r="R56" s="2396" t="s">
        <v>2380</v>
      </c>
    </row>
    <row r="57" spans="1:18" s="2059" customFormat="1" ht="28.5" customHeight="1" thickBot="1">
      <c r="A57" s="796" t="s">
        <v>1748</v>
      </c>
      <c r="B57" s="797" t="s">
        <v>650</v>
      </c>
      <c r="C57" s="798" t="e">
        <f ca="1">ROUND(C58+C63+C64+C65,0)</f>
        <v>#N/A</v>
      </c>
      <c r="D57" s="26" t="s">
        <v>1750</v>
      </c>
      <c r="E57" s="2640"/>
      <c r="F57" s="56"/>
      <c r="I57" s="3173" t="s">
        <v>2360</v>
      </c>
      <c r="J57" s="3174" t="e">
        <f ca="1">IF(OR(M47="住宅",J51&lt;L48,J56="是"),"——",J51-L48)</f>
        <v>#N/A</v>
      </c>
      <c r="K57" s="3125" t="s">
        <v>2365</v>
      </c>
      <c r="L57" s="1908" t="e">
        <f ca="1">IF(L48&lt;J51,"——",IF(L55="比较法",L49,IF(L55="基准地价",L50,L51)))</f>
        <v>#N/A</v>
      </c>
      <c r="O57" s="2398" t="s">
        <v>2381</v>
      </c>
      <c r="P57" s="2399" t="s">
        <v>2411</v>
      </c>
      <c r="Q57" s="2400" t="e">
        <f ca="1">C40+J29</f>
        <v>#N/A</v>
      </c>
      <c r="R57" s="2399" t="s">
        <v>2382</v>
      </c>
    </row>
    <row r="58" spans="1:18" s="2059" customFormat="1" ht="28.5" customHeight="1" thickBot="1">
      <c r="A58" s="1648" t="s">
        <v>1824</v>
      </c>
      <c r="B58" s="783" t="s">
        <v>655</v>
      </c>
      <c r="C58" s="53" t="e">
        <f ca="1">ROUND(IF(项目基本情况!B11="自然人",C47*F58,C59+C60+C61),1)</f>
        <v>#N/A</v>
      </c>
      <c r="D58" s="2638" t="s">
        <v>656</v>
      </c>
      <c r="E58" s="2639" t="s">
        <v>689</v>
      </c>
      <c r="F58" s="809" t="str">
        <f ca="1">IF(项目基本情况!B11="企业","",IF(INDIRECT("'数据-取费表'!c"&amp;$G$1)="住宅",5%,IF(F48*F49*F50/12/(1+'数据-取费表'!C42)&gt;20000,12%,7%)))</f>
        <v/>
      </c>
      <c r="I58" s="3173" t="s">
        <v>2361</v>
      </c>
      <c r="J58" s="3101" t="e">
        <f ca="1">IF(J55&lt;0.4,0.4,J55)</f>
        <v>#N/A</v>
      </c>
      <c r="K58" s="3125"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659</v>
      </c>
      <c r="C59" s="53" t="e">
        <f ca="1">ROUND(C47*F59/1.05,1)</f>
        <v>#N/A</v>
      </c>
      <c r="D59" s="2639" t="s">
        <v>1756</v>
      </c>
      <c r="E59" s="783" t="s">
        <v>1747</v>
      </c>
      <c r="F59" s="808">
        <f t="shared" ref="F59:F65" si="0">F32</f>
        <v>5.5000000000000007E-2</v>
      </c>
      <c r="I59" s="3173" t="s">
        <v>2362</v>
      </c>
      <c r="J59" s="3174" t="e">
        <f ca="1">IF(OR(M47="住宅",J51&lt;L48,J56="是"),"——",ROUND(C29*J58,0))</f>
        <v>#N/A</v>
      </c>
      <c r="K59" s="3125"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2639" t="str">
        <f>D33</f>
        <v>按房产原值计税</v>
      </c>
      <c r="E60" s="783" t="s">
        <v>1747</v>
      </c>
      <c r="F60" s="808">
        <f t="shared" si="0"/>
        <v>1.2E-2</v>
      </c>
      <c r="I60" s="3175" t="s">
        <v>2363</v>
      </c>
      <c r="J60" s="3176" t="e">
        <f ca="1">IF(OR(M47="住宅",J51&lt;L48,J56="是"),"0",ROUND(J59/(1+J52)^J53,0))</f>
        <v>#N/A</v>
      </c>
      <c r="K60" s="3177" t="s">
        <v>2368</v>
      </c>
      <c r="L60" s="3176" t="e">
        <f ca="1">IF(OR(M47="住宅",L48&lt;J51),0,ROUND(L57*(L58/L59-1),0))</f>
        <v>#N/A</v>
      </c>
      <c r="O60" s="2401" t="s">
        <v>2386</v>
      </c>
      <c r="P60" s="2399" t="s">
        <v>2395</v>
      </c>
      <c r="Q60" s="2402">
        <f>L52</f>
        <v>0</v>
      </c>
      <c r="R60" s="2403"/>
    </row>
    <row r="61" spans="1:18" s="2059" customFormat="1" ht="18" customHeight="1" thickBot="1">
      <c r="A61" s="1650" t="s">
        <v>1833</v>
      </c>
      <c r="B61" s="340" t="s">
        <v>667</v>
      </c>
      <c r="C61" s="54" t="e">
        <f ca="1">ROUND(F61*F62/10000,1)</f>
        <v>#N/A</v>
      </c>
      <c r="D61" s="813" t="s">
        <v>668</v>
      </c>
      <c r="E61" s="783" t="s">
        <v>669</v>
      </c>
      <c r="F61" s="639">
        <f t="shared" si="0"/>
        <v>0</v>
      </c>
      <c r="K61" s="2086"/>
      <c r="O61" s="2401" t="s">
        <v>2388</v>
      </c>
      <c r="P61" s="2399" t="s">
        <v>2396</v>
      </c>
      <c r="Q61" s="2400" t="e">
        <f ca="1">L58</f>
        <v>#N/A</v>
      </c>
      <c r="R61" s="2403" t="s">
        <v>2397</v>
      </c>
    </row>
    <row r="62" spans="1:18" s="2059" customFormat="1" ht="15.75" thickBot="1">
      <c r="A62" s="814"/>
      <c r="B62" s="792"/>
      <c r="C62" s="69"/>
      <c r="D62" s="815"/>
      <c r="E62" s="783" t="s">
        <v>673</v>
      </c>
      <c r="F62" s="784" t="e">
        <f t="shared" ca="1" si="0"/>
        <v>#N/A</v>
      </c>
      <c r="I62" s="3178" t="s">
        <v>2369</v>
      </c>
      <c r="J62" s="3179" t="s">
        <v>2370</v>
      </c>
      <c r="K62" s="3179" t="s">
        <v>2371</v>
      </c>
      <c r="L62" s="3179" t="s">
        <v>2352</v>
      </c>
      <c r="M62" s="3180" t="s">
        <v>2943</v>
      </c>
      <c r="O62" s="2401" t="s">
        <v>2390</v>
      </c>
      <c r="P62" s="2399" t="str">
        <f>K59</f>
        <v>建筑物剩余耐用年限下的土地年期修正系数Kn</v>
      </c>
      <c r="Q62" s="2400" t="e">
        <f ca="1">L59</f>
        <v>#N/A</v>
      </c>
      <c r="R62" s="2403" t="s">
        <v>2399</v>
      </c>
    </row>
    <row r="63" spans="1:18" s="2059" customFormat="1" ht="15.75" thickBot="1">
      <c r="A63" s="1648" t="s">
        <v>1889</v>
      </c>
      <c r="B63" s="783" t="s">
        <v>675</v>
      </c>
      <c r="C63" s="53" t="e">
        <f ca="1">ROUND(C56*F63,1)</f>
        <v>#N/A</v>
      </c>
      <c r="D63" s="2639" t="s">
        <v>1803</v>
      </c>
      <c r="E63" s="783" t="s">
        <v>1747</v>
      </c>
      <c r="F63" s="816" t="e">
        <f t="shared" ca="1" si="0"/>
        <v>#N/A</v>
      </c>
      <c r="I63" s="3178" t="s">
        <v>2372</v>
      </c>
      <c r="J63" s="3179">
        <v>70</v>
      </c>
      <c r="K63" s="3179">
        <v>50</v>
      </c>
      <c r="L63" s="3179">
        <v>80</v>
      </c>
      <c r="M63" s="3181">
        <v>0.02</v>
      </c>
      <c r="O63" s="2398" t="s">
        <v>2393</v>
      </c>
      <c r="P63" s="2399" t="s">
        <v>2410</v>
      </c>
      <c r="Q63" s="2400" t="e">
        <f ca="1">Q57+Q58</f>
        <v>#N/A</v>
      </c>
      <c r="R63" s="2403" t="s">
        <v>2394</v>
      </c>
    </row>
    <row r="64" spans="1:18" s="2059" customFormat="1" ht="16.5" thickBot="1">
      <c r="A64" s="1648" t="s">
        <v>1890</v>
      </c>
      <c r="B64" s="783" t="s">
        <v>678</v>
      </c>
      <c r="C64" s="53" t="e">
        <f ca="1">ROUND(C55*F64,1)</f>
        <v>#N/A</v>
      </c>
      <c r="D64" s="2639" t="s">
        <v>679</v>
      </c>
      <c r="E64" s="783" t="s">
        <v>1747</v>
      </c>
      <c r="F64" s="817" t="e">
        <f t="shared" ca="1" si="0"/>
        <v>#N/A</v>
      </c>
      <c r="I64" s="3178" t="s">
        <v>2373</v>
      </c>
      <c r="J64" s="3179">
        <v>50</v>
      </c>
      <c r="K64" s="3179">
        <v>35</v>
      </c>
      <c r="L64" s="3179">
        <v>60</v>
      </c>
      <c r="M64" s="845">
        <v>0</v>
      </c>
      <c r="O64" s="2404" t="s">
        <v>2417</v>
      </c>
      <c r="P64" s="1591"/>
      <c r="Q64" s="1603"/>
      <c r="R64" s="1591"/>
    </row>
    <row r="65" spans="1:18" s="2059" customFormat="1" ht="15.75" thickBot="1">
      <c r="A65" s="1648" t="s">
        <v>1891</v>
      </c>
      <c r="B65" s="783" t="s">
        <v>665</v>
      </c>
      <c r="C65" s="53" t="e">
        <f ca="1">ROUND(C47*F65,1)</f>
        <v>#N/A</v>
      </c>
      <c r="D65" s="2639" t="s">
        <v>682</v>
      </c>
      <c r="E65" s="783" t="s">
        <v>1747</v>
      </c>
      <c r="F65" s="793" t="e">
        <f t="shared" ca="1" si="0"/>
        <v>#N/A</v>
      </c>
      <c r="I65" s="3178" t="s">
        <v>2374</v>
      </c>
      <c r="J65" s="3179">
        <v>40</v>
      </c>
      <c r="K65" s="3179">
        <v>30</v>
      </c>
      <c r="L65" s="3179">
        <v>50</v>
      </c>
      <c r="M65" s="3181">
        <v>0.02</v>
      </c>
      <c r="O65" s="2395" t="s">
        <v>2377</v>
      </c>
      <c r="P65" s="2396" t="s">
        <v>2378</v>
      </c>
      <c r="Q65" s="2397" t="s">
        <v>2379</v>
      </c>
      <c r="R65" s="2396" t="s">
        <v>2380</v>
      </c>
    </row>
    <row r="66" spans="1:18" s="2059" customFormat="1" ht="24.75" thickBot="1">
      <c r="A66" s="796" t="s">
        <v>1776</v>
      </c>
      <c r="B66" s="3011" t="s">
        <v>2824</v>
      </c>
      <c r="C66" s="798" t="e">
        <f ca="1">C47-C57</f>
        <v>#N/A</v>
      </c>
      <c r="D66" s="2638" t="s">
        <v>699</v>
      </c>
      <c r="E66" s="2637"/>
      <c r="F66" s="819"/>
      <c r="K66" s="2086"/>
      <c r="O66" s="2398" t="s">
        <v>2381</v>
      </c>
      <c r="P66" s="2399" t="s">
        <v>2411</v>
      </c>
      <c r="Q66" s="2400" t="e">
        <f ca="1">C40+J29</f>
        <v>#N/A</v>
      </c>
      <c r="R66" s="2399" t="s">
        <v>2382</v>
      </c>
    </row>
    <row r="67" spans="1:18" s="2059" customFormat="1" ht="20.25" thickBot="1">
      <c r="A67" s="780" t="s">
        <v>1780</v>
      </c>
      <c r="B67" s="2232" t="s">
        <v>2303</v>
      </c>
      <c r="C67" s="782" t="e">
        <f ca="1">ROUND(C66*(1-((1+F69)/(1+F67))^F68)/(F67-F69),0)</f>
        <v>#N/A</v>
      </c>
      <c r="D67" s="813" t="s">
        <v>703</v>
      </c>
      <c r="E67" s="783" t="s">
        <v>704</v>
      </c>
      <c r="F67" s="793" t="e">
        <f ca="1">F40</f>
        <v>#N/A</v>
      </c>
      <c r="K67" s="2086"/>
      <c r="O67" s="2398" t="s">
        <v>2383</v>
      </c>
      <c r="P67" s="2399" t="s">
        <v>2414</v>
      </c>
      <c r="Q67" s="2400" t="e">
        <f ca="1">L60</f>
        <v>#N/A</v>
      </c>
      <c r="R67" s="2403" t="s">
        <v>2416</v>
      </c>
    </row>
    <row r="68" spans="1:18" ht="21.75" thickBot="1">
      <c r="A68" s="785"/>
      <c r="B68" s="786"/>
      <c r="C68" s="787"/>
      <c r="D68" s="820" t="s">
        <v>1808</v>
      </c>
      <c r="E68" s="783" t="s">
        <v>1784</v>
      </c>
      <c r="F68" s="821" t="e">
        <f ca="1">F41</f>
        <v>#N/A</v>
      </c>
      <c r="O68" s="2401" t="s">
        <v>2385</v>
      </c>
      <c r="P68" s="2399" t="s">
        <v>2415</v>
      </c>
      <c r="Q68" s="2405" t="e">
        <f ca="1">L51</f>
        <v>#N/A</v>
      </c>
      <c r="R68" s="2406" t="s">
        <v>2418</v>
      </c>
    </row>
    <row r="69" spans="1:18" ht="20.25" thickBot="1">
      <c r="A69" s="789"/>
      <c r="B69" s="790"/>
      <c r="C69" s="791"/>
      <c r="D69" s="815"/>
      <c r="E69" s="783" t="s">
        <v>709</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建筑物剩余耐用年限下的土地年期修正系数Kn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D2" sqref="D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2996</v>
      </c>
      <c r="D1" s="3124" t="s">
        <v>951</v>
      </c>
      <c r="E1" s="2387" t="s">
        <v>2376</v>
      </c>
      <c r="F1" s="2388" t="e">
        <f ca="1">J53</f>
        <v>#N/A</v>
      </c>
      <c r="G1" s="773"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1726</v>
      </c>
      <c r="B2" s="774" t="e">
        <f ca="1">C40+J29+L46</f>
        <v>#N/A</v>
      </c>
      <c r="C2" s="2057"/>
      <c r="D2" s="2055"/>
      <c r="E2" s="2056"/>
      <c r="F2" s="2056"/>
      <c r="G2" s="1589"/>
      <c r="H2" s="2057"/>
      <c r="I2" s="2057"/>
      <c r="J2" s="2057"/>
      <c r="K2" s="2058"/>
      <c r="L2" s="2057"/>
      <c r="M2" s="2057"/>
    </row>
    <row r="3" spans="1:33" ht="18" customHeight="1" thickBot="1">
      <c r="A3" s="832" t="s">
        <v>1727</v>
      </c>
      <c r="B3" s="833">
        <f ca="1">IF(ISERROR(B2*10000/F43),0,ROUND(B2*10000/F43,0))</f>
        <v>0</v>
      </c>
      <c r="C3" s="2057"/>
      <c r="D3" s="2055"/>
      <c r="E3" s="2056"/>
      <c r="F3" s="2056"/>
      <c r="G3" s="1589"/>
      <c r="H3" s="775" t="s">
        <v>694</v>
      </c>
      <c r="I3" s="1361"/>
      <c r="J3" s="1361"/>
      <c r="K3" s="1590"/>
      <c r="L3" s="1361"/>
      <c r="M3" s="1361"/>
    </row>
    <row r="4" spans="1:33" ht="18" customHeight="1">
      <c r="A4" s="776" t="s">
        <v>1728</v>
      </c>
      <c r="B4" s="777" t="s">
        <v>1729</v>
      </c>
      <c r="C4" s="777" t="s">
        <v>1730</v>
      </c>
      <c r="D4" s="777" t="s">
        <v>632</v>
      </c>
      <c r="E4" s="778" t="s">
        <v>1731</v>
      </c>
      <c r="F4" s="779"/>
      <c r="G4" s="1591"/>
      <c r="H4" s="776" t="s">
        <v>1732</v>
      </c>
      <c r="I4" s="777" t="s">
        <v>1733</v>
      </c>
      <c r="J4" s="777" t="s">
        <v>1734</v>
      </c>
      <c r="K4" s="777" t="s">
        <v>1735</v>
      </c>
      <c r="L4" s="778" t="s">
        <v>1736</v>
      </c>
      <c r="M4" s="779"/>
    </row>
    <row r="5" spans="1:33" ht="18" customHeight="1">
      <c r="A5" s="780">
        <v>1</v>
      </c>
      <c r="B5" s="781" t="s">
        <v>2460</v>
      </c>
      <c r="C5" s="55" t="e">
        <f ca="1">C6+C10+C12</f>
        <v>#N/A</v>
      </c>
      <c r="D5" s="2496" t="s">
        <v>2463</v>
      </c>
      <c r="E5" s="2490"/>
      <c r="F5" s="2491"/>
      <c r="G5" s="1591"/>
      <c r="H5" s="780">
        <v>1</v>
      </c>
      <c r="I5" s="781" t="s">
        <v>2460</v>
      </c>
      <c r="J5" s="55" t="e">
        <f ca="1">J6+J10+J12</f>
        <v>#N/A</v>
      </c>
      <c r="K5" s="2496" t="s">
        <v>2463</v>
      </c>
      <c r="L5" s="2490"/>
      <c r="M5" s="2491"/>
    </row>
    <row r="6" spans="1:33" ht="18" customHeight="1">
      <c r="A6" s="1830" t="s">
        <v>1824</v>
      </c>
      <c r="B6" s="3463" t="s">
        <v>2465</v>
      </c>
      <c r="C6" s="782" t="e">
        <f ca="1">ROUND(F6*F8*F7*(1-F9)/10000,0)</f>
        <v>#N/A</v>
      </c>
      <c r="D6" s="2497" t="s">
        <v>2464</v>
      </c>
      <c r="E6" s="783" t="s">
        <v>1738</v>
      </c>
      <c r="F6" s="784" t="e">
        <f ca="1">INDIRECT("'数据-取费表'!u"&amp;$G$1)</f>
        <v>#N/A</v>
      </c>
      <c r="G6" s="1591"/>
      <c r="H6" s="2504" t="s">
        <v>1824</v>
      </c>
      <c r="I6" s="3463" t="s">
        <v>2465</v>
      </c>
      <c r="J6" s="782" t="e">
        <f ca="1">ROUND(M6*M8*M7*(1-M9)/10000,0)</f>
        <v>#N/A</v>
      </c>
      <c r="K6" s="340" t="s">
        <v>1737</v>
      </c>
      <c r="L6" s="783" t="s">
        <v>1738</v>
      </c>
      <c r="M6" s="784" t="e">
        <f ca="1">INDIRECT("'数据-取费表'!z"&amp;$G$1)</f>
        <v>#N/A</v>
      </c>
    </row>
    <row r="7" spans="1:33" ht="18" customHeight="1">
      <c r="A7" s="2500"/>
      <c r="B7" s="3464"/>
      <c r="C7" s="787"/>
      <c r="D7" s="788"/>
      <c r="E7" s="783" t="s">
        <v>1739</v>
      </c>
      <c r="F7" s="784" t="e">
        <f ca="1">IF(INDIRECT("'数据-取费表'!ah"&amp;$G$1)="",INDIRECT("'数据-取费表'!k"&amp;$G$1),INDIRECT("'数据-取费表'!ah"&amp;$G$1))</f>
        <v>#N/A</v>
      </c>
      <c r="G7" s="1591"/>
      <c r="H7" s="2489"/>
      <c r="I7" s="3464"/>
      <c r="J7" s="787"/>
      <c r="K7" s="788"/>
      <c r="L7" s="783" t="s">
        <v>1739</v>
      </c>
      <c r="M7" s="784" t="e">
        <f ca="1">F7</f>
        <v>#N/A</v>
      </c>
    </row>
    <row r="8" spans="1:33" ht="18" customHeight="1">
      <c r="A8" s="2493"/>
      <c r="B8" s="3465"/>
      <c r="C8" s="787"/>
      <c r="D8" s="788"/>
      <c r="E8" s="783" t="s">
        <v>1740</v>
      </c>
      <c r="F8" s="784" t="e">
        <f ca="1">INDIRECT("'数据-取费表'!ai"&amp;$G$1)</f>
        <v>#N/A</v>
      </c>
      <c r="G8" s="1591"/>
      <c r="H8" s="2489"/>
      <c r="I8" s="3465"/>
      <c r="J8" s="787"/>
      <c r="K8" s="788"/>
      <c r="L8" s="783" t="s">
        <v>1740</v>
      </c>
      <c r="M8" s="784" t="e">
        <f ca="1">INDIRECT("'数据-取费表'!ai"&amp;$G$1)</f>
        <v>#N/A</v>
      </c>
    </row>
    <row r="9" spans="1:33" ht="18" customHeight="1">
      <c r="A9" s="785"/>
      <c r="B9" s="3466"/>
      <c r="C9" s="787"/>
      <c r="D9" s="788"/>
      <c r="E9" s="783" t="s">
        <v>1741</v>
      </c>
      <c r="F9" s="793" t="e">
        <f ca="1">INDIRECT("'数据-取费表'!w"&amp;$G$1)</f>
        <v>#N/A</v>
      </c>
      <c r="G9" s="1591"/>
      <c r="H9" s="2505"/>
      <c r="I9" s="3465"/>
      <c r="J9" s="787"/>
      <c r="K9" s="788"/>
      <c r="L9" s="794" t="s">
        <v>1741</v>
      </c>
      <c r="M9" s="795" t="e">
        <f ca="1">INDIRECT("'数据-取费表'!ab"&amp;$G$1)</f>
        <v>#N/A</v>
      </c>
    </row>
    <row r="10" spans="1:33" ht="18" customHeight="1">
      <c r="A10" s="1830" t="s">
        <v>1825</v>
      </c>
      <c r="B10" s="2494" t="s">
        <v>2461</v>
      </c>
      <c r="C10" s="798">
        <f ca="1">ROUND(IF(F10="押一",C6/12*F11,IF(F10="押二",C6/12*2*F11,IF(F10="押三",C6/12*3*F11,C11*F11))),0)</f>
        <v>0</v>
      </c>
      <c r="D10" s="2501" t="s">
        <v>2975</v>
      </c>
      <c r="E10" s="2498" t="s">
        <v>2466</v>
      </c>
      <c r="F10" s="2621"/>
      <c r="G10" s="1591"/>
      <c r="H10" s="2561" t="s">
        <v>1825</v>
      </c>
      <c r="I10" s="2566" t="s">
        <v>2461</v>
      </c>
      <c r="J10" s="782">
        <f ca="1">ROUND(IF(M10="押一",J6/12*M11,IF(M10="押二",J6/12*2*M11,IF(M10="押三",J6/12*3*M11,J11*M11))),0)</f>
        <v>0</v>
      </c>
      <c r="K10" s="2501" t="s">
        <v>2975</v>
      </c>
      <c r="L10" s="2498" t="s">
        <v>2466</v>
      </c>
      <c r="M10" s="2621"/>
    </row>
    <row r="11" spans="1:33" ht="18" customHeight="1">
      <c r="A11" s="789"/>
      <c r="B11" s="2495" t="s">
        <v>2575</v>
      </c>
      <c r="C11" s="2499"/>
      <c r="D11" s="788"/>
      <c r="E11" s="2498" t="s">
        <v>2458</v>
      </c>
      <c r="F11" s="795">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1"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3" t="s">
        <v>644</v>
      </c>
      <c r="C14" s="803" t="e">
        <f ca="1">INDIRECT("'数据-取费表'!m"&amp;$G$1)+INDIRECT("'数据-取费表'!t"&amp;$G$1)</f>
        <v>#N/A</v>
      </c>
      <c r="D14" s="3151" t="s">
        <v>1745</v>
      </c>
      <c r="E14" s="3150"/>
      <c r="F14" s="804"/>
      <c r="G14" s="1591"/>
      <c r="H14" s="1648" t="s">
        <v>1824</v>
      </c>
      <c r="I14" s="2231" t="s">
        <v>2828</v>
      </c>
      <c r="J14" s="53" t="e">
        <f ca="1">C29</f>
        <v>#N/A</v>
      </c>
      <c r="K14" s="26"/>
      <c r="L14" s="800"/>
      <c r="M14" s="801"/>
    </row>
    <row r="15" spans="1:33" s="2064" customFormat="1" ht="18" customHeight="1" thickBot="1">
      <c r="A15" s="1647" t="s">
        <v>1885</v>
      </c>
      <c r="B15" s="783" t="s">
        <v>646</v>
      </c>
      <c r="C15" s="53" t="e">
        <f ca="1">ROUND(C14*F15,0)</f>
        <v>#N/A</v>
      </c>
      <c r="D15" s="805" t="s">
        <v>1746</v>
      </c>
      <c r="E15" s="805" t="s">
        <v>1747</v>
      </c>
      <c r="F15" s="806">
        <f>'数据-取费表'!B33</f>
        <v>0.03</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649</v>
      </c>
      <c r="C16" s="53" t="e">
        <f ca="1">ROUND(INDIRECT("'数据-取费表'!m"&amp;$G$1)*F16,0)</f>
        <v>#N/A</v>
      </c>
      <c r="D16" s="783" t="s">
        <v>1746</v>
      </c>
      <c r="E16" s="783" t="s">
        <v>1747</v>
      </c>
      <c r="F16" s="808" t="e">
        <f ca="1">IF(INDIRECT("'数据-取费表'!c"&amp;$G$1)="住宅",'数据-取费表'!B34,0)</f>
        <v>#N/A</v>
      </c>
      <c r="G16" s="1591"/>
      <c r="H16" s="1829" t="s">
        <v>1748</v>
      </c>
      <c r="I16" s="1827" t="s">
        <v>1749</v>
      </c>
      <c r="J16" s="791" t="e">
        <f ca="1">ROUND(J17+J22+J23+J24,0)</f>
        <v>#N/A</v>
      </c>
      <c r="K16" s="1821" t="s">
        <v>1750</v>
      </c>
      <c r="L16" s="3153"/>
      <c r="M16" s="2491"/>
    </row>
    <row r="17" spans="1:33" s="2064" customFormat="1" ht="18" customHeight="1">
      <c r="A17" s="1647" t="s">
        <v>1887</v>
      </c>
      <c r="B17" s="783" t="s">
        <v>652</v>
      </c>
      <c r="C17" s="53" t="e">
        <f ca="1">ROUND(F17*(F43+INDIRECT("'数据-取费表'!S"&amp;$G$1))/10000,0)</f>
        <v>#N/A</v>
      </c>
      <c r="D17" s="783" t="s">
        <v>1751</v>
      </c>
      <c r="E17" s="783" t="s">
        <v>1752</v>
      </c>
      <c r="F17" s="56">
        <f>'数据-取费表'!B35</f>
        <v>200</v>
      </c>
      <c r="G17" s="1592"/>
      <c r="H17" s="1648" t="s">
        <v>1824</v>
      </c>
      <c r="I17" s="783" t="s">
        <v>655</v>
      </c>
      <c r="J17" s="53" t="e">
        <f ca="1">ROUND(IF(项目基本情况!B11="自然人",J5*M17,J18+J19+J20),0)</f>
        <v>#N/A</v>
      </c>
      <c r="K17" s="3151" t="s">
        <v>1753</v>
      </c>
      <c r="L17" s="3152" t="s">
        <v>1754</v>
      </c>
      <c r="M17" s="809"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658</v>
      </c>
      <c r="C18" s="53" t="e">
        <f ca="1">ROUND(C14*F18,0)</f>
        <v>#N/A</v>
      </c>
      <c r="D18" s="783" t="s">
        <v>1746</v>
      </c>
      <c r="E18" s="783" t="s">
        <v>1747</v>
      </c>
      <c r="F18" s="808">
        <f>'数据-取费表'!B36</f>
        <v>1.4999999999999999E-2</v>
      </c>
      <c r="G18" s="1592"/>
      <c r="H18" s="1647" t="s">
        <v>1831</v>
      </c>
      <c r="I18" s="783" t="s">
        <v>1755</v>
      </c>
      <c r="J18" s="53" t="e">
        <f ca="1">ROUND(J5*M18/1.05,1)</f>
        <v>#N/A</v>
      </c>
      <c r="K18" s="3152" t="s">
        <v>1756</v>
      </c>
      <c r="L18" s="783" t="s">
        <v>1747</v>
      </c>
      <c r="M18" s="808">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3" t="s">
        <v>661</v>
      </c>
      <c r="C19" s="53" t="e">
        <f ca="1">SUM(C14:C18)</f>
        <v>#N/A</v>
      </c>
      <c r="D19" s="260" t="s">
        <v>1757</v>
      </c>
      <c r="E19" s="3154"/>
      <c r="F19" s="56"/>
      <c r="G19" s="1591"/>
      <c r="H19" s="1647" t="s">
        <v>1885</v>
      </c>
      <c r="I19" s="783" t="s">
        <v>1758</v>
      </c>
      <c r="J19" s="53" t="e">
        <f ca="1">IF(K19="按租金收入计税",ROUND(J5*M19,1),ROUND(C29*F33*0.7,1))</f>
        <v>#N/A</v>
      </c>
      <c r="K19" s="810" t="s">
        <v>664</v>
      </c>
      <c r="L19" s="783" t="s">
        <v>1747</v>
      </c>
      <c r="M19" s="808">
        <f>IF(K19="按租金收入计税",'数据-取费表'!B51,'数据-取费表'!B50)</f>
        <v>1.2E-2</v>
      </c>
    </row>
    <row r="20" spans="1:33" s="2064" customFormat="1" ht="18" customHeight="1">
      <c r="A20" s="1648" t="s">
        <v>1889</v>
      </c>
      <c r="B20" s="783" t="s">
        <v>665</v>
      </c>
      <c r="C20" s="53" t="e">
        <f ca="1">ROUND(C19*F20,0)</f>
        <v>#N/A</v>
      </c>
      <c r="D20" s="811" t="s">
        <v>1759</v>
      </c>
      <c r="E20" s="783" t="s">
        <v>1747</v>
      </c>
      <c r="F20" s="808">
        <f>'数据-取费表'!B37</f>
        <v>0.03</v>
      </c>
      <c r="G20" s="1592"/>
      <c r="H20" s="1650" t="s">
        <v>1880</v>
      </c>
      <c r="I20" s="340" t="s">
        <v>1760</v>
      </c>
      <c r="J20" s="54" t="e">
        <f ca="1">ROUND(M20*M21/10000,0)</f>
        <v>#N/A</v>
      </c>
      <c r="K20" s="813" t="s">
        <v>1761</v>
      </c>
      <c r="L20" s="783" t="s">
        <v>1762</v>
      </c>
      <c r="M20" s="639">
        <f>'数据-取费表'!B52</f>
        <v>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2300</v>
      </c>
      <c r="E21" s="783" t="s">
        <v>1765</v>
      </c>
      <c r="F21" s="808">
        <f>'数据-取费表'!B38</f>
        <v>0.03</v>
      </c>
      <c r="G21" s="1592"/>
      <c r="H21" s="2506"/>
      <c r="I21" s="792"/>
      <c r="J21" s="69"/>
      <c r="K21" s="815"/>
      <c r="L21" s="783" t="s">
        <v>1766</v>
      </c>
      <c r="M21" s="784"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72" t="str">
        <f>IF(F23&lt;=1,"单利计息。","复利计息。")&amp;"建造成本、管理费用、销售费用产生的利息。"</f>
        <v>单利计息。建造成本、管理费用、销售费用产生的利息。</v>
      </c>
      <c r="E22" s="3154"/>
      <c r="F22" s="56"/>
      <c r="G22" s="1591"/>
      <c r="H22" s="1648" t="s">
        <v>1889</v>
      </c>
      <c r="I22" s="783" t="s">
        <v>1768</v>
      </c>
      <c r="J22" s="53" t="e">
        <f ca="1">ROUND(J14*M22,0)</f>
        <v>#N/A</v>
      </c>
      <c r="K22" s="3152" t="s">
        <v>1769</v>
      </c>
      <c r="L22" s="783" t="s">
        <v>1747</v>
      </c>
      <c r="M22" s="816" t="e">
        <f ca="1">INDIRECT("'数据-取费表'!Ak"&amp;$G$1)</f>
        <v>#N/A</v>
      </c>
    </row>
    <row r="23" spans="1:33" s="2064" customFormat="1" ht="18" customHeight="1">
      <c r="A23" s="1647" t="s">
        <v>1831</v>
      </c>
      <c r="B23" s="783" t="s">
        <v>2537</v>
      </c>
      <c r="C23" s="53" t="e">
        <f ca="1">ROUND(IF('数据-取费表'!B22&lt;=1,(C19+C20)*F24*F23/2,(C19+C20)*(POWER((1+F24),F23/2)-1)),0)</f>
        <v>#N/A</v>
      </c>
      <c r="D23" s="2571" t="str">
        <f>IF(F23&lt;=1,"(建造成本+管理费用)×利率×(建设周期÷2)","(建造成本+管理费用)×((1+利率)^(建设周期÷2)-1)")</f>
        <v>(建造成本+管理费用)×利率×(建设周期÷2)</v>
      </c>
      <c r="E23" s="783" t="s">
        <v>1770</v>
      </c>
      <c r="F23" s="639">
        <f>'数据-取费表'!B20</f>
        <v>1</v>
      </c>
      <c r="G23" s="1592"/>
      <c r="H23" s="1648" t="s">
        <v>1890</v>
      </c>
      <c r="I23" s="783" t="s">
        <v>678</v>
      </c>
      <c r="J23" s="53" t="e">
        <f ca="1">ROUND(J13*M23,0)</f>
        <v>#N/A</v>
      </c>
      <c r="K23" s="3152" t="s">
        <v>1771</v>
      </c>
      <c r="L23" s="783" t="s">
        <v>1747</v>
      </c>
      <c r="M23" s="817"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6.9999999999999999E-4</v>
      </c>
      <c r="D24" s="2571" t="str">
        <f>IF(F23&lt;=1,"销售费用×利率×(建设周期÷2)","销售费用×((1+利率)^(建设周期÷2)-1)")</f>
        <v>销售费用×利率×(建设周期÷2)</v>
      </c>
      <c r="E24" s="783" t="s">
        <v>1773</v>
      </c>
      <c r="F24" s="818">
        <f ca="1">'数据-取费表'!B40</f>
        <v>4.3499999999999997E-2</v>
      </c>
      <c r="G24" s="1592"/>
      <c r="H24" s="2551" t="s">
        <v>1891</v>
      </c>
      <c r="I24" s="2546" t="s">
        <v>665</v>
      </c>
      <c r="J24" s="2544" t="e">
        <f ca="1">ROUND(J5*M24,0)</f>
        <v>#N/A</v>
      </c>
      <c r="K24" s="2545" t="s">
        <v>682</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683</v>
      </c>
      <c r="C25" s="53"/>
      <c r="D25" s="260" t="s">
        <v>684</v>
      </c>
      <c r="E25" s="3154"/>
      <c r="F25" s="56"/>
      <c r="G25" s="1591"/>
      <c r="H25" s="1829" t="s">
        <v>1776</v>
      </c>
      <c r="I25" s="3010" t="s">
        <v>2824</v>
      </c>
      <c r="J25" s="791" t="e">
        <f ca="1">J5-J16</f>
        <v>#N/A</v>
      </c>
      <c r="K25" s="2548" t="s">
        <v>1777</v>
      </c>
      <c r="L25" s="2549"/>
      <c r="M25" s="2550"/>
    </row>
    <row r="26" spans="1:33" ht="18" customHeight="1">
      <c r="A26" s="1647" t="s">
        <v>1831</v>
      </c>
      <c r="B26" s="783" t="s">
        <v>2440</v>
      </c>
      <c r="C26" s="53" t="e">
        <f ca="1">ROUND((C19+C20)*F26,0)</f>
        <v>#N/A</v>
      </c>
      <c r="D26" s="811" t="s">
        <v>1778</v>
      </c>
      <c r="E26" s="794" t="s">
        <v>1779</v>
      </c>
      <c r="F26" s="793" t="e">
        <f ca="1">INDIRECT("'数据-取费表'!q"&amp;$G$1)</f>
        <v>#N/A</v>
      </c>
      <c r="G26" s="1591"/>
      <c r="H26" s="2502" t="s">
        <v>1780</v>
      </c>
      <c r="I26" s="2232" t="s">
        <v>2829</v>
      </c>
      <c r="J26" s="782" t="e">
        <f ca="1">IF(J5&lt;&gt;0,ROUND(J25*(1-((1+M28)/(1+M26))^M27)/(M26-M28),0),0)</f>
        <v>#N/A</v>
      </c>
      <c r="K26" s="813" t="s">
        <v>1781</v>
      </c>
      <c r="L26" s="783" t="s">
        <v>2421</v>
      </c>
      <c r="M26" s="793" t="e">
        <f ca="1">INDIRECT("'数据-取费表'!I"&amp;$G$1)</f>
        <v>#N/A</v>
      </c>
    </row>
    <row r="27" spans="1:33" ht="18" customHeight="1">
      <c r="A27" s="1647" t="s">
        <v>1832</v>
      </c>
      <c r="B27" s="783" t="s">
        <v>685</v>
      </c>
      <c r="C27" s="53" t="e">
        <f ca="1">ROUND(F21*F26,4)</f>
        <v>#N/A</v>
      </c>
      <c r="D27" s="811" t="s">
        <v>1782</v>
      </c>
      <c r="E27" s="805"/>
      <c r="F27" s="806"/>
      <c r="G27" s="1591"/>
      <c r="H27" s="2503"/>
      <c r="I27" s="786"/>
      <c r="J27" s="787"/>
      <c r="K27" s="820" t="s">
        <v>1783</v>
      </c>
      <c r="L27" s="783" t="s">
        <v>1784</v>
      </c>
      <c r="M27" s="821" t="e">
        <f ca="1">INDIRECT("'数据-取费表'!ag"&amp;$G$1)</f>
        <v>#N/A</v>
      </c>
    </row>
    <row r="28" spans="1:33" s="2064" customFormat="1" ht="18" customHeight="1">
      <c r="A28" s="1649" t="s">
        <v>1841</v>
      </c>
      <c r="B28" s="783" t="s">
        <v>686</v>
      </c>
      <c r="C28" s="53">
        <f>ROUND(F28/(1+'数据-取费表'!C42),4)</f>
        <v>5.2400000000000002E-2</v>
      </c>
      <c r="D28" s="811" t="s">
        <v>2301</v>
      </c>
      <c r="E28" s="783" t="s">
        <v>1785</v>
      </c>
      <c r="F28" s="808">
        <f>'数据-取费表'!B41</f>
        <v>5.5000000000000007E-2</v>
      </c>
      <c r="G28" s="1592"/>
      <c r="H28" s="1829"/>
      <c r="I28" s="790"/>
      <c r="J28" s="791"/>
      <c r="K28" s="815"/>
      <c r="L28" s="783" t="s">
        <v>1786</v>
      </c>
      <c r="M28" s="793"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2" t="s">
        <v>1787</v>
      </c>
      <c r="I29" s="823" t="s">
        <v>1788</v>
      </c>
      <c r="J29" s="824" t="e">
        <f ca="1">ROUND(J26/(1+F40)^F41,0)</f>
        <v>#N/A</v>
      </c>
      <c r="K29" s="825" t="s">
        <v>1789</v>
      </c>
      <c r="L29" s="826"/>
      <c r="M29" s="827"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t="e">
        <f ca="1">ROUND(C31+C36+C37+C38,0)</f>
        <v>#N/A</v>
      </c>
      <c r="D30" s="1821" t="s">
        <v>1791</v>
      </c>
      <c r="E30" s="3153"/>
      <c r="F30" s="2491"/>
      <c r="G30" s="2062"/>
      <c r="H30" s="2065"/>
      <c r="I30" s="2066"/>
      <c r="J30" s="2067"/>
      <c r="K30" s="2068"/>
      <c r="L30" s="2069"/>
      <c r="M30" s="2070"/>
    </row>
    <row r="31" spans="1:33" ht="18" customHeight="1">
      <c r="A31" s="1648" t="s">
        <v>1824</v>
      </c>
      <c r="B31" s="783" t="s">
        <v>655</v>
      </c>
      <c r="C31" s="53" t="e">
        <f ca="1">ROUND(IF(项目基本情况!B11="自然人",C5*F31,C32+C33+C34),1)</f>
        <v>#N/A</v>
      </c>
      <c r="D31" s="3151" t="s">
        <v>1792</v>
      </c>
      <c r="E31" s="3152"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t="e">
        <f ca="1">ROUND(C5*F32/1.05,1)</f>
        <v>#N/A</v>
      </c>
      <c r="D32" s="3152"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t="e">
        <f ca="1">IF(D33="按租金收入计税",ROUND(C5*F33,1),IF(D33="按房产原值计税",ROUND(C29*F33*0.7,1),INDIRECT("'数据-取费表'!Aj"&amp;$G$1)))</f>
        <v>#N/A</v>
      </c>
      <c r="D33" s="810" t="s">
        <v>1680</v>
      </c>
      <c r="E33" s="783" t="s">
        <v>1796</v>
      </c>
      <c r="F33" s="808">
        <f>IF(D33="按租金收入计税",'数据-取费表'!B51,'数据-取费表'!B50)</f>
        <v>1.2E-2</v>
      </c>
      <c r="G33" s="2062"/>
      <c r="H33" s="2077"/>
      <c r="I33" s="2077"/>
      <c r="J33" s="2077"/>
      <c r="K33" s="2078"/>
      <c r="L33" s="2077"/>
      <c r="M33" s="2077"/>
    </row>
    <row r="34" spans="1:18" ht="18" customHeight="1">
      <c r="A34" s="1650" t="s">
        <v>1833</v>
      </c>
      <c r="B34" s="340" t="s">
        <v>1798</v>
      </c>
      <c r="C34" s="54" t="e">
        <f ca="1">ROUND(F34*F35/10000,1)</f>
        <v>#N/A</v>
      </c>
      <c r="D34" s="813" t="s">
        <v>1799</v>
      </c>
      <c r="E34" s="783" t="s">
        <v>1800</v>
      </c>
      <c r="F34" s="639">
        <f>'数据-取费表'!B52</f>
        <v>0</v>
      </c>
      <c r="G34" s="2062"/>
      <c r="H34" s="2065"/>
      <c r="I34" s="834" t="s">
        <v>1813</v>
      </c>
      <c r="J34" s="835"/>
      <c r="K34" s="2080"/>
      <c r="L34" s="2079"/>
      <c r="M34" s="2079"/>
    </row>
    <row r="35" spans="1:18" ht="18" customHeight="1">
      <c r="A35" s="814"/>
      <c r="B35" s="792"/>
      <c r="C35" s="69"/>
      <c r="D35" s="815"/>
      <c r="E35" s="783" t="s">
        <v>1801</v>
      </c>
      <c r="F35" s="784" t="e">
        <f ca="1">INDIRECT("'数据-取费表'!r"&amp;$G$1)</f>
        <v>#N/A</v>
      </c>
      <c r="G35" s="2062"/>
      <c r="H35" s="2065"/>
      <c r="I35" s="836" t="s">
        <v>1814</v>
      </c>
      <c r="J35" s="837" t="e">
        <f ca="1">ROUND(C13*J36,0)</f>
        <v>#N/A</v>
      </c>
      <c r="K35" s="2078"/>
      <c r="L35" s="2077"/>
      <c r="M35" s="2077"/>
    </row>
    <row r="36" spans="1:18" ht="18" customHeight="1">
      <c r="A36" s="1648" t="s">
        <v>1889</v>
      </c>
      <c r="B36" s="783" t="s">
        <v>1802</v>
      </c>
      <c r="C36" s="53" t="e">
        <f ca="1">ROUND(C29*F36,1)</f>
        <v>#N/A</v>
      </c>
      <c r="D36" s="3152" t="s">
        <v>1803</v>
      </c>
      <c r="E36" s="783" t="s">
        <v>1796</v>
      </c>
      <c r="F36" s="816" t="e">
        <f ca="1">INDIRECT("'数据-取费表'!Ak"&amp;$G$1)</f>
        <v>#N/A</v>
      </c>
      <c r="G36" s="2062"/>
      <c r="H36" s="2077"/>
      <c r="I36" s="838" t="s">
        <v>1815</v>
      </c>
      <c r="J36" s="839" t="e">
        <f ca="1">INDIRECT("'数据-取费表'!j"&amp;$G$1)</f>
        <v>#N/A</v>
      </c>
      <c r="K36" s="2082"/>
      <c r="L36" s="2077"/>
      <c r="M36" s="2077"/>
    </row>
    <row r="37" spans="1:18" ht="18" customHeight="1">
      <c r="A37" s="1648" t="s">
        <v>1890</v>
      </c>
      <c r="B37" s="783" t="s">
        <v>678</v>
      </c>
      <c r="C37" s="53" t="e">
        <f ca="1">ROUND(C13*F37,1)</f>
        <v>#N/A</v>
      </c>
      <c r="D37" s="3152" t="s">
        <v>1804</v>
      </c>
      <c r="E37" s="783" t="s">
        <v>1796</v>
      </c>
      <c r="F37" s="817" t="e">
        <f ca="1">INDIRECT("'数据-取费表'!Al"&amp;$G$1)</f>
        <v>#N/A</v>
      </c>
      <c r="G37" s="2062"/>
      <c r="H37" s="2077"/>
      <c r="I37" s="840" t="s">
        <v>1816</v>
      </c>
      <c r="J37" s="841"/>
      <c r="K37" s="2082"/>
      <c r="L37" s="2077"/>
      <c r="M37" s="2077"/>
    </row>
    <row r="38" spans="1:18" ht="18" customHeight="1" thickBot="1">
      <c r="A38" s="2551" t="s">
        <v>1891</v>
      </c>
      <c r="B38" s="2546" t="s">
        <v>665</v>
      </c>
      <c r="C38" s="2544" t="e">
        <f ca="1">ROUND(C5*F38,1)</f>
        <v>#N/A</v>
      </c>
      <c r="D38" s="2545" t="s">
        <v>1805</v>
      </c>
      <c r="E38" s="2546" t="s">
        <v>1796</v>
      </c>
      <c r="F38" s="2542" t="e">
        <f ca="1">INDIRECT("'数据-取费表'!Am"&amp;$G$1)</f>
        <v>#N/A</v>
      </c>
      <c r="G38" s="2062"/>
      <c r="H38" s="2077"/>
      <c r="I38" s="842" t="s">
        <v>1817</v>
      </c>
      <c r="J38" s="843"/>
      <c r="K38" s="2083"/>
      <c r="L38" s="2077"/>
      <c r="M38" s="2077"/>
    </row>
    <row r="39" spans="1:18" ht="24.6" customHeight="1" thickTop="1">
      <c r="A39" s="1829" t="s">
        <v>1894</v>
      </c>
      <c r="B39" s="3010" t="s">
        <v>2824</v>
      </c>
      <c r="C39" s="791" t="e">
        <f ca="1">C5-C30</f>
        <v>#N/A</v>
      </c>
      <c r="D39" s="2548" t="s">
        <v>1806</v>
      </c>
      <c r="E39" s="2549"/>
      <c r="F39" s="2550"/>
      <c r="G39" s="2062"/>
      <c r="H39" s="2077"/>
      <c r="I39" s="836" t="s">
        <v>1818</v>
      </c>
      <c r="J39" s="844" t="e">
        <f ca="1">ROUND(J35/C39,3)</f>
        <v>#N/A</v>
      </c>
      <c r="K39" s="2083"/>
      <c r="L39" s="2077"/>
      <c r="M39" s="2077"/>
    </row>
    <row r="40" spans="1:18" ht="18" customHeight="1">
      <c r="A40" s="780" t="s">
        <v>1895</v>
      </c>
      <c r="B40" s="2232" t="s">
        <v>2303</v>
      </c>
      <c r="C40" s="782" t="e">
        <f ca="1">ROUND(C39*(1-((1+F42)/(1+F40))^F41)/(F40-F42),0)</f>
        <v>#N/A</v>
      </c>
      <c r="D40" s="813" t="s">
        <v>1807</v>
      </c>
      <c r="E40" s="783" t="s">
        <v>2421</v>
      </c>
      <c r="F40" s="793" t="e">
        <f ca="1">INDIRECT("'数据-取费表'!I"&amp;$G$1)</f>
        <v>#N/A</v>
      </c>
      <c r="G40" s="2062"/>
      <c r="H40" s="2062"/>
      <c r="I40" s="836" t="s">
        <v>1819</v>
      </c>
      <c r="J40" s="844" t="e">
        <f ca="1">1-J39</f>
        <v>#N/A</v>
      </c>
      <c r="K40" s="2083"/>
      <c r="L40" s="2062"/>
      <c r="M40" s="2062"/>
    </row>
    <row r="41" spans="1:18" ht="18" customHeight="1">
      <c r="A41" s="785"/>
      <c r="B41" s="786"/>
      <c r="C41" s="787"/>
      <c r="D41" s="820" t="s">
        <v>1808</v>
      </c>
      <c r="E41" s="783" t="s">
        <v>2965</v>
      </c>
      <c r="F41" s="821" t="e">
        <f ca="1">IF(INDIRECT("'数据-取费表'!af"&amp;$G$1)=0,INDIRECT("'数据-取费表'!ae"&amp;$G$1),INDIRECT("'数据-取费表'!af"&amp;$G$1))</f>
        <v>#N/A</v>
      </c>
      <c r="G41" s="2062"/>
      <c r="H41" s="1988"/>
      <c r="I41" s="842" t="s">
        <v>1820</v>
      </c>
      <c r="J41" s="845"/>
      <c r="K41" s="2082"/>
      <c r="L41" s="1988"/>
      <c r="M41" s="1988"/>
    </row>
    <row r="42" spans="1:18" ht="18" customHeight="1">
      <c r="A42" s="789"/>
      <c r="B42" s="790"/>
      <c r="C42" s="791"/>
      <c r="D42" s="815"/>
      <c r="E42" s="783" t="s">
        <v>1809</v>
      </c>
      <c r="F42" s="793" t="e">
        <f ca="1">INDIRECT("'数据-取费表'!v"&amp;$G$1)</f>
        <v>#N/A</v>
      </c>
      <c r="G42" s="2062"/>
      <c r="H42" s="1988"/>
      <c r="I42" s="846" t="s">
        <v>1821</v>
      </c>
      <c r="J42" s="844" t="e">
        <f ca="1">ROUND(C13/C40,3)</f>
        <v>#N/A</v>
      </c>
      <c r="K42" s="2082"/>
      <c r="L42" s="1988"/>
      <c r="M42" s="1988"/>
    </row>
    <row r="43" spans="1:18" ht="18" customHeight="1" thickBot="1">
      <c r="A43" s="822" t="s">
        <v>1787</v>
      </c>
      <c r="B43" s="823" t="s">
        <v>1810</v>
      </c>
      <c r="C43" s="824" t="e">
        <f ca="1">ROUND(C40*10000/F43,0)</f>
        <v>#N/A</v>
      </c>
      <c r="D43" s="825" t="s">
        <v>1811</v>
      </c>
      <c r="E43" s="826" t="s">
        <v>1812</v>
      </c>
      <c r="F43" s="827" t="e">
        <f ca="1">INDIRECT("'数据-取费表'!k"&amp;$G$1)</f>
        <v>#N/A</v>
      </c>
      <c r="G43" s="2062"/>
      <c r="H43" s="1988"/>
      <c r="I43" s="846" t="s">
        <v>1822</v>
      </c>
      <c r="J43" s="847"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5" t="e">
        <f ca="1">IF(OR(M47="住宅",D1="土地（套用方法）"),0,IF(L48&gt;J51,L60,J60))</f>
        <v>#N/A</v>
      </c>
      <c r="O46" s="2394" t="s">
        <v>2412</v>
      </c>
      <c r="P46" s="1591"/>
      <c r="Q46" s="1603"/>
      <c r="R46" s="1591"/>
    </row>
    <row r="47" spans="1:18" s="2059" customFormat="1" ht="18" customHeight="1" thickBot="1">
      <c r="A47" s="2372">
        <v>1</v>
      </c>
      <c r="B47" s="2373" t="s">
        <v>634</v>
      </c>
      <c r="C47" s="2574" t="e">
        <f ca="1">C48+C52+C54</f>
        <v>#N/A</v>
      </c>
      <c r="D47" s="2085"/>
      <c r="E47" s="2085"/>
      <c r="F47" s="2085"/>
      <c r="I47" s="3155" t="s">
        <v>2346</v>
      </c>
      <c r="J47" s="2381" t="s">
        <v>3019</v>
      </c>
      <c r="K47" s="3162" t="s">
        <v>2351</v>
      </c>
      <c r="L47" s="3166"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t="e">
        <f ca="1">ROUND(F48*F50*F49*(1-F51)/10000,0)</f>
        <v>#N/A</v>
      </c>
      <c r="D48" s="2375" t="s">
        <v>635</v>
      </c>
      <c r="E48" s="2376" t="s">
        <v>2298</v>
      </c>
      <c r="F48" s="2377"/>
      <c r="G48" s="2090"/>
      <c r="I48" s="3125" t="s">
        <v>2347</v>
      </c>
      <c r="J48" s="2382" t="s">
        <v>2352</v>
      </c>
      <c r="K48" s="3163" t="s">
        <v>2353</v>
      </c>
      <c r="L48" s="1908" t="e">
        <f ca="1">INDIRECT("'数据-取费表'!f"&amp;$G$1)</f>
        <v>#N/A</v>
      </c>
      <c r="O48" s="2398" t="s">
        <v>2381</v>
      </c>
      <c r="P48" s="2399" t="s">
        <v>2407</v>
      </c>
      <c r="Q48" s="2400" t="e">
        <f ca="1">C40+J29</f>
        <v>#N/A</v>
      </c>
      <c r="R48" s="2399" t="s">
        <v>2382</v>
      </c>
    </row>
    <row r="49" spans="1:18" s="2059" customFormat="1" ht="18" customHeight="1" thickBot="1">
      <c r="A49" s="785"/>
      <c r="B49" s="786"/>
      <c r="C49" s="787"/>
      <c r="D49" s="788"/>
      <c r="E49" s="783" t="s">
        <v>1739</v>
      </c>
      <c r="F49" s="784" t="e">
        <f ca="1">F7</f>
        <v>#N/A</v>
      </c>
      <c r="G49" s="2090"/>
      <c r="H49" s="2093"/>
      <c r="I49" s="3125" t="s">
        <v>2348</v>
      </c>
      <c r="J49" s="2383">
        <v>2020</v>
      </c>
      <c r="K49" s="3164" t="s">
        <v>2354</v>
      </c>
      <c r="L49" s="2384"/>
      <c r="O49" s="2398" t="s">
        <v>2383</v>
      </c>
      <c r="P49" s="2399" t="s">
        <v>2408</v>
      </c>
      <c r="Q49" s="2400" t="e">
        <f ca="1">J60</f>
        <v>#N/A</v>
      </c>
      <c r="R49" s="2399" t="s">
        <v>2384</v>
      </c>
    </row>
    <row r="50" spans="1:18" s="2059" customFormat="1" ht="18" customHeight="1" thickBot="1">
      <c r="A50" s="785"/>
      <c r="B50" s="786"/>
      <c r="C50" s="787"/>
      <c r="D50" s="788"/>
      <c r="E50" s="783" t="s">
        <v>1740</v>
      </c>
      <c r="F50" s="784" t="e">
        <f ca="1">F8</f>
        <v>#N/A</v>
      </c>
      <c r="G50" s="2095"/>
      <c r="H50" s="2093"/>
      <c r="I50" s="3125" t="s">
        <v>2349</v>
      </c>
      <c r="J50" s="3159">
        <f>SUMPRODUCT((I63:I65=J47)*(J62:L62=J48)*(J63:L65))</f>
        <v>60</v>
      </c>
      <c r="K50" s="3164" t="s">
        <v>2355</v>
      </c>
      <c r="L50" s="2384"/>
      <c r="O50" s="2401" t="s">
        <v>2385</v>
      </c>
      <c r="P50" s="2399" t="s">
        <v>2409</v>
      </c>
      <c r="Q50" s="2400" t="e">
        <f ca="1">C29</f>
        <v>#N/A</v>
      </c>
      <c r="R50" s="2399" t="s">
        <v>2382</v>
      </c>
    </row>
    <row r="51" spans="1:18" s="2059" customFormat="1" ht="18" customHeight="1" thickBot="1">
      <c r="A51" s="785"/>
      <c r="B51" s="786"/>
      <c r="C51" s="787"/>
      <c r="D51" s="788"/>
      <c r="E51" s="783" t="s">
        <v>639</v>
      </c>
      <c r="F51" s="2371"/>
      <c r="H51" s="2093"/>
      <c r="I51" s="3156" t="s">
        <v>2350</v>
      </c>
      <c r="J51" s="3160">
        <f>IF(J49="",J50,J49+J50-YEAR('数据-取费表'!B2))</f>
        <v>62</v>
      </c>
      <c r="K51" s="3125" t="s">
        <v>2356</v>
      </c>
      <c r="L51" s="3167" t="e">
        <f ca="1">ROUND(-PV(INDIRECT("'数据-取费表'!h"&amp;$G$1),L48,(C39-C13*J36),0),0)</f>
        <v>#N/A</v>
      </c>
      <c r="O51" s="2401" t="s">
        <v>2386</v>
      </c>
      <c r="P51" s="2399" t="s">
        <v>2387</v>
      </c>
      <c r="Q51" s="2402" t="e">
        <f ca="1">J58</f>
        <v>#N/A</v>
      </c>
      <c r="R51" s="2403"/>
    </row>
    <row r="52" spans="1:18" s="2059" customFormat="1" ht="18" customHeight="1" thickBot="1">
      <c r="A52" s="780" t="s">
        <v>2538</v>
      </c>
      <c r="B52" s="2494" t="s">
        <v>2461</v>
      </c>
      <c r="C52" s="798">
        <f ca="1">ROUND(IF(F52="押一",C48/12*F11,IF(F52="押二",C48/12*2*F11,IF(F52="押三",C48/12*3*F11,C53*F11))),0)</f>
        <v>0</v>
      </c>
      <c r="D52" s="2501" t="s">
        <v>2976</v>
      </c>
      <c r="E52" s="2498" t="s">
        <v>2466</v>
      </c>
      <c r="F52" s="2621"/>
      <c r="I52" s="3157" t="s">
        <v>2423</v>
      </c>
      <c r="J52" s="2385">
        <v>0.09</v>
      </c>
      <c r="K52" s="3157" t="s">
        <v>2422</v>
      </c>
      <c r="L52" s="2385"/>
      <c r="O52" s="2401" t="s">
        <v>2388</v>
      </c>
      <c r="P52" s="2399" t="s">
        <v>2389</v>
      </c>
      <c r="Q52" s="2402">
        <f>J52</f>
        <v>0.09</v>
      </c>
      <c r="R52" s="2403"/>
    </row>
    <row r="53" spans="1:18" s="2059" customFormat="1" ht="39.75" customHeight="1" thickBot="1">
      <c r="A53" s="785"/>
      <c r="B53" s="2495" t="s">
        <v>2575</v>
      </c>
      <c r="C53" s="2499"/>
      <c r="D53" s="2501"/>
      <c r="E53" s="2498"/>
      <c r="F53" s="799"/>
      <c r="I53" s="3158" t="s">
        <v>2981</v>
      </c>
      <c r="J53" s="3161" t="e">
        <f ca="1">IF(M47="住宅",IF(D1="——",MAX(J51,L48),MAX(J51,L48-'数据-取费表'!B20)),IF(D1="——",MIN(J51,L48),MIN(J51,L48-'数据-取费表'!B20)))</f>
        <v>#N/A</v>
      </c>
      <c r="K53" s="3503" t="s">
        <v>2967</v>
      </c>
      <c r="L53" s="3504"/>
      <c r="O53" s="2401" t="s">
        <v>2390</v>
      </c>
      <c r="P53" s="2399" t="s">
        <v>2391</v>
      </c>
      <c r="Q53" s="2400" t="e">
        <f ca="1">J53</f>
        <v>#N/A</v>
      </c>
      <c r="R53" s="2399" t="s">
        <v>2392</v>
      </c>
    </row>
    <row r="54" spans="1:18" s="2059" customFormat="1" ht="18" customHeight="1" thickBot="1">
      <c r="A54" s="2537" t="s">
        <v>2469</v>
      </c>
      <c r="B54" s="2538" t="s">
        <v>2462</v>
      </c>
      <c r="C54" s="2539"/>
      <c r="D54" s="2501"/>
      <c r="E54" s="2498"/>
      <c r="F54" s="799"/>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6">
        <v>2</v>
      </c>
      <c r="B55" s="797" t="s">
        <v>643</v>
      </c>
      <c r="C55" s="798" t="e">
        <f ca="1">C13</f>
        <v>#N/A</v>
      </c>
      <c r="D55" s="794"/>
      <c r="E55" s="794"/>
      <c r="F55" s="799"/>
      <c r="I55" s="3170" t="s">
        <v>2357</v>
      </c>
      <c r="J55" s="3100" t="e">
        <f ca="1">ROUND(IF(J47="钢混",J57/J50,1-(1-2%)*(J50-J57)/J50),3)</f>
        <v>#N/A</v>
      </c>
      <c r="K55" s="3171" t="s">
        <v>2358</v>
      </c>
      <c r="L55" s="2386"/>
      <c r="O55" s="2404" t="s">
        <v>2413</v>
      </c>
      <c r="P55" s="1591"/>
      <c r="Q55" s="1603"/>
      <c r="R55" s="1591"/>
    </row>
    <row r="56" spans="1:18" s="2059" customFormat="1" ht="42.75" customHeight="1" thickBot="1">
      <c r="A56" s="1649"/>
      <c r="B56" s="2231" t="s">
        <v>2302</v>
      </c>
      <c r="C56" s="53" t="e">
        <f ca="1">C29</f>
        <v>#N/A</v>
      </c>
      <c r="D56" s="3152"/>
      <c r="E56" s="783"/>
      <c r="F56" s="808"/>
      <c r="I56" s="3172" t="s">
        <v>2359</v>
      </c>
      <c r="J56" s="3182" t="s">
        <v>3020</v>
      </c>
      <c r="K56" s="3125" t="s">
        <v>2364</v>
      </c>
      <c r="L56" s="1908" t="e">
        <f ca="1">IF(L48&lt;J51,"——",L48-J51)</f>
        <v>#N/A</v>
      </c>
      <c r="O56" s="2395" t="s">
        <v>2377</v>
      </c>
      <c r="P56" s="2396" t="s">
        <v>2378</v>
      </c>
      <c r="Q56" s="2397" t="s">
        <v>2379</v>
      </c>
      <c r="R56" s="2396" t="s">
        <v>2380</v>
      </c>
    </row>
    <row r="57" spans="1:18" s="2059" customFormat="1" ht="28.5" customHeight="1" thickBot="1">
      <c r="A57" s="796" t="s">
        <v>1748</v>
      </c>
      <c r="B57" s="797" t="s">
        <v>650</v>
      </c>
      <c r="C57" s="798" t="e">
        <f ca="1">ROUND(C58+C63+C64+C65,0)</f>
        <v>#N/A</v>
      </c>
      <c r="D57" s="26" t="s">
        <v>1750</v>
      </c>
      <c r="E57" s="3154"/>
      <c r="F57" s="56"/>
      <c r="I57" s="3173" t="s">
        <v>2360</v>
      </c>
      <c r="J57" s="3174" t="e">
        <f ca="1">IF(OR(M47="住宅",J51&lt;L48,J56="是"),"——",J51-L48)</f>
        <v>#N/A</v>
      </c>
      <c r="K57" s="3125" t="s">
        <v>2365</v>
      </c>
      <c r="L57" s="1908" t="e">
        <f ca="1">IF(L48&lt;J51,"——",IF(L55="比较法",L49,IF(L55="基准地价",L50,L51)))</f>
        <v>#N/A</v>
      </c>
      <c r="O57" s="2398" t="s">
        <v>2381</v>
      </c>
      <c r="P57" s="2399" t="s">
        <v>2411</v>
      </c>
      <c r="Q57" s="2400" t="e">
        <f ca="1">C40+J29</f>
        <v>#N/A</v>
      </c>
      <c r="R57" s="2399" t="s">
        <v>2382</v>
      </c>
    </row>
    <row r="58" spans="1:18" s="2059" customFormat="1" ht="28.5" customHeight="1" thickBot="1">
      <c r="A58" s="1648" t="s">
        <v>1824</v>
      </c>
      <c r="B58" s="783" t="s">
        <v>655</v>
      </c>
      <c r="C58" s="53" t="e">
        <f ca="1">ROUND(IF(项目基本情况!B11="自然人",C47*F58,C59+C60+C61),1)</f>
        <v>#N/A</v>
      </c>
      <c r="D58" s="3151" t="s">
        <v>656</v>
      </c>
      <c r="E58" s="3152" t="s">
        <v>689</v>
      </c>
      <c r="F58" s="809" t="str">
        <f ca="1">IF(项目基本情况!B11="企业","",IF(INDIRECT("'数据-取费表'!c"&amp;$G$1)="住宅",5%,IF(F48*F49*F50/12/(1+'数据-取费表'!C42)&gt;20000,12%,7%)))</f>
        <v/>
      </c>
      <c r="I58" s="3173" t="s">
        <v>2361</v>
      </c>
      <c r="J58" s="3101" t="e">
        <f ca="1">IF(J55&lt;0.4,0.4,J55)</f>
        <v>#N/A</v>
      </c>
      <c r="K58" s="3125"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3" t="s">
        <v>659</v>
      </c>
      <c r="C59" s="53" t="e">
        <f ca="1">ROUND(C47*F59/1.05,1)</f>
        <v>#N/A</v>
      </c>
      <c r="D59" s="3152" t="s">
        <v>1756</v>
      </c>
      <c r="E59" s="783" t="s">
        <v>1747</v>
      </c>
      <c r="F59" s="808">
        <f t="shared" ref="F59:F65" si="0">F32</f>
        <v>5.5000000000000007E-2</v>
      </c>
      <c r="I59" s="3173" t="s">
        <v>2362</v>
      </c>
      <c r="J59" s="3174" t="e">
        <f ca="1">IF(OR(M47="住宅",J51&lt;L48,J56="是"),"——",ROUND(C29*J58,0))</f>
        <v>#N/A</v>
      </c>
      <c r="K59" s="3125"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3" t="s">
        <v>1758</v>
      </c>
      <c r="C60" s="53" t="e">
        <f ca="1">IF(D60="按租金收入计税",ROUND(C47*F60,1),IF(D60="按房产原值计税",ROUND(C56*F60*0.7,1),INDIRECT("'数据-取费表'!Aj"&amp;$G$1)))</f>
        <v>#N/A</v>
      </c>
      <c r="D60" s="3152" t="str">
        <f>D33</f>
        <v>按房产原值计税</v>
      </c>
      <c r="E60" s="783" t="s">
        <v>1747</v>
      </c>
      <c r="F60" s="808">
        <f t="shared" si="0"/>
        <v>1.2E-2</v>
      </c>
      <c r="I60" s="3175" t="s">
        <v>2363</v>
      </c>
      <c r="J60" s="3176" t="e">
        <f ca="1">IF(OR(M47="住宅",J51&lt;L48,J56="是"),"0",ROUND(J59/(1+J52)^J53,0))</f>
        <v>#N/A</v>
      </c>
      <c r="K60" s="3177" t="s">
        <v>2368</v>
      </c>
      <c r="L60" s="3176" t="e">
        <f ca="1">IF(OR(M47="住宅",L48&lt;J51),0,ROUND(L57*(L58/L59-1),0))</f>
        <v>#N/A</v>
      </c>
      <c r="O60" s="2401" t="s">
        <v>2386</v>
      </c>
      <c r="P60" s="2399" t="s">
        <v>2395</v>
      </c>
      <c r="Q60" s="2402">
        <f>L52</f>
        <v>0</v>
      </c>
      <c r="R60" s="2403"/>
    </row>
    <row r="61" spans="1:18" s="2059" customFormat="1" ht="18" customHeight="1" thickBot="1">
      <c r="A61" s="1650" t="s">
        <v>1833</v>
      </c>
      <c r="B61" s="340" t="s">
        <v>667</v>
      </c>
      <c r="C61" s="54" t="e">
        <f ca="1">ROUND(F61*F62/10000,1)</f>
        <v>#N/A</v>
      </c>
      <c r="D61" s="813" t="s">
        <v>668</v>
      </c>
      <c r="E61" s="783" t="s">
        <v>669</v>
      </c>
      <c r="F61" s="639">
        <f t="shared" si="0"/>
        <v>0</v>
      </c>
      <c r="K61" s="2086"/>
      <c r="O61" s="2401" t="s">
        <v>2388</v>
      </c>
      <c r="P61" s="2399" t="s">
        <v>2396</v>
      </c>
      <c r="Q61" s="2400" t="e">
        <f ca="1">L58</f>
        <v>#N/A</v>
      </c>
      <c r="R61" s="2403" t="s">
        <v>2397</v>
      </c>
    </row>
    <row r="62" spans="1:18" s="2059" customFormat="1" ht="15.75" thickBot="1">
      <c r="A62" s="814"/>
      <c r="B62" s="792"/>
      <c r="C62" s="69"/>
      <c r="D62" s="815"/>
      <c r="E62" s="783" t="s">
        <v>673</v>
      </c>
      <c r="F62" s="784" t="e">
        <f t="shared" ca="1" si="0"/>
        <v>#N/A</v>
      </c>
      <c r="I62" s="3178" t="s">
        <v>2369</v>
      </c>
      <c r="J62" s="3179" t="s">
        <v>2370</v>
      </c>
      <c r="K62" s="3179" t="s">
        <v>2371</v>
      </c>
      <c r="L62" s="3179" t="s">
        <v>2352</v>
      </c>
      <c r="M62" s="3180" t="s">
        <v>2943</v>
      </c>
      <c r="O62" s="2401" t="s">
        <v>2390</v>
      </c>
      <c r="P62" s="2399" t="str">
        <f>K59</f>
        <v>建筑物剩余耐用年限下的土地年期修正系数Kn</v>
      </c>
      <c r="Q62" s="2400" t="e">
        <f ca="1">L59</f>
        <v>#N/A</v>
      </c>
      <c r="R62" s="2403" t="s">
        <v>2399</v>
      </c>
    </row>
    <row r="63" spans="1:18" s="2059" customFormat="1" ht="15.75" thickBot="1">
      <c r="A63" s="1648" t="s">
        <v>1889</v>
      </c>
      <c r="B63" s="783" t="s">
        <v>675</v>
      </c>
      <c r="C63" s="53" t="e">
        <f ca="1">ROUND(C56*F63,1)</f>
        <v>#N/A</v>
      </c>
      <c r="D63" s="3152" t="s">
        <v>1803</v>
      </c>
      <c r="E63" s="783" t="s">
        <v>1747</v>
      </c>
      <c r="F63" s="816" t="e">
        <f t="shared" ca="1" si="0"/>
        <v>#N/A</v>
      </c>
      <c r="I63" s="3178" t="s">
        <v>2372</v>
      </c>
      <c r="J63" s="3179">
        <v>70</v>
      </c>
      <c r="K63" s="3179">
        <v>50</v>
      </c>
      <c r="L63" s="3179">
        <v>80</v>
      </c>
      <c r="M63" s="3181">
        <v>0.02</v>
      </c>
      <c r="O63" s="2398" t="s">
        <v>2393</v>
      </c>
      <c r="P63" s="2399" t="s">
        <v>2410</v>
      </c>
      <c r="Q63" s="2400" t="e">
        <f ca="1">Q57+Q58</f>
        <v>#N/A</v>
      </c>
      <c r="R63" s="2403" t="s">
        <v>2394</v>
      </c>
    </row>
    <row r="64" spans="1:18" s="2059" customFormat="1" ht="16.5" thickBot="1">
      <c r="A64" s="1648" t="s">
        <v>1890</v>
      </c>
      <c r="B64" s="783" t="s">
        <v>678</v>
      </c>
      <c r="C64" s="53" t="e">
        <f ca="1">ROUND(C55*F64,1)</f>
        <v>#N/A</v>
      </c>
      <c r="D64" s="3152" t="s">
        <v>679</v>
      </c>
      <c r="E64" s="783" t="s">
        <v>1747</v>
      </c>
      <c r="F64" s="817" t="e">
        <f t="shared" ca="1" si="0"/>
        <v>#N/A</v>
      </c>
      <c r="I64" s="3178" t="s">
        <v>2373</v>
      </c>
      <c r="J64" s="3179">
        <v>50</v>
      </c>
      <c r="K64" s="3179">
        <v>35</v>
      </c>
      <c r="L64" s="3179">
        <v>60</v>
      </c>
      <c r="M64" s="845">
        <v>0</v>
      </c>
      <c r="O64" s="2404" t="s">
        <v>2417</v>
      </c>
      <c r="P64" s="1591"/>
      <c r="Q64" s="1603"/>
      <c r="R64" s="1591"/>
    </row>
    <row r="65" spans="1:18" s="2059" customFormat="1" ht="15.75" thickBot="1">
      <c r="A65" s="1648" t="s">
        <v>1891</v>
      </c>
      <c r="B65" s="783" t="s">
        <v>665</v>
      </c>
      <c r="C65" s="53" t="e">
        <f ca="1">ROUND(C47*F65,1)</f>
        <v>#N/A</v>
      </c>
      <c r="D65" s="3152" t="s">
        <v>682</v>
      </c>
      <c r="E65" s="783" t="s">
        <v>1747</v>
      </c>
      <c r="F65" s="793" t="e">
        <f t="shared" ca="1" si="0"/>
        <v>#N/A</v>
      </c>
      <c r="I65" s="3178" t="s">
        <v>2374</v>
      </c>
      <c r="J65" s="3179">
        <v>40</v>
      </c>
      <c r="K65" s="3179">
        <v>30</v>
      </c>
      <c r="L65" s="3179">
        <v>50</v>
      </c>
      <c r="M65" s="3181">
        <v>0.02</v>
      </c>
      <c r="O65" s="2395" t="s">
        <v>2377</v>
      </c>
      <c r="P65" s="2396" t="s">
        <v>2378</v>
      </c>
      <c r="Q65" s="2397" t="s">
        <v>2379</v>
      </c>
      <c r="R65" s="2396" t="s">
        <v>2380</v>
      </c>
    </row>
    <row r="66" spans="1:18" s="2059" customFormat="1" ht="24.75" thickBot="1">
      <c r="A66" s="796" t="s">
        <v>1776</v>
      </c>
      <c r="B66" s="3011" t="s">
        <v>2824</v>
      </c>
      <c r="C66" s="798" t="e">
        <f ca="1">C47-C57</f>
        <v>#N/A</v>
      </c>
      <c r="D66" s="3151" t="s">
        <v>699</v>
      </c>
      <c r="E66" s="3149"/>
      <c r="F66" s="819"/>
      <c r="K66" s="2086"/>
      <c r="O66" s="2398" t="s">
        <v>2381</v>
      </c>
      <c r="P66" s="2399" t="s">
        <v>2411</v>
      </c>
      <c r="Q66" s="2400" t="e">
        <f ca="1">C40+J29</f>
        <v>#N/A</v>
      </c>
      <c r="R66" s="2399" t="s">
        <v>2382</v>
      </c>
    </row>
    <row r="67" spans="1:18" s="2059" customFormat="1" ht="20.25" thickBot="1">
      <c r="A67" s="780" t="s">
        <v>1780</v>
      </c>
      <c r="B67" s="2232" t="s">
        <v>2303</v>
      </c>
      <c r="C67" s="782" t="e">
        <f ca="1">ROUND(C66*(1-((1+F69)/(1+F67))^F68)/(F67-F69),0)</f>
        <v>#N/A</v>
      </c>
      <c r="D67" s="813" t="s">
        <v>703</v>
      </c>
      <c r="E67" s="783" t="s">
        <v>704</v>
      </c>
      <c r="F67" s="793" t="e">
        <f ca="1">F40</f>
        <v>#N/A</v>
      </c>
      <c r="K67" s="2086"/>
      <c r="O67" s="2398" t="s">
        <v>2383</v>
      </c>
      <c r="P67" s="2399" t="s">
        <v>2414</v>
      </c>
      <c r="Q67" s="2400" t="e">
        <f ca="1">L60</f>
        <v>#N/A</v>
      </c>
      <c r="R67" s="2403" t="s">
        <v>2416</v>
      </c>
    </row>
    <row r="68" spans="1:18" ht="21.75" thickBot="1">
      <c r="A68" s="785"/>
      <c r="B68" s="786"/>
      <c r="C68" s="787"/>
      <c r="D68" s="820" t="s">
        <v>1808</v>
      </c>
      <c r="E68" s="783" t="s">
        <v>1784</v>
      </c>
      <c r="F68" s="821" t="e">
        <f ca="1">F41</f>
        <v>#N/A</v>
      </c>
      <c r="O68" s="2401" t="s">
        <v>2385</v>
      </c>
      <c r="P68" s="2399" t="s">
        <v>2415</v>
      </c>
      <c r="Q68" s="2405" t="e">
        <f ca="1">L51</f>
        <v>#N/A</v>
      </c>
      <c r="R68" s="2406" t="s">
        <v>2418</v>
      </c>
    </row>
    <row r="69" spans="1:18" ht="20.25" thickBot="1">
      <c r="A69" s="789"/>
      <c r="B69" s="790"/>
      <c r="C69" s="791"/>
      <c r="D69" s="815"/>
      <c r="E69" s="783" t="s">
        <v>709</v>
      </c>
      <c r="F69" s="2371"/>
      <c r="O69" s="2401" t="s">
        <v>2386</v>
      </c>
      <c r="P69" s="2407" t="s">
        <v>2400</v>
      </c>
      <c r="Q69" s="2400" t="e">
        <f ca="1">ROUND(Q70-Q71*Q72,0)</f>
        <v>#N/A</v>
      </c>
      <c r="R69" s="2403"/>
    </row>
    <row r="70" spans="1:18" ht="15.75" thickBot="1">
      <c r="A70" s="822" t="s">
        <v>1787</v>
      </c>
      <c r="B70" s="823" t="s">
        <v>1810</v>
      </c>
      <c r="C70" s="824" t="e">
        <f ca="1">ROUND(C67*10000/F70,0)</f>
        <v>#N/A</v>
      </c>
      <c r="D70" s="825" t="s">
        <v>1811</v>
      </c>
      <c r="E70" s="826" t="s">
        <v>1812</v>
      </c>
      <c r="F70" s="827"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建筑物剩余耐用年限下的土地年期修正系数Kn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8" zoomScale="80" zoomScaleNormal="80" workbookViewId="0">
      <selection activeCell="M33" sqref="M3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70" t="s">
        <v>3086</v>
      </c>
      <c r="E1" s="505"/>
      <c r="F1" s="2807" t="s">
        <v>3032</v>
      </c>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466</v>
      </c>
      <c r="B2" s="849">
        <f>ROUND(B3*D3/10000,0)</f>
        <v>42096</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518</v>
      </c>
      <c r="B3" s="509">
        <f>C49</f>
        <v>12957</v>
      </c>
      <c r="C3" s="851" t="s">
        <v>721</v>
      </c>
      <c r="D3" s="850">
        <f>SUMIF('数据-汇总表'!$C19:$C33,D1,'数据-汇总表'!$E19:$E33)</f>
        <v>32489</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520</v>
      </c>
      <c r="B4" s="512"/>
      <c r="C4" s="3396" t="s">
        <v>521</v>
      </c>
      <c r="D4" s="3397"/>
      <c r="E4" s="3430" t="s">
        <v>522</v>
      </c>
      <c r="F4" s="3431"/>
      <c r="G4" s="3396" t="s">
        <v>523</v>
      </c>
      <c r="H4" s="3397"/>
      <c r="I4" s="3396" t="s">
        <v>524</v>
      </c>
      <c r="J4" s="3397"/>
      <c r="K4" s="513"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1" t="s">
        <v>523</v>
      </c>
      <c r="AC4" s="3393" t="s">
        <v>524</v>
      </c>
    </row>
    <row r="5" spans="1:29" ht="15">
      <c r="A5" s="514"/>
      <c r="B5" s="515"/>
      <c r="C5" s="3412" t="s">
        <v>2928</v>
      </c>
      <c r="D5" s="3413"/>
      <c r="E5" s="3508" t="s">
        <v>3126</v>
      </c>
      <c r="F5" s="3433"/>
      <c r="G5" s="3506" t="s">
        <v>3127</v>
      </c>
      <c r="H5" s="3413"/>
      <c r="I5" s="3506" t="s">
        <v>3128</v>
      </c>
      <c r="J5" s="3413"/>
      <c r="K5" s="513"/>
      <c r="L5" s="2133"/>
      <c r="M5" s="2134"/>
      <c r="N5" s="2134"/>
      <c r="O5" s="2134"/>
      <c r="P5" s="3400"/>
      <c r="Q5" s="3401"/>
      <c r="R5" s="3406"/>
      <c r="S5" s="3407"/>
      <c r="T5" s="3406"/>
      <c r="U5" s="3407"/>
      <c r="V5" s="3391"/>
      <c r="W5" s="3391"/>
      <c r="X5" s="1566"/>
      <c r="Y5" s="3406"/>
      <c r="Z5" s="3407"/>
      <c r="AA5" s="3394"/>
      <c r="AB5" s="3391"/>
      <c r="AC5" s="3394"/>
    </row>
    <row r="6" spans="1:29" ht="15.75" thickBot="1">
      <c r="A6" s="516"/>
      <c r="B6" s="517"/>
      <c r="C6" s="3410" t="s">
        <v>2932</v>
      </c>
      <c r="D6" s="3411"/>
      <c r="E6" s="3507" t="s">
        <v>3131</v>
      </c>
      <c r="F6" s="3429"/>
      <c r="G6" s="3505" t="s">
        <v>3132</v>
      </c>
      <c r="H6" s="3411"/>
      <c r="I6" s="3505" t="s">
        <v>3133</v>
      </c>
      <c r="J6" s="3411"/>
      <c r="K6" s="513" t="s">
        <v>527</v>
      </c>
      <c r="L6" s="2133"/>
      <c r="M6" s="2134"/>
      <c r="N6" s="2134"/>
      <c r="O6" s="2134"/>
      <c r="P6" s="3402"/>
      <c r="Q6" s="3403"/>
      <c r="R6" s="3406"/>
      <c r="S6" s="3407"/>
      <c r="T6" s="3408"/>
      <c r="U6" s="3409"/>
      <c r="V6" s="3391"/>
      <c r="W6" s="3391"/>
      <c r="X6" s="1566"/>
      <c r="Y6" s="3408"/>
      <c r="Z6" s="3409"/>
      <c r="AA6" s="3395"/>
      <c r="AB6" s="3391"/>
      <c r="AC6" s="3395"/>
    </row>
    <row r="7" spans="1:29" s="1218" customFormat="1" ht="15.75" thickBot="1">
      <c r="A7" s="2912"/>
      <c r="B7" s="2919" t="s">
        <v>528</v>
      </c>
      <c r="C7" s="518">
        <f>'数据-取费表'!B2</f>
        <v>43276</v>
      </c>
      <c r="D7" s="519">
        <v>100</v>
      </c>
      <c r="E7" s="520">
        <v>43252</v>
      </c>
      <c r="F7" s="521">
        <f>SUMIF(58:58,YEAR(E7)&amp;"-"&amp;MONTH(E7),59:59)</f>
        <v>100</v>
      </c>
      <c r="G7" s="520">
        <v>43276</v>
      </c>
      <c r="H7" s="519">
        <f>SUMIF(58:58,YEAR(G7)&amp;"-"&amp;MONTH(G7),59:59)</f>
        <v>100</v>
      </c>
      <c r="I7" s="520">
        <v>43276</v>
      </c>
      <c r="J7" s="519">
        <f>SUMIF(58:58,YEAR(I7)&amp;"-"&amp;MONTH(I7),59:59)</f>
        <v>100</v>
      </c>
      <c r="K7" s="523"/>
      <c r="L7" s="2135"/>
      <c r="M7" s="2136"/>
      <c r="N7" s="2136"/>
      <c r="O7" s="2136"/>
      <c r="P7" s="3421" t="s">
        <v>529</v>
      </c>
      <c r="Q7" s="3423"/>
      <c r="R7" s="1567" t="s">
        <v>8</v>
      </c>
      <c r="S7" s="1568">
        <f t="shared" ref="S7:S15" si="0">F7</f>
        <v>100</v>
      </c>
      <c r="T7" s="1567" t="s">
        <v>8</v>
      </c>
      <c r="U7" s="1568">
        <f t="shared" ref="U7:U15" si="1">H7</f>
        <v>100</v>
      </c>
      <c r="V7" s="1567" t="s">
        <v>8</v>
      </c>
      <c r="W7" s="1568">
        <f t="shared" ref="W7:W15" si="2">J7</f>
        <v>100</v>
      </c>
      <c r="X7" s="1569"/>
      <c r="Y7" s="3421" t="s">
        <v>529</v>
      </c>
      <c r="Z7" s="3422"/>
      <c r="AA7" s="1570">
        <f>D7/F7</f>
        <v>1</v>
      </c>
      <c r="AB7" s="1570">
        <f>D7/H7</f>
        <v>1</v>
      </c>
      <c r="AC7" s="1570">
        <f>D7/J7</f>
        <v>1</v>
      </c>
    </row>
    <row r="8" spans="1:29" s="1218" customFormat="1" ht="15.75" thickBot="1">
      <c r="A8" s="2913"/>
      <c r="B8" s="2920" t="s">
        <v>530</v>
      </c>
      <c r="C8" s="524" t="s">
        <v>575</v>
      </c>
      <c r="D8" s="519">
        <v>100</v>
      </c>
      <c r="E8" s="524" t="s">
        <v>3016</v>
      </c>
      <c r="F8" s="521">
        <f>SUMIF(61:61,E8,62:62)-SUMIF(61:61,C8,62:62)+100</f>
        <v>100</v>
      </c>
      <c r="G8" s="524" t="s">
        <v>3016</v>
      </c>
      <c r="H8" s="519">
        <f>SUMIF(61:61,G8,62:62)-SUMIF(61:61,C8,62:62)+100</f>
        <v>100</v>
      </c>
      <c r="I8" s="524" t="s">
        <v>3016</v>
      </c>
      <c r="J8" s="519">
        <f>SUMIF(61:61,I8,62:62)-SUMIF(61:61,C8,62:62)+100</f>
        <v>100</v>
      </c>
      <c r="K8" s="523"/>
      <c r="L8" s="2135"/>
      <c r="M8" s="2136"/>
      <c r="N8" s="2136"/>
      <c r="O8" s="2136"/>
      <c r="P8" s="3421" t="s">
        <v>532</v>
      </c>
      <c r="Q8" s="3422"/>
      <c r="R8" s="1567" t="s">
        <v>8</v>
      </c>
      <c r="S8" s="1568">
        <f t="shared" si="0"/>
        <v>100</v>
      </c>
      <c r="T8" s="1567" t="s">
        <v>8</v>
      </c>
      <c r="U8" s="1568">
        <f t="shared" si="1"/>
        <v>100</v>
      </c>
      <c r="V8" s="1567" t="s">
        <v>8</v>
      </c>
      <c r="W8" s="1568">
        <f t="shared" si="2"/>
        <v>100</v>
      </c>
      <c r="X8" s="1569"/>
      <c r="Y8" s="3421" t="s">
        <v>532</v>
      </c>
      <c r="Z8" s="3422"/>
      <c r="AA8" s="1570">
        <f t="shared" ref="AA8:AA46" si="3">D8/F8</f>
        <v>1</v>
      </c>
      <c r="AB8" s="1570">
        <f t="shared" ref="AB8:AB46" si="4">D8/H8</f>
        <v>1</v>
      </c>
      <c r="AC8" s="1570">
        <f t="shared" ref="AC8:AC46" si="5">D8/J8</f>
        <v>1</v>
      </c>
    </row>
    <row r="9" spans="1:29" s="1218" customFormat="1" ht="15">
      <c r="A9" s="2914"/>
      <c r="B9" s="2921" t="s">
        <v>2758</v>
      </c>
      <c r="C9" s="3188" t="s">
        <v>3129</v>
      </c>
      <c r="D9" s="253">
        <v>100</v>
      </c>
      <c r="E9" s="3190" t="s">
        <v>3129</v>
      </c>
      <c r="F9" s="253">
        <f>SUMIF(63:63,E9,64:64)-SUMIF(63:63,C9,64:64)+100</f>
        <v>100</v>
      </c>
      <c r="G9" s="3189" t="s">
        <v>3129</v>
      </c>
      <c r="H9" s="253">
        <f>SUMIF(63:63,G9,64:64)-SUMIF(63:63,C9,64:64)+100</f>
        <v>100</v>
      </c>
      <c r="I9" s="3189" t="s">
        <v>3129</v>
      </c>
      <c r="J9" s="253">
        <f>SUMIF(63:63,I9,64:64)-SUMIF(63:63,C9,64:64)+100</f>
        <v>100</v>
      </c>
      <c r="K9" s="523"/>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2759</v>
      </c>
      <c r="C10" s="860" t="s">
        <v>3130</v>
      </c>
      <c r="D10" s="254">
        <v>100</v>
      </c>
      <c r="E10" s="860" t="s">
        <v>3130</v>
      </c>
      <c r="F10" s="254">
        <f>SUMIF(65:65,E10,66:66)-SUMIF(65:65,C10,66:66)+100</f>
        <v>100</v>
      </c>
      <c r="G10" s="861" t="s">
        <v>3130</v>
      </c>
      <c r="H10" s="254">
        <f>SUMIF(65:65,G10,66:66)-SUMIF(65:65,C10,66:66)+100</f>
        <v>100</v>
      </c>
      <c r="I10" s="860" t="s">
        <v>3130</v>
      </c>
      <c r="J10" s="254">
        <f>SUMIF(65:65,I10,66:66)-SUMIF(65:65,C10,66:66)+100</f>
        <v>100</v>
      </c>
      <c r="K10" s="583">
        <v>2</v>
      </c>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75" thickBot="1">
      <c r="A11" s="2916"/>
      <c r="B11" s="2920" t="s">
        <v>2760</v>
      </c>
      <c r="C11" s="532">
        <v>1.5</v>
      </c>
      <c r="D11" s="254">
        <v>100</v>
      </c>
      <c r="E11" s="532">
        <v>1.26</v>
      </c>
      <c r="F11" s="254">
        <f>LOOKUP(E11,68:68,69:69)-LOOKUP(C11,68:68,69:69)+100</f>
        <v>100</v>
      </c>
      <c r="G11" s="533">
        <v>1.2</v>
      </c>
      <c r="H11" s="254">
        <f>LOOKUP(G11,68:68,69:69)-LOOKUP(C11,68:68,69:69)+100</f>
        <v>100</v>
      </c>
      <c r="I11" s="532">
        <v>6</v>
      </c>
      <c r="J11" s="254">
        <f>LOOKUP(I11,68:68,69:69)-LOOKUP(C11,68:68,69:69)+100</f>
        <v>95</v>
      </c>
      <c r="K11" s="583">
        <v>1</v>
      </c>
      <c r="L11" s="2140"/>
      <c r="M11" s="2134"/>
      <c r="N11" s="2134"/>
      <c r="O11" s="2141"/>
      <c r="P11" s="3390"/>
      <c r="Q11" s="1149" t="str">
        <f t="shared" si="6"/>
        <v>容积率</v>
      </c>
      <c r="R11" s="1567" t="s">
        <v>8</v>
      </c>
      <c r="S11" s="1568">
        <f t="shared" si="0"/>
        <v>100</v>
      </c>
      <c r="T11" s="1567" t="s">
        <v>8</v>
      </c>
      <c r="U11" s="1568">
        <f t="shared" si="1"/>
        <v>100</v>
      </c>
      <c r="V11" s="1567" t="s">
        <v>8</v>
      </c>
      <c r="W11" s="1568">
        <f t="shared" si="2"/>
        <v>95</v>
      </c>
      <c r="X11" s="1569"/>
      <c r="Y11" s="3336"/>
      <c r="Z11" s="1148" t="str">
        <f t="shared" si="7"/>
        <v>容积率</v>
      </c>
      <c r="AA11" s="1570">
        <f t="shared" si="3"/>
        <v>1</v>
      </c>
      <c r="AB11" s="1570">
        <f t="shared" si="4"/>
        <v>1</v>
      </c>
      <c r="AC11" s="1570">
        <f t="shared" si="5"/>
        <v>1.0526315789473684</v>
      </c>
    </row>
    <row r="12" spans="1:29" s="1218" customFormat="1" ht="15" hidden="1">
      <c r="A12" s="2917"/>
      <c r="B12" s="2923">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hidden="1">
      <c r="A13" s="2917"/>
      <c r="B13" s="2923">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hidden="1" thickBot="1">
      <c r="A14" s="2918"/>
      <c r="B14" s="2924">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28.5">
      <c r="A15" s="2910" t="s">
        <v>2756</v>
      </c>
      <c r="B15" s="166" t="s">
        <v>540</v>
      </c>
      <c r="C15" s="866" t="str">
        <f>估价对象房地状况!C4</f>
        <v>多为社区底商，一般</v>
      </c>
      <c r="D15" s="548">
        <v>100</v>
      </c>
      <c r="E15" s="549"/>
      <c r="F15" s="550">
        <f>SUMIF(76:76,E16,77:77)-SUMIF(76:76,C16,77:77)+100</f>
        <v>102</v>
      </c>
      <c r="G15" s="551"/>
      <c r="H15" s="548">
        <f>SUMIF(76:76,G16,77:77)-SUMIF(76:76,C16,77:77)+100</f>
        <v>102</v>
      </c>
      <c r="I15" s="549"/>
      <c r="J15" s="548">
        <f>SUMIF(76:76,I16,77:77)-SUMIF(76:76,C16,77:77)+100</f>
        <v>102</v>
      </c>
      <c r="K15" s="897">
        <v>2</v>
      </c>
      <c r="L15" s="2142"/>
      <c r="M15" s="2134"/>
      <c r="N15" s="2134"/>
      <c r="O15" s="2141"/>
      <c r="P15" s="3424" t="s">
        <v>539</v>
      </c>
      <c r="Q15" s="1571" t="str">
        <f t="shared" si="6"/>
        <v>商业繁华度</v>
      </c>
      <c r="R15" s="1572" t="s">
        <v>8</v>
      </c>
      <c r="S15" s="1573">
        <f t="shared" si="0"/>
        <v>102</v>
      </c>
      <c r="T15" s="1572" t="s">
        <v>8</v>
      </c>
      <c r="U15" s="1573">
        <f t="shared" si="1"/>
        <v>102</v>
      </c>
      <c r="V15" s="1572" t="s">
        <v>8</v>
      </c>
      <c r="W15" s="1573">
        <f t="shared" si="2"/>
        <v>102</v>
      </c>
      <c r="X15" s="1566"/>
      <c r="Y15" s="3424" t="s">
        <v>539</v>
      </c>
      <c r="Z15" s="1574" t="str">
        <f t="shared" si="7"/>
        <v>商业繁华度</v>
      </c>
      <c r="AA15" s="1575">
        <f t="shared" si="3"/>
        <v>0.98039215686274506</v>
      </c>
      <c r="AB15" s="1575">
        <f t="shared" si="4"/>
        <v>0.98039215686274506</v>
      </c>
      <c r="AC15" s="1575">
        <f t="shared" si="5"/>
        <v>0.98039215686274506</v>
      </c>
    </row>
    <row r="16" spans="1:29" ht="15">
      <c r="A16" s="531"/>
      <c r="B16" s="868"/>
      <c r="C16" s="575" t="s">
        <v>3092</v>
      </c>
      <c r="D16" s="554"/>
      <c r="E16" s="3207" t="s">
        <v>3149</v>
      </c>
      <c r="F16" s="556"/>
      <c r="G16" s="3207" t="s">
        <v>3149</v>
      </c>
      <c r="H16" s="558"/>
      <c r="I16" s="3207" t="s">
        <v>3149</v>
      </c>
      <c r="J16" s="554"/>
      <c r="K16" s="898"/>
      <c r="L16" s="2142"/>
      <c r="M16" s="2134"/>
      <c r="N16" s="2134"/>
      <c r="O16" s="2141"/>
      <c r="P16" s="3425"/>
      <c r="Q16" s="1571"/>
      <c r="R16" s="1572"/>
      <c r="S16" s="1573"/>
      <c r="T16" s="1572"/>
      <c r="U16" s="1573"/>
      <c r="V16" s="1572"/>
      <c r="W16" s="1573"/>
      <c r="X16" s="1566"/>
      <c r="Y16" s="3425"/>
      <c r="Z16" s="1574"/>
      <c r="AA16" s="1575">
        <v>1</v>
      </c>
      <c r="AB16" s="1575">
        <v>1</v>
      </c>
      <c r="AC16" s="1575">
        <v>1</v>
      </c>
    </row>
    <row r="17" spans="1:29" ht="42.75">
      <c r="A17" s="531"/>
      <c r="B17" s="870" t="s">
        <v>295</v>
      </c>
      <c r="C17" s="871" t="str">
        <f>估价对象房地状况!C6</f>
        <v>临支路，1公里内无公共交通，较差</v>
      </c>
      <c r="D17" s="558">
        <v>100</v>
      </c>
      <c r="E17" s="561"/>
      <c r="F17" s="562">
        <f>SUMIF(78:78,E18,79:79)-SUMIF(78:78,C18,79:79)+100</f>
        <v>102</v>
      </c>
      <c r="G17" s="563"/>
      <c r="H17" s="564">
        <f>SUMIF(78:78,G18,79:79)-SUMIF(78:78,C18,79:79)+100</f>
        <v>102</v>
      </c>
      <c r="I17" s="561" t="s">
        <v>3168</v>
      </c>
      <c r="J17" s="564">
        <f>SUMIF(78:78,I18,79:79)-SUMIF(78:78,C18,79:79)+100</f>
        <v>104</v>
      </c>
      <c r="K17" s="897">
        <v>2</v>
      </c>
      <c r="L17" s="2142"/>
      <c r="M17" s="2134"/>
      <c r="N17" s="2134"/>
      <c r="O17" s="2141"/>
      <c r="P17" s="3425"/>
      <c r="Q17" s="1571" t="str">
        <f>B17</f>
        <v>交通便捷度</v>
      </c>
      <c r="R17" s="1572" t="s">
        <v>8</v>
      </c>
      <c r="S17" s="1573">
        <f>F17</f>
        <v>102</v>
      </c>
      <c r="T17" s="1572" t="s">
        <v>8</v>
      </c>
      <c r="U17" s="1573">
        <f>H17</f>
        <v>102</v>
      </c>
      <c r="V17" s="1572" t="s">
        <v>8</v>
      </c>
      <c r="W17" s="1573">
        <f>J17</f>
        <v>104</v>
      </c>
      <c r="X17" s="1566"/>
      <c r="Y17" s="3425"/>
      <c r="Z17" s="1574" t="str">
        <f>Q17</f>
        <v>交通便捷度</v>
      </c>
      <c r="AA17" s="1575">
        <f t="shared" si="3"/>
        <v>0.98039215686274506</v>
      </c>
      <c r="AB17" s="1575">
        <f t="shared" si="4"/>
        <v>0.98039215686274506</v>
      </c>
      <c r="AC17" s="1575">
        <f t="shared" si="5"/>
        <v>0.96153846153846156</v>
      </c>
    </row>
    <row r="18" spans="1:29" ht="15">
      <c r="A18" s="531"/>
      <c r="B18" s="594"/>
      <c r="C18" s="872" t="s">
        <v>3156</v>
      </c>
      <c r="D18" s="558"/>
      <c r="E18" s="3208" t="s">
        <v>3157</v>
      </c>
      <c r="F18" s="562"/>
      <c r="G18" s="3195" t="s">
        <v>3092</v>
      </c>
      <c r="H18" s="554"/>
      <c r="I18" s="3208" t="s">
        <v>3149</v>
      </c>
      <c r="J18" s="554"/>
      <c r="K18" s="898"/>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1"/>
      <c r="B19" s="2600" t="s">
        <v>2548</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v>2</v>
      </c>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94"/>
      <c r="C20" s="575" t="s">
        <v>3092</v>
      </c>
      <c r="D20" s="554"/>
      <c r="E20" s="575" t="s">
        <v>3092</v>
      </c>
      <c r="F20" s="556"/>
      <c r="G20" s="575" t="s">
        <v>3092</v>
      </c>
      <c r="H20" s="554"/>
      <c r="I20" s="575" t="s">
        <v>3092</v>
      </c>
      <c r="J20" s="554"/>
      <c r="K20" s="898"/>
      <c r="L20" s="2142"/>
      <c r="M20" s="2134"/>
      <c r="N20" s="2134"/>
      <c r="O20" s="2141"/>
      <c r="P20" s="3425"/>
      <c r="Q20" s="1571"/>
      <c r="R20" s="1572"/>
      <c r="S20" s="1573"/>
      <c r="T20" s="1572"/>
      <c r="U20" s="1573"/>
      <c r="V20" s="1572"/>
      <c r="W20" s="1573"/>
      <c r="X20" s="1566"/>
      <c r="Y20" s="3425"/>
      <c r="Z20" s="1574"/>
      <c r="AA20" s="1575">
        <v>1</v>
      </c>
      <c r="AB20" s="1575">
        <v>1</v>
      </c>
      <c r="AC20" s="1575">
        <v>1</v>
      </c>
    </row>
    <row r="21" spans="1:29" ht="42.75">
      <c r="A21" s="531"/>
      <c r="B21" s="2593" t="s">
        <v>2560</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97">
        <v>1</v>
      </c>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920"/>
      <c r="C22" s="872" t="s">
        <v>3108</v>
      </c>
      <c r="D22" s="554"/>
      <c r="E22" s="872" t="s">
        <v>3108</v>
      </c>
      <c r="F22" s="556"/>
      <c r="G22" s="872" t="s">
        <v>3108</v>
      </c>
      <c r="H22" s="554"/>
      <c r="I22" s="872" t="s">
        <v>3108</v>
      </c>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85.5">
      <c r="A23" s="531"/>
      <c r="B23" s="870" t="s">
        <v>296</v>
      </c>
      <c r="C23" s="899" t="str">
        <f>估价对象房地状况!C9</f>
        <v>贾平凹文化艺术馆、鹦鹉寺公园、西安工程大学、北京大学光华管理学院西安分院，较好</v>
      </c>
      <c r="D23" s="558">
        <v>100</v>
      </c>
      <c r="E23" s="561"/>
      <c r="F23" s="562">
        <f>SUMIF(84:84,E24,85:85)-SUMIF(84:84,C24,85:85)+100</f>
        <v>97</v>
      </c>
      <c r="G23" s="563"/>
      <c r="H23" s="558">
        <f>SUMIF(84:84,G24,85:85)-SUMIF(84:84,C24,85:85)+100</f>
        <v>97</v>
      </c>
      <c r="I23" s="561"/>
      <c r="J23" s="558">
        <f>SUMIF(84:84,I24,85:85)-SUMIF(84:84,C24,85:85)+100</f>
        <v>97</v>
      </c>
      <c r="K23" s="897">
        <v>3</v>
      </c>
      <c r="L23" s="2142"/>
      <c r="M23" s="2134"/>
      <c r="N23" s="2134"/>
      <c r="O23" s="2141"/>
      <c r="P23" s="3425"/>
      <c r="Q23" s="1571" t="str">
        <f>B23</f>
        <v>自然及人文环境</v>
      </c>
      <c r="R23" s="1572" t="s">
        <v>8</v>
      </c>
      <c r="S23" s="1573">
        <f>F23</f>
        <v>97</v>
      </c>
      <c r="T23" s="1572" t="s">
        <v>8</v>
      </c>
      <c r="U23" s="1573">
        <f>H23</f>
        <v>97</v>
      </c>
      <c r="V23" s="1572" t="s">
        <v>8</v>
      </c>
      <c r="W23" s="1573">
        <f>J23</f>
        <v>97</v>
      </c>
      <c r="X23" s="1566"/>
      <c r="Y23" s="3425"/>
      <c r="Z23" s="1574" t="str">
        <f>Q23</f>
        <v>自然及人文环境</v>
      </c>
      <c r="AA23" s="1575">
        <f t="shared" si="3"/>
        <v>1.0309278350515463</v>
      </c>
      <c r="AB23" s="1575">
        <f t="shared" si="4"/>
        <v>1.0309278350515463</v>
      </c>
      <c r="AC23" s="1575">
        <f t="shared" si="5"/>
        <v>1.0309278350515463</v>
      </c>
    </row>
    <row r="24" spans="1:29" ht="15">
      <c r="A24" s="531"/>
      <c r="B24" s="594"/>
      <c r="C24" s="575" t="s">
        <v>3148</v>
      </c>
      <c r="D24" s="554"/>
      <c r="E24" s="575" t="s">
        <v>3092</v>
      </c>
      <c r="F24" s="556"/>
      <c r="G24" s="575" t="s">
        <v>3092</v>
      </c>
      <c r="H24" s="554"/>
      <c r="I24" s="575" t="s">
        <v>3092</v>
      </c>
      <c r="J24" s="554"/>
      <c r="K24" s="898"/>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8" customFormat="1" ht="15">
      <c r="A27" s="535"/>
      <c r="B27" s="870" t="s">
        <v>758</v>
      </c>
      <c r="C27" s="3209" t="s">
        <v>3157</v>
      </c>
      <c r="D27" s="874">
        <v>100</v>
      </c>
      <c r="E27" s="3209" t="s">
        <v>3151</v>
      </c>
      <c r="F27" s="875">
        <f>SUMIF(90:90,E27,91:91)-SUMIF(90:90,C27,91:91)+100</f>
        <v>103</v>
      </c>
      <c r="G27" s="3209" t="s">
        <v>3151</v>
      </c>
      <c r="H27" s="874">
        <f>SUMIF(90:90,G27,91:91)-SUMIF(90:90,C27,91:91)+100</f>
        <v>103</v>
      </c>
      <c r="I27" s="3209" t="s">
        <v>3151</v>
      </c>
      <c r="J27" s="874">
        <f>SUMIF(90:90,I27,91:91)-SUMIF(90:90,C27,91:91)+100</f>
        <v>103</v>
      </c>
      <c r="K27" s="583">
        <v>3</v>
      </c>
      <c r="L27" s="2135"/>
      <c r="M27" s="2136"/>
      <c r="N27" s="2136"/>
      <c r="O27" s="2137"/>
      <c r="P27" s="3425"/>
      <c r="Q27" s="1149" t="str">
        <f t="shared" si="11"/>
        <v>人流量</v>
      </c>
      <c r="R27" s="1567" t="s">
        <v>8</v>
      </c>
      <c r="S27" s="1568">
        <f>F27</f>
        <v>103</v>
      </c>
      <c r="T27" s="1567" t="s">
        <v>8</v>
      </c>
      <c r="U27" s="1568">
        <f>H27</f>
        <v>103</v>
      </c>
      <c r="V27" s="1567" t="s">
        <v>8</v>
      </c>
      <c r="W27" s="1568">
        <f>J27</f>
        <v>103</v>
      </c>
      <c r="X27" s="1569"/>
      <c r="Y27" s="3425"/>
      <c r="Z27" s="1148" t="str">
        <f>Q27</f>
        <v>人流量</v>
      </c>
      <c r="AA27" s="1575">
        <f>D27/F27</f>
        <v>0.970873786407767</v>
      </c>
      <c r="AB27" s="1575">
        <f>D27/H27</f>
        <v>0.970873786407767</v>
      </c>
      <c r="AC27" s="1575">
        <f>D27/J27</f>
        <v>0.970873786407767</v>
      </c>
    </row>
    <row r="28" spans="1:29" ht="15">
      <c r="A28" s="531"/>
      <c r="B28" s="526" t="s">
        <v>760</v>
      </c>
      <c r="C28" s="582" t="s">
        <v>3171</v>
      </c>
      <c r="D28" s="539">
        <v>100</v>
      </c>
      <c r="E28" s="582" t="s">
        <v>3171</v>
      </c>
      <c r="F28" s="574">
        <f>SUMIF(92:92,E28,93:93)-SUMIF(92:92,C28,93:93)+100</f>
        <v>100</v>
      </c>
      <c r="G28" s="582" t="s">
        <v>3171</v>
      </c>
      <c r="H28" s="539">
        <f>SUMIF(92:92,G28,93:93)-SUMIF(92:92,C28,93:93)+100</f>
        <v>100</v>
      </c>
      <c r="I28" s="582" t="s">
        <v>3171</v>
      </c>
      <c r="J28" s="539">
        <f>SUMIF(92:92,I28,93:93)-SUMIF(92:92,C28,93:93)+100</f>
        <v>100</v>
      </c>
      <c r="K28" s="580"/>
      <c r="L28" s="2142"/>
      <c r="M28" s="2134"/>
      <c r="N28" s="2134"/>
      <c r="O28" s="2141"/>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7" t="s">
        <v>2757</v>
      </c>
      <c r="B32" s="172" t="s">
        <v>761</v>
      </c>
      <c r="C32" s="3220" t="s">
        <v>3172</v>
      </c>
      <c r="D32" s="596">
        <v>100</v>
      </c>
      <c r="E32" s="877" t="s">
        <v>3152</v>
      </c>
      <c r="F32" s="574">
        <f>SUMIF(100:100,E32,101:101)-SUMIF(100:100,C32,101:101)+100</f>
        <v>103</v>
      </c>
      <c r="G32" s="877" t="s">
        <v>3152</v>
      </c>
      <c r="H32" s="539">
        <f>SUMIF(100:100,G32,101:101)-SUMIF(100:100,C32,101:101)+100</f>
        <v>103</v>
      </c>
      <c r="I32" s="877" t="s">
        <v>3152</v>
      </c>
      <c r="J32" s="596">
        <f>SUMIF(100:100,I32,101:101)-SUMIF(100:100,C32,101:101)+100</f>
        <v>103</v>
      </c>
      <c r="K32" s="583">
        <v>1</v>
      </c>
      <c r="L32" s="2142"/>
      <c r="M32" s="2134"/>
      <c r="N32" s="2134"/>
      <c r="O32" s="2141"/>
      <c r="P32" s="3426" t="s">
        <v>549</v>
      </c>
      <c r="Q32" s="1571" t="str">
        <f t="shared" si="11"/>
        <v>商业类型</v>
      </c>
      <c r="R32" s="1572" t="s">
        <v>8</v>
      </c>
      <c r="S32" s="1573">
        <f t="shared" si="12"/>
        <v>103</v>
      </c>
      <c r="T32" s="1572" t="s">
        <v>8</v>
      </c>
      <c r="U32" s="1573">
        <f t="shared" si="13"/>
        <v>103</v>
      </c>
      <c r="V32" s="1572" t="s">
        <v>8</v>
      </c>
      <c r="W32" s="1573">
        <f t="shared" si="14"/>
        <v>103</v>
      </c>
      <c r="X32" s="1566"/>
      <c r="Y32" s="3427" t="s">
        <v>549</v>
      </c>
      <c r="Z32" s="1574" t="str">
        <f t="shared" si="15"/>
        <v>商业类型</v>
      </c>
      <c r="AA32" s="1575">
        <f t="shared" si="3"/>
        <v>0.970873786407767</v>
      </c>
      <c r="AB32" s="1575">
        <f t="shared" si="4"/>
        <v>0.970873786407767</v>
      </c>
      <c r="AC32" s="1575">
        <f t="shared" si="5"/>
        <v>0.970873786407767</v>
      </c>
    </row>
    <row r="33" spans="1:29" s="1337" customFormat="1" ht="15">
      <c r="A33" s="602"/>
      <c r="B33" s="526" t="s">
        <v>725</v>
      </c>
      <c r="C33" s="879">
        <f>'数据-汇总表'!F19</f>
        <v>32489</v>
      </c>
      <c r="D33" s="254">
        <v>100</v>
      </c>
      <c r="E33" s="533">
        <v>48948</v>
      </c>
      <c r="F33" s="862">
        <f>LOOKUP(E33,103:103,104:104)-LOOKUP(C33,103:103,104:104)+100</f>
        <v>100</v>
      </c>
      <c r="G33" s="532">
        <v>61000</v>
      </c>
      <c r="H33" s="254">
        <f>LOOKUP(G33,103:103,104:104)-LOOKUP(C33,103:103,104:104)+100</f>
        <v>101</v>
      </c>
      <c r="I33" s="532">
        <v>480000</v>
      </c>
      <c r="J33" s="254">
        <f>LOOKUP(I33,103:103,104:104)-LOOKUP(C33,103:103,104:104)+100</f>
        <v>105</v>
      </c>
      <c r="K33" s="580"/>
      <c r="L33" s="2140"/>
      <c r="M33" s="2171"/>
      <c r="N33" s="2171"/>
      <c r="O33" s="2143"/>
      <c r="P33" s="3427"/>
      <c r="Q33" s="1604" t="str">
        <f t="shared" si="11"/>
        <v>项目建筑规模</v>
      </c>
      <c r="R33" s="1576" t="s">
        <v>8</v>
      </c>
      <c r="S33" s="1577">
        <f t="shared" si="12"/>
        <v>100</v>
      </c>
      <c r="T33" s="1576" t="s">
        <v>8</v>
      </c>
      <c r="U33" s="1577">
        <f t="shared" si="13"/>
        <v>101</v>
      </c>
      <c r="V33" s="1576" t="s">
        <v>8</v>
      </c>
      <c r="W33" s="1577">
        <f t="shared" si="14"/>
        <v>105</v>
      </c>
      <c r="X33" s="1578"/>
      <c r="Y33" s="3427"/>
      <c r="Z33" s="1579" t="str">
        <f t="shared" si="15"/>
        <v>项目建筑规模</v>
      </c>
      <c r="AA33" s="1575">
        <f t="shared" si="3"/>
        <v>1</v>
      </c>
      <c r="AB33" s="1575">
        <f t="shared" si="4"/>
        <v>0.99009900990099009</v>
      </c>
      <c r="AC33" s="1575">
        <f t="shared" si="5"/>
        <v>0.95238095238095233</v>
      </c>
    </row>
    <row r="34" spans="1:29" ht="15">
      <c r="A34" s="593"/>
      <c r="B34" s="526" t="s">
        <v>726</v>
      </c>
      <c r="C34" s="880" t="s">
        <v>3019</v>
      </c>
      <c r="D34" s="539">
        <v>100</v>
      </c>
      <c r="E34" s="880" t="s">
        <v>3019</v>
      </c>
      <c r="F34" s="574">
        <f>SUMIF(105:105,E34,106:106)-SUMIF(105:105,C34,106:106)+100</f>
        <v>100</v>
      </c>
      <c r="G34" s="880" t="s">
        <v>3019</v>
      </c>
      <c r="H34" s="539">
        <f>SUMIF(105:105,G34,106:106)-SUMIF(105:105,C34,106:106)+100</f>
        <v>100</v>
      </c>
      <c r="I34" s="880" t="s">
        <v>3019</v>
      </c>
      <c r="J34" s="539">
        <f>SUMIF(105:105,I34,106:106)-SUMIF(105:105,C34,106:106)+100</f>
        <v>100</v>
      </c>
      <c r="K34" s="583">
        <v>1</v>
      </c>
      <c r="L34" s="2142"/>
      <c r="M34" s="2134"/>
      <c r="N34" s="2134"/>
      <c r="O34" s="2141"/>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v>1</v>
      </c>
      <c r="L35" s="2142"/>
      <c r="M35" s="2134"/>
      <c r="N35" s="2134"/>
      <c r="O35" s="2141"/>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3"/>
      <c r="B36" s="526" t="s">
        <v>763</v>
      </c>
      <c r="C36" s="882">
        <v>1</v>
      </c>
      <c r="D36" s="539">
        <v>100</v>
      </c>
      <c r="E36" s="882">
        <v>1</v>
      </c>
      <c r="F36" s="574">
        <f>LOOKUP(E36,110:110,111:111)-LOOKUP(C36,110:110,111:111)+100</f>
        <v>100</v>
      </c>
      <c r="G36" s="882">
        <v>1</v>
      </c>
      <c r="H36" s="574">
        <f>LOOKUP(G36,110:110,111:111)-LOOKUP(C36,110:110,111:111)+100</f>
        <v>100</v>
      </c>
      <c r="I36" s="882">
        <v>1</v>
      </c>
      <c r="J36" s="539">
        <f>LOOKUP(I36,110:110,111:111)-LOOKUP(C36,110:110,111:111)+100</f>
        <v>100</v>
      </c>
      <c r="K36" s="583">
        <v>1</v>
      </c>
      <c r="L36" s="2142"/>
      <c r="M36" s="2134"/>
      <c r="N36" s="2134"/>
      <c r="O36" s="2141"/>
      <c r="P36" s="3427"/>
      <c r="Q36" s="1571" t="str">
        <f t="shared" si="11"/>
        <v>成新度</v>
      </c>
      <c r="R36" s="1572" t="s">
        <v>8</v>
      </c>
      <c r="S36" s="1573">
        <f t="shared" si="12"/>
        <v>100</v>
      </c>
      <c r="T36" s="1572" t="s">
        <v>8</v>
      </c>
      <c r="U36" s="1573">
        <f t="shared" si="13"/>
        <v>100</v>
      </c>
      <c r="V36" s="1572" t="s">
        <v>8</v>
      </c>
      <c r="W36" s="1573">
        <f t="shared" si="14"/>
        <v>100</v>
      </c>
      <c r="X36" s="1566"/>
      <c r="Y36" s="3427"/>
      <c r="Z36" s="1574" t="str">
        <f t="shared" si="15"/>
        <v>成新度</v>
      </c>
      <c r="AA36" s="1575">
        <f t="shared" si="3"/>
        <v>1</v>
      </c>
      <c r="AB36" s="1575">
        <f t="shared" si="4"/>
        <v>1</v>
      </c>
      <c r="AC36" s="1575">
        <f t="shared" si="5"/>
        <v>1</v>
      </c>
    </row>
    <row r="37" spans="1:29" s="1218" customFormat="1" ht="15">
      <c r="A37" s="599"/>
      <c r="B37" s="1895" t="s">
        <v>2567</v>
      </c>
      <c r="C37" s="598" t="s">
        <v>3108</v>
      </c>
      <c r="D37" s="254">
        <v>100</v>
      </c>
      <c r="E37" s="598" t="s">
        <v>3108</v>
      </c>
      <c r="F37" s="574">
        <f>SUMIF(112:112,E37,113:113)-SUMIF(112:112,C37,113:113)+100</f>
        <v>100</v>
      </c>
      <c r="G37" s="598" t="s">
        <v>3108</v>
      </c>
      <c r="H37" s="539">
        <f>SUMIF(112:112,G37,113:113)-SUMIF(112:112,C37,113:113)+100</f>
        <v>100</v>
      </c>
      <c r="I37" s="598" t="s">
        <v>3108</v>
      </c>
      <c r="J37" s="539">
        <f>SUMIF(112:112,I37,113:113)-SUMIF(112:112,C37,113:113)+100</f>
        <v>100</v>
      </c>
      <c r="K37" s="583">
        <v>1</v>
      </c>
      <c r="L37" s="2135"/>
      <c r="M37" s="2136"/>
      <c r="N37" s="2136"/>
      <c r="O37" s="2137"/>
      <c r="P37" s="3427"/>
      <c r="Q37" s="1149" t="str">
        <f t="shared" si="11"/>
        <v>市政基础设施</v>
      </c>
      <c r="R37" s="1567" t="s">
        <v>8</v>
      </c>
      <c r="S37" s="1568">
        <f t="shared" si="12"/>
        <v>100</v>
      </c>
      <c r="T37" s="1567" t="s">
        <v>8</v>
      </c>
      <c r="U37" s="1568">
        <f t="shared" si="13"/>
        <v>100</v>
      </c>
      <c r="V37" s="1567" t="s">
        <v>8</v>
      </c>
      <c r="W37" s="1568">
        <f t="shared" si="14"/>
        <v>100</v>
      </c>
      <c r="X37" s="1569"/>
      <c r="Y37" s="3427"/>
      <c r="Z37" s="1148" t="str">
        <f t="shared" si="15"/>
        <v>市政基础设施</v>
      </c>
      <c r="AA37" s="1570">
        <f t="shared" si="3"/>
        <v>1</v>
      </c>
      <c r="AB37" s="1570">
        <f t="shared" si="4"/>
        <v>1</v>
      </c>
      <c r="AC37" s="1570">
        <f t="shared" si="5"/>
        <v>1</v>
      </c>
    </row>
    <row r="38" spans="1:29" ht="15">
      <c r="A38" s="593"/>
      <c r="B38" s="526" t="s">
        <v>764</v>
      </c>
      <c r="C38" s="598" t="s">
        <v>3136</v>
      </c>
      <c r="D38" s="539">
        <v>100</v>
      </c>
      <c r="E38" s="598" t="s">
        <v>3136</v>
      </c>
      <c r="F38" s="574">
        <f>SUMIF(114:114,E38,115:115)-SUMIF(114:114,C38,115:115)+100</f>
        <v>100</v>
      </c>
      <c r="G38" s="598" t="s">
        <v>3136</v>
      </c>
      <c r="H38" s="539">
        <f>SUMIF(114:114,G38,115:115)-SUMIF(114:114,C38,115:115)+100</f>
        <v>100</v>
      </c>
      <c r="I38" s="598" t="s">
        <v>3136</v>
      </c>
      <c r="J38" s="539">
        <f>SUMIF(114:114,I38,115:115)-SUMIF(114:114,C38,115:115)+100</f>
        <v>100</v>
      </c>
      <c r="K38" s="583">
        <v>3</v>
      </c>
      <c r="L38" s="2142"/>
      <c r="M38" s="2134"/>
      <c r="N38" s="2134"/>
      <c r="O38" s="2141"/>
      <c r="P38" s="3427" t="s">
        <v>765</v>
      </c>
      <c r="Q38" s="1571" t="str">
        <f t="shared" si="11"/>
        <v>业态</v>
      </c>
      <c r="R38" s="1572" t="s">
        <v>8</v>
      </c>
      <c r="S38" s="1573">
        <f t="shared" si="12"/>
        <v>100</v>
      </c>
      <c r="T38" s="1572" t="s">
        <v>8</v>
      </c>
      <c r="U38" s="1573">
        <f t="shared" si="13"/>
        <v>100</v>
      </c>
      <c r="V38" s="1572" t="s">
        <v>8</v>
      </c>
      <c r="W38" s="1573">
        <f t="shared" si="14"/>
        <v>100</v>
      </c>
      <c r="X38" s="1566"/>
      <c r="Y38" s="3427" t="s">
        <v>765</v>
      </c>
      <c r="Z38" s="1574" t="str">
        <f t="shared" si="15"/>
        <v>业态</v>
      </c>
      <c r="AA38" s="1575">
        <f t="shared" si="3"/>
        <v>1</v>
      </c>
      <c r="AB38" s="1575">
        <f t="shared" si="4"/>
        <v>1</v>
      </c>
      <c r="AC38" s="1575">
        <f t="shared" si="5"/>
        <v>1</v>
      </c>
    </row>
    <row r="39" spans="1:29" ht="15">
      <c r="A39" s="593"/>
      <c r="B39" s="526" t="s">
        <v>766</v>
      </c>
      <c r="C39" s="598" t="s">
        <v>3140</v>
      </c>
      <c r="D39" s="539">
        <v>100</v>
      </c>
      <c r="E39" s="598" t="s">
        <v>3140</v>
      </c>
      <c r="F39" s="574">
        <f>SUMIF(116:116,E39,117:117)-SUMIF(116:116,C39,117:117)+100</f>
        <v>100</v>
      </c>
      <c r="G39" s="598" t="s">
        <v>3140</v>
      </c>
      <c r="H39" s="539">
        <f>SUMIF(116:116,G39,117:117)-SUMIF(116:116,C39,117:117)+100</f>
        <v>100</v>
      </c>
      <c r="I39" s="598" t="s">
        <v>3140</v>
      </c>
      <c r="J39" s="539">
        <f>SUMIF(116:116,I39,117:117)-SUMIF(116:116,C39,117:117)+100</f>
        <v>100</v>
      </c>
      <c r="K39" s="583">
        <v>3</v>
      </c>
      <c r="L39" s="2142"/>
      <c r="M39" s="2134"/>
      <c r="N39" s="2134"/>
      <c r="O39" s="2141"/>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3"/>
      <c r="B40" s="526" t="s">
        <v>767</v>
      </c>
      <c r="C40" s="901"/>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7" customFormat="1" ht="15">
      <c r="A41" s="602"/>
      <c r="B41" s="902" t="s">
        <v>768</v>
      </c>
      <c r="C41" s="582" t="s">
        <v>3142</v>
      </c>
      <c r="D41" s="539">
        <v>100</v>
      </c>
      <c r="E41" s="582" t="s">
        <v>3142</v>
      </c>
      <c r="F41" s="574">
        <f>SUMIF(120:120,E41,121:121)-SUMIF(120:120,C41,121:121)+100</f>
        <v>100</v>
      </c>
      <c r="G41" s="582" t="s">
        <v>3142</v>
      </c>
      <c r="H41" s="539">
        <f>SUMIF(120:120,G41,121:121)-SUMIF(120:120,C41,121:121)+100</f>
        <v>100</v>
      </c>
      <c r="I41" s="582" t="s">
        <v>3142</v>
      </c>
      <c r="J41" s="539">
        <f>SUMIF(120:120,I41,121:121)-SUMIF(120:120,C41,121:121)+100</f>
        <v>100</v>
      </c>
      <c r="K41" s="583">
        <v>2</v>
      </c>
      <c r="L41" s="2140"/>
      <c r="M41" s="2171"/>
      <c r="N41" s="2171"/>
      <c r="O41" s="2143"/>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3"/>
      <c r="B42" s="526" t="s">
        <v>769</v>
      </c>
      <c r="C42" s="598" t="s">
        <v>3144</v>
      </c>
      <c r="D42" s="539">
        <v>100</v>
      </c>
      <c r="E42" s="598" t="s">
        <v>3144</v>
      </c>
      <c r="F42" s="574">
        <f>SUMIF(122:122,E42,123:123)-SUMIF(122:122,C42,123:123)+100</f>
        <v>100</v>
      </c>
      <c r="G42" s="598" t="s">
        <v>3144</v>
      </c>
      <c r="H42" s="539">
        <f>SUMIF(122:122,G42,123:123)-SUMIF(122:122,C42,123:123)+100</f>
        <v>100</v>
      </c>
      <c r="I42" s="598" t="s">
        <v>3144</v>
      </c>
      <c r="J42" s="539">
        <f>SUMIF(122:122,I42,123:123)-SUMIF(122:122,C42,123:123)+100</f>
        <v>100</v>
      </c>
      <c r="K42" s="583">
        <v>3</v>
      </c>
      <c r="L42" s="2142"/>
      <c r="M42" s="2134"/>
      <c r="N42" s="2134"/>
      <c r="O42" s="2141"/>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75" thickBot="1">
      <c r="A43" s="593"/>
      <c r="B43" s="526" t="s">
        <v>734</v>
      </c>
      <c r="C43" s="598" t="s">
        <v>3146</v>
      </c>
      <c r="D43" s="539">
        <v>100</v>
      </c>
      <c r="E43" s="598" t="s">
        <v>3146</v>
      </c>
      <c r="F43" s="574">
        <f>SUMIF(124:124,E43,125:125)-SUMIF(124:124,C43,125:125)+100</f>
        <v>100</v>
      </c>
      <c r="G43" s="598" t="s">
        <v>3146</v>
      </c>
      <c r="H43" s="539">
        <f>SUMIF(124:124,G43,125:125)-SUMIF(124:124,C43,125:125)+100</f>
        <v>100</v>
      </c>
      <c r="I43" s="598" t="s">
        <v>3146</v>
      </c>
      <c r="J43" s="539">
        <f>SUMIF(124:124,I43,125:125)-SUMIF(124:124,C43,125:125)+100</f>
        <v>100</v>
      </c>
      <c r="K43" s="583">
        <v>2</v>
      </c>
      <c r="L43" s="2142"/>
      <c r="M43" s="2134"/>
      <c r="N43" s="2134"/>
      <c r="O43" s="2141"/>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8" customFormat="1" ht="15" hidden="1">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27"/>
      <c r="Q44" s="1149">
        <f t="shared" si="11"/>
        <v>111</v>
      </c>
      <c r="R44" s="1567" t="s">
        <v>8</v>
      </c>
      <c r="S44" s="1568">
        <f t="shared" si="12"/>
        <v>100</v>
      </c>
      <c r="T44" s="1567" t="s">
        <v>8</v>
      </c>
      <c r="U44" s="1568">
        <f t="shared" si="13"/>
        <v>100</v>
      </c>
      <c r="V44" s="1567" t="s">
        <v>8</v>
      </c>
      <c r="W44" s="1568">
        <f t="shared" si="14"/>
        <v>100</v>
      </c>
      <c r="X44" s="1569"/>
      <c r="Y44" s="3427"/>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hidden="1"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502"/>
      <c r="Q46" s="1571">
        <f t="shared" si="11"/>
        <v>111</v>
      </c>
      <c r="R46" s="1572" t="s">
        <v>8</v>
      </c>
      <c r="S46" s="1573">
        <f t="shared" si="12"/>
        <v>100</v>
      </c>
      <c r="T46" s="1572" t="s">
        <v>8</v>
      </c>
      <c r="U46" s="1573">
        <f t="shared" si="13"/>
        <v>100</v>
      </c>
      <c r="V46" s="1572" t="s">
        <v>8</v>
      </c>
      <c r="W46" s="1573">
        <f t="shared" si="14"/>
        <v>100</v>
      </c>
      <c r="X46" s="1566"/>
      <c r="Y46" s="3502"/>
      <c r="Z46" s="1574">
        <f t="shared" si="15"/>
        <v>111</v>
      </c>
      <c r="AA46" s="1575">
        <f t="shared" si="3"/>
        <v>1</v>
      </c>
      <c r="AB46" s="1575">
        <f t="shared" si="4"/>
        <v>1</v>
      </c>
      <c r="AC46" s="1575">
        <f t="shared" si="5"/>
        <v>1</v>
      </c>
    </row>
    <row r="47" spans="1:29" ht="15">
      <c r="A47" s="606" t="s">
        <v>735</v>
      </c>
      <c r="B47" s="886"/>
      <c r="C47" s="2627" t="s">
        <v>1</v>
      </c>
      <c r="D47" s="2628"/>
      <c r="E47" s="3218">
        <v>13000</v>
      </c>
      <c r="F47" s="2630"/>
      <c r="G47" s="2631">
        <v>15000</v>
      </c>
      <c r="H47" s="2632"/>
      <c r="I47" s="2629">
        <v>14000</v>
      </c>
      <c r="J47" s="2632"/>
      <c r="K47" s="1610"/>
      <c r="L47" s="2144"/>
      <c r="M47" s="2145"/>
      <c r="N47" s="2134"/>
      <c r="O47" s="2145"/>
      <c r="P47" s="3390" t="str">
        <f>A47</f>
        <v>成交单价（元/平方米）</v>
      </c>
      <c r="Q47" s="3390"/>
      <c r="R47" s="3501">
        <f>E47</f>
        <v>13000</v>
      </c>
      <c r="S47" s="3501"/>
      <c r="T47" s="3501">
        <f>G47</f>
        <v>15000</v>
      </c>
      <c r="U47" s="3501"/>
      <c r="V47" s="3501">
        <f>I47</f>
        <v>14000</v>
      </c>
      <c r="W47" s="3501"/>
      <c r="X47" s="1558"/>
      <c r="Y47" s="1580"/>
      <c r="Z47" s="1558"/>
      <c r="AA47" s="1558"/>
      <c r="AB47" s="1558"/>
      <c r="AC47" s="1558"/>
    </row>
    <row r="48" spans="1:29" ht="15.75" thickBot="1">
      <c r="A48" s="614" t="s">
        <v>2762</v>
      </c>
      <c r="B48" s="887"/>
      <c r="C48" s="2633">
        <f>R49</f>
        <v>12957</v>
      </c>
      <c r="D48" s="2634"/>
      <c r="E48" s="2635">
        <f>R48</f>
        <v>12142</v>
      </c>
      <c r="F48" s="2635"/>
      <c r="G48" s="2633">
        <f>T48</f>
        <v>13871</v>
      </c>
      <c r="H48" s="2634"/>
      <c r="I48" s="2635">
        <f>V48</f>
        <v>12857</v>
      </c>
      <c r="J48" s="2634"/>
      <c r="K48" s="1611"/>
      <c r="L48" s="2144"/>
      <c r="M48" s="2145"/>
      <c r="N48" s="2134"/>
      <c r="O48" s="2145"/>
      <c r="P48" s="3390" t="str">
        <f>A48</f>
        <v>比较价格（元/平方米）</v>
      </c>
      <c r="Q48" s="3390"/>
      <c r="R48" s="3501">
        <f>IF(F1="售价",ROUND(PRODUCT(R47,AA7:AA46),0),ROUND(PRODUCT(R47,AA7:AA46),1))</f>
        <v>12142</v>
      </c>
      <c r="S48" s="3501"/>
      <c r="T48" s="3501">
        <f>IF(F1="售价",ROUND(PRODUCT(T47,AB7:AB46),0),ROUND(PRODUCT(T47,AB7:AB46),1))</f>
        <v>13871</v>
      </c>
      <c r="U48" s="3501"/>
      <c r="V48" s="3501">
        <f>IF(F1="售价",ROUND(PRODUCT(V47,AC7:AC46),0),ROUND(PRODUCT(V47,AC7:AC46),1))</f>
        <v>12857</v>
      </c>
      <c r="W48" s="3501"/>
      <c r="X48" s="1558"/>
      <c r="Y48" s="1558"/>
      <c r="Z48" s="1558"/>
      <c r="AA48" s="1558"/>
      <c r="AB48" s="1558"/>
      <c r="AC48" s="1558"/>
    </row>
    <row r="49" spans="1:29" ht="15.75" thickBot="1">
      <c r="A49" s="620" t="s">
        <v>2934</v>
      </c>
      <c r="B49" s="621"/>
      <c r="C49" s="2636">
        <f>R49</f>
        <v>12957</v>
      </c>
      <c r="D49" s="2636"/>
      <c r="E49" s="2636"/>
      <c r="F49" s="2636"/>
      <c r="G49" s="2636"/>
      <c r="H49" s="2636"/>
      <c r="I49" s="2636"/>
      <c r="J49" s="2636"/>
      <c r="K49" s="1612"/>
      <c r="L49" s="2144"/>
      <c r="M49" s="2145"/>
      <c r="N49" s="2134"/>
      <c r="O49" s="2145"/>
      <c r="P49" s="3387" t="str">
        <f>A49</f>
        <v>估价对象XX用房的比较价格（楼面单价，元/平方米）</v>
      </c>
      <c r="Q49" s="3388"/>
      <c r="R49" s="3500">
        <f>IF(F1="售价",ROUND(AVERAGE(R48:V48),0),ROUND(AVERAGE(R48:V48),1))</f>
        <v>12957</v>
      </c>
      <c r="S49" s="3500"/>
      <c r="T49" s="3500"/>
      <c r="U49" s="3500"/>
      <c r="V49" s="3500"/>
      <c r="W49" s="350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556</v>
      </c>
      <c r="D52" s="624"/>
      <c r="E52" s="625">
        <f>IF(E47&lt;E48,E48/E47-1,E47/E48-1)</f>
        <v>7.0663811563169254E-2</v>
      </c>
      <c r="F52" s="626" t="str">
        <f>IF(OR(E52&gt;=0.3,E52&lt;=-0.3),"超过30%","")</f>
        <v/>
      </c>
      <c r="G52" s="625">
        <f>IF(G47&lt;G48,G48/G47-1,G47/G48-1)</f>
        <v>8.1392833970153511E-2</v>
      </c>
      <c r="H52" s="626" t="str">
        <f>IF(OR(G52&gt;=0.3,G52&lt;=-0.3),"超过30%","")</f>
        <v/>
      </c>
      <c r="I52" s="625">
        <f>IF(I47&lt;I48,I48/I47-1,I47/I48-1)</f>
        <v>8.8900987788753216E-2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557</v>
      </c>
      <c r="D53" s="627"/>
      <c r="E53" s="625">
        <f>IF(E48&lt;G48,G48/E48-1,E48/G48-1)</f>
        <v>0.14239828693790146</v>
      </c>
      <c r="F53" s="626" t="str">
        <f>IF(OR(E53&gt;=0.2,E53&lt;=-0.2),"超过20%","")</f>
        <v/>
      </c>
      <c r="G53" s="625">
        <f>IF(G48&lt;I48,I48/G48-1,G48/I48-1)</f>
        <v>7.8867542972699711E-2</v>
      </c>
      <c r="H53" s="626" t="str">
        <f>IF(OR(G53&gt;=0.2,G53&lt;=-0.2),"超过20%","")</f>
        <v/>
      </c>
      <c r="I53" s="625">
        <f>IF(I48&lt;E48,E48/I48-1,I48/E48-1)</f>
        <v>5.8886509635974305E-2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558</v>
      </c>
      <c r="D54" s="627"/>
      <c r="E54" s="625">
        <f>IF(E47&lt;G47,G47/E47-1,E47/G47-1)</f>
        <v>0.15384615384615374</v>
      </c>
      <c r="F54" s="626" t="str">
        <f>IF(OR(E54&gt;=0.3,E54&lt;=-0.3),"超过30%","")</f>
        <v/>
      </c>
      <c r="G54" s="625">
        <f>IF(G47&lt;I47,I47/G47-1,G47/I47-1)</f>
        <v>7.1428571428571397E-2</v>
      </c>
      <c r="H54" s="626" t="str">
        <f>IF(OR(G54&gt;=0.3,G54&lt;=-0.3),"超过30%","")</f>
        <v/>
      </c>
      <c r="I54" s="625">
        <f>IF(I47&lt;E47,E47/I47-1,I47/E47-1)</f>
        <v>7.6923076923076872E-2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528</v>
      </c>
      <c r="B58" s="645"/>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574</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530</v>
      </c>
      <c r="B61" s="647"/>
      <c r="C61" s="659" t="s">
        <v>575</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576</v>
      </c>
      <c r="B63" s="664" t="s">
        <v>533</v>
      </c>
      <c r="C63" s="703" t="str">
        <f>C9</f>
        <v>商业</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98</v>
      </c>
      <c r="H66" s="678">
        <f>G66-$K10</f>
        <v>96</v>
      </c>
      <c r="I66" s="678">
        <f>H66-$K10</f>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6（含）-7</v>
      </c>
      <c r="J67" s="681" t="str">
        <f t="shared" si="17"/>
        <v>7（含）-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99</v>
      </c>
      <c r="E69" s="678">
        <f t="shared" si="18"/>
        <v>98</v>
      </c>
      <c r="F69" s="678">
        <f t="shared" si="18"/>
        <v>97</v>
      </c>
      <c r="G69" s="678">
        <f t="shared" si="18"/>
        <v>96</v>
      </c>
      <c r="H69" s="678">
        <f t="shared" si="18"/>
        <v>95</v>
      </c>
      <c r="I69" s="678">
        <f t="shared" si="18"/>
        <v>94</v>
      </c>
      <c r="J69" s="678">
        <f t="shared" si="18"/>
        <v>93</v>
      </c>
      <c r="K69" s="678">
        <f t="shared" si="18"/>
        <v>92</v>
      </c>
      <c r="L69" s="678">
        <f t="shared" si="18"/>
        <v>91</v>
      </c>
      <c r="M69" s="679">
        <f t="shared" si="18"/>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538</v>
      </c>
      <c r="B76" s="664" t="s">
        <v>577</v>
      </c>
      <c r="C76" s="702" t="s">
        <v>578</v>
      </c>
      <c r="D76" s="702" t="s">
        <v>579</v>
      </c>
      <c r="E76" s="702" t="s">
        <v>580</v>
      </c>
      <c r="F76" s="702" t="s">
        <v>581</v>
      </c>
      <c r="G76" s="702" t="s">
        <v>582</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585</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2559</v>
      </c>
      <c r="C80" s="707" t="s">
        <v>578</v>
      </c>
      <c r="D80" s="707" t="s">
        <v>579</v>
      </c>
      <c r="E80" s="707" t="s">
        <v>580</v>
      </c>
      <c r="F80" s="707" t="s">
        <v>581</v>
      </c>
      <c r="G80" s="707" t="s">
        <v>582</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2560</v>
      </c>
      <c r="C82" s="2598" t="s">
        <v>2561</v>
      </c>
      <c r="D82" s="2598" t="s">
        <v>2562</v>
      </c>
      <c r="E82" s="2598" t="s">
        <v>2563</v>
      </c>
      <c r="F82" s="2598" t="s">
        <v>2564</v>
      </c>
      <c r="G82" s="2598" t="s">
        <v>2565</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578</v>
      </c>
      <c r="D84" s="707" t="s">
        <v>579</v>
      </c>
      <c r="E84" s="707" t="s">
        <v>580</v>
      </c>
      <c r="F84" s="707" t="s">
        <v>581</v>
      </c>
      <c r="G84" s="707" t="s">
        <v>582</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770</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3203" t="s">
        <v>3147</v>
      </c>
      <c r="D88" s="3203" t="s">
        <v>3149</v>
      </c>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3203" t="s">
        <v>3150</v>
      </c>
      <c r="D90" s="3203" t="s">
        <v>3151</v>
      </c>
      <c r="E90" s="3203" t="s">
        <v>3157</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97</v>
      </c>
      <c r="E91" s="678">
        <f t="shared" ref="E91:M91" si="20">D91-$K27</f>
        <v>94</v>
      </c>
      <c r="F91" s="678">
        <f t="shared" si="20"/>
        <v>91</v>
      </c>
      <c r="G91" s="678">
        <f t="shared" si="20"/>
        <v>88</v>
      </c>
      <c r="H91" s="678">
        <f t="shared" si="20"/>
        <v>85</v>
      </c>
      <c r="I91" s="678">
        <f t="shared" si="20"/>
        <v>82</v>
      </c>
      <c r="J91" s="678">
        <f t="shared" si="20"/>
        <v>79</v>
      </c>
      <c r="K91" s="678">
        <f t="shared" si="20"/>
        <v>76</v>
      </c>
      <c r="L91" s="678">
        <f t="shared" si="20"/>
        <v>73</v>
      </c>
      <c r="M91" s="678">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t="s">
        <v>3170</v>
      </c>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550</v>
      </c>
      <c r="B100" s="664" t="s">
        <v>771</v>
      </c>
      <c r="C100" s="3185" t="s">
        <v>3153</v>
      </c>
      <c r="D100" s="3185" t="s">
        <v>3154</v>
      </c>
      <c r="E100" s="3185" t="s">
        <v>3155</v>
      </c>
      <c r="F100" s="3185" t="s">
        <v>3173</v>
      </c>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99</v>
      </c>
      <c r="E101" s="678">
        <f t="shared" si="21"/>
        <v>98</v>
      </c>
      <c r="F101" s="678">
        <f t="shared" si="21"/>
        <v>97</v>
      </c>
      <c r="G101" s="678">
        <f t="shared" si="21"/>
        <v>96</v>
      </c>
      <c r="H101" s="678">
        <f t="shared" si="21"/>
        <v>95</v>
      </c>
      <c r="I101" s="678">
        <f t="shared" si="21"/>
        <v>94</v>
      </c>
      <c r="J101" s="678">
        <f t="shared" si="21"/>
        <v>93</v>
      </c>
      <c r="K101" s="678">
        <f t="shared" si="21"/>
        <v>92</v>
      </c>
      <c r="L101" s="678">
        <f t="shared" si="21"/>
        <v>91</v>
      </c>
      <c r="M101" s="679">
        <f t="shared" si="21"/>
        <v>90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747</v>
      </c>
      <c r="C102" s="707" t="str">
        <f>C103&amp;"(含)"&amp;"-"&amp;D103</f>
        <v>0(含)-50000</v>
      </c>
      <c r="D102" s="707" t="str">
        <f t="shared" ref="D102:L102" si="22">D103&amp;"(含)"&amp;"-"&amp;E103</f>
        <v>50000(含)-100000</v>
      </c>
      <c r="E102" s="707" t="str">
        <f t="shared" si="22"/>
        <v>100000(含)-150000</v>
      </c>
      <c r="F102" s="707" t="str">
        <f t="shared" si="22"/>
        <v>150000(含)-200000</v>
      </c>
      <c r="G102" s="707" t="str">
        <f t="shared" si="22"/>
        <v>200000(含)-300000</v>
      </c>
      <c r="H102" s="707" t="str">
        <f t="shared" si="22"/>
        <v>300000(含)-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v>
      </c>
      <c r="E103" s="729">
        <v>100000</v>
      </c>
      <c r="F103" s="729">
        <v>150000</v>
      </c>
      <c r="G103" s="729">
        <v>200000</v>
      </c>
      <c r="H103" s="729">
        <v>300000</v>
      </c>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v>104</v>
      </c>
      <c r="H104" s="670">
        <v>105</v>
      </c>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3203" t="s">
        <v>3134</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99</v>
      </c>
      <c r="E106" s="678">
        <f t="shared" si="23"/>
        <v>98</v>
      </c>
      <c r="F106" s="678">
        <f t="shared" si="23"/>
        <v>97</v>
      </c>
      <c r="G106" s="678">
        <f t="shared" si="23"/>
        <v>96</v>
      </c>
      <c r="H106" s="678">
        <f t="shared" si="23"/>
        <v>95</v>
      </c>
      <c r="I106" s="678">
        <f t="shared" si="23"/>
        <v>94</v>
      </c>
      <c r="J106" s="678">
        <f t="shared" si="23"/>
        <v>93</v>
      </c>
      <c r="K106" s="678">
        <f t="shared" si="23"/>
        <v>92</v>
      </c>
      <c r="L106" s="678">
        <f t="shared" si="23"/>
        <v>91</v>
      </c>
      <c r="M106" s="679">
        <f t="shared" si="23"/>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99</v>
      </c>
      <c r="E108" s="678">
        <f t="shared" si="24"/>
        <v>98</v>
      </c>
      <c r="F108" s="678">
        <f t="shared" si="24"/>
        <v>97</v>
      </c>
      <c r="G108" s="678">
        <f t="shared" si="24"/>
        <v>96</v>
      </c>
      <c r="H108" s="678">
        <f t="shared" si="24"/>
        <v>95</v>
      </c>
      <c r="I108" s="678">
        <f t="shared" si="24"/>
        <v>94</v>
      </c>
      <c r="J108" s="678">
        <f t="shared" si="24"/>
        <v>93</v>
      </c>
      <c r="K108" s="678">
        <f t="shared" si="24"/>
        <v>92</v>
      </c>
      <c r="L108" s="678">
        <f t="shared" si="24"/>
        <v>91</v>
      </c>
      <c r="M108" s="679">
        <f t="shared" si="24"/>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101</v>
      </c>
      <c r="E111" s="678">
        <f t="shared" ref="E111:M111" si="25">D111+$K36</f>
        <v>102</v>
      </c>
      <c r="F111" s="678">
        <f t="shared" si="25"/>
        <v>103</v>
      </c>
      <c r="G111" s="678">
        <f t="shared" si="25"/>
        <v>104</v>
      </c>
      <c r="H111" s="678">
        <f t="shared" si="25"/>
        <v>105</v>
      </c>
      <c r="I111" s="678">
        <f t="shared" si="25"/>
        <v>106</v>
      </c>
      <c r="J111" s="678">
        <f t="shared" si="25"/>
        <v>107</v>
      </c>
      <c r="K111" s="678">
        <f t="shared" si="25"/>
        <v>108</v>
      </c>
      <c r="L111" s="678">
        <f t="shared" si="25"/>
        <v>109</v>
      </c>
      <c r="M111" s="678">
        <f t="shared" si="25"/>
        <v>110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2558</v>
      </c>
      <c r="C112" s="3203" t="s">
        <v>3135</v>
      </c>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99</v>
      </c>
      <c r="E113" s="678">
        <f t="shared" ref="E113:M113" si="26">D113-$K37</f>
        <v>98</v>
      </c>
      <c r="F113" s="678">
        <f t="shared" si="26"/>
        <v>97</v>
      </c>
      <c r="G113" s="678">
        <f t="shared" si="26"/>
        <v>96</v>
      </c>
      <c r="H113" s="678">
        <f t="shared" si="26"/>
        <v>95</v>
      </c>
      <c r="I113" s="678">
        <f t="shared" si="26"/>
        <v>94</v>
      </c>
      <c r="J113" s="678">
        <f t="shared" si="26"/>
        <v>93</v>
      </c>
      <c r="K113" s="678">
        <f t="shared" si="26"/>
        <v>92</v>
      </c>
      <c r="L113" s="678">
        <f t="shared" si="26"/>
        <v>91</v>
      </c>
      <c r="M113" s="678">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3203" t="s">
        <v>3137</v>
      </c>
      <c r="D114" s="3203" t="s">
        <v>3138</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97</v>
      </c>
      <c r="E115" s="678">
        <f t="shared" si="27"/>
        <v>94</v>
      </c>
      <c r="F115" s="678">
        <f t="shared" si="27"/>
        <v>91</v>
      </c>
      <c r="G115" s="678">
        <f t="shared" si="27"/>
        <v>88</v>
      </c>
      <c r="H115" s="678">
        <f t="shared" si="27"/>
        <v>85</v>
      </c>
      <c r="I115" s="678">
        <f t="shared" si="27"/>
        <v>82</v>
      </c>
      <c r="J115" s="678">
        <f t="shared" si="27"/>
        <v>79</v>
      </c>
      <c r="K115" s="678">
        <f t="shared" si="27"/>
        <v>76</v>
      </c>
      <c r="L115" s="678">
        <f t="shared" si="27"/>
        <v>73</v>
      </c>
      <c r="M115" s="679">
        <f t="shared" si="27"/>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3203" t="s">
        <v>3139</v>
      </c>
      <c r="D116" s="3203" t="s">
        <v>3141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97</v>
      </c>
      <c r="E117" s="678">
        <f>D117-$K39</f>
        <v>94</v>
      </c>
      <c r="F117" s="678">
        <f>E117-$K39</f>
        <v>91</v>
      </c>
      <c r="G117" s="678">
        <f>F117-$K39</f>
        <v>88</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775</v>
      </c>
      <c r="C120" s="3206" t="s">
        <v>3143</v>
      </c>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98</v>
      </c>
      <c r="E121" s="678">
        <f t="shared" ref="E121:M121" si="28">D121-$K41</f>
        <v>96</v>
      </c>
      <c r="F121" s="678">
        <f t="shared" si="28"/>
        <v>94</v>
      </c>
      <c r="G121" s="678">
        <f t="shared" si="28"/>
        <v>92</v>
      </c>
      <c r="H121" s="678">
        <f t="shared" si="28"/>
        <v>90</v>
      </c>
      <c r="I121" s="678">
        <f t="shared" si="28"/>
        <v>88</v>
      </c>
      <c r="J121" s="678">
        <f t="shared" si="28"/>
        <v>86</v>
      </c>
      <c r="K121" s="678">
        <f t="shared" si="28"/>
        <v>84</v>
      </c>
      <c r="L121" s="678">
        <f t="shared" si="28"/>
        <v>82</v>
      </c>
      <c r="M121" s="679">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3203" t="s">
        <v>3145</v>
      </c>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07"/>
      <c r="G1" s="1600" t="s">
        <v>720</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466</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518</v>
      </c>
      <c r="B3" s="509" t="e">
        <f>C50</f>
        <v>#DIV/0!</v>
      </c>
      <c r="C3" s="851" t="s">
        <v>721</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520</v>
      </c>
      <c r="B4" s="512"/>
      <c r="C4" s="3396" t="s">
        <v>521</v>
      </c>
      <c r="D4" s="3397"/>
      <c r="E4" s="3430" t="s">
        <v>522</v>
      </c>
      <c r="F4" s="3431"/>
      <c r="G4" s="3396" t="s">
        <v>523</v>
      </c>
      <c r="H4" s="3397"/>
      <c r="I4" s="3396" t="s">
        <v>524</v>
      </c>
      <c r="J4" s="3397"/>
      <c r="K4" s="513" t="s">
        <v>525</v>
      </c>
      <c r="L4" s="2133"/>
      <c r="M4" s="2134"/>
      <c r="N4" s="2134"/>
      <c r="O4" s="2134"/>
      <c r="P4" s="3510" t="s">
        <v>526</v>
      </c>
      <c r="Q4" s="3399"/>
      <c r="R4" s="3404" t="s">
        <v>522</v>
      </c>
      <c r="S4" s="3405"/>
      <c r="T4" s="3404" t="s">
        <v>523</v>
      </c>
      <c r="U4" s="3405"/>
      <c r="V4" s="3391" t="s">
        <v>524</v>
      </c>
      <c r="W4" s="3391"/>
      <c r="X4" s="1566"/>
      <c r="Y4" s="3404" t="s">
        <v>526</v>
      </c>
      <c r="Z4" s="3405"/>
      <c r="AA4" s="3393" t="s">
        <v>522</v>
      </c>
      <c r="AB4" s="3393" t="s">
        <v>523</v>
      </c>
      <c r="AC4" s="3393" t="s">
        <v>524</v>
      </c>
    </row>
    <row r="5" spans="1:29" ht="15">
      <c r="A5" s="514"/>
      <c r="B5" s="515"/>
      <c r="C5" s="3412" t="s">
        <v>2928</v>
      </c>
      <c r="D5" s="3413"/>
      <c r="E5" s="3432" t="s">
        <v>2929</v>
      </c>
      <c r="F5" s="3433"/>
      <c r="G5" s="3412" t="s">
        <v>2930</v>
      </c>
      <c r="H5" s="3413"/>
      <c r="I5" s="3412" t="s">
        <v>2931</v>
      </c>
      <c r="J5" s="3413"/>
      <c r="K5" s="513"/>
      <c r="L5" s="2133"/>
      <c r="M5" s="2134"/>
      <c r="N5" s="2134"/>
      <c r="O5" s="2134"/>
      <c r="P5" s="3511"/>
      <c r="Q5" s="3401"/>
      <c r="R5" s="3406"/>
      <c r="S5" s="3407"/>
      <c r="T5" s="3406"/>
      <c r="U5" s="3407"/>
      <c r="V5" s="3391"/>
      <c r="W5" s="3391"/>
      <c r="X5" s="1566"/>
      <c r="Y5" s="3406"/>
      <c r="Z5" s="3407"/>
      <c r="AA5" s="3394"/>
      <c r="AB5" s="3394"/>
      <c r="AC5" s="3394"/>
    </row>
    <row r="6" spans="1:29" ht="15.75" thickBot="1">
      <c r="A6" s="516"/>
      <c r="B6" s="517"/>
      <c r="C6" s="3410" t="s">
        <v>2932</v>
      </c>
      <c r="D6" s="3411"/>
      <c r="E6" s="3428" t="s">
        <v>2932</v>
      </c>
      <c r="F6" s="3429"/>
      <c r="G6" s="3410" t="s">
        <v>2932</v>
      </c>
      <c r="H6" s="3411"/>
      <c r="I6" s="3410" t="s">
        <v>2932</v>
      </c>
      <c r="J6" s="3411"/>
      <c r="K6" s="513" t="s">
        <v>527</v>
      </c>
      <c r="L6" s="2133"/>
      <c r="M6" s="2134"/>
      <c r="N6" s="2134"/>
      <c r="O6" s="2134"/>
      <c r="P6" s="351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43276</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23" t="s">
        <v>529</v>
      </c>
      <c r="Q7" s="3423"/>
      <c r="R7" s="1567" t="s">
        <v>8</v>
      </c>
      <c r="S7" s="1568">
        <f t="shared" ref="S7:S15" si="0">F7</f>
        <v>0</v>
      </c>
      <c r="T7" s="1567" t="s">
        <v>8</v>
      </c>
      <c r="U7" s="1568">
        <f t="shared" ref="U7:U15" si="1">H7</f>
        <v>0</v>
      </c>
      <c r="V7" s="1567" t="s">
        <v>8</v>
      </c>
      <c r="W7" s="1568">
        <f t="shared" ref="W7:W15"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23" t="s">
        <v>532</v>
      </c>
      <c r="Q8" s="3422"/>
      <c r="R8" s="1567" t="s">
        <v>8</v>
      </c>
      <c r="S8" s="1568">
        <f t="shared" si="0"/>
        <v>0</v>
      </c>
      <c r="T8" s="1567" t="s">
        <v>8</v>
      </c>
      <c r="U8" s="1568">
        <f t="shared" si="1"/>
        <v>0</v>
      </c>
      <c r="V8" s="1567" t="s">
        <v>8</v>
      </c>
      <c r="W8" s="1568">
        <f t="shared" si="2"/>
        <v>0</v>
      </c>
      <c r="X8" s="1569"/>
      <c r="Y8" s="3421" t="s">
        <v>532</v>
      </c>
      <c r="Z8" s="3422"/>
      <c r="AA8" s="1570" t="e">
        <f t="shared" ref="AA8:AA47" si="3">D8/F8</f>
        <v>#DIV/0!</v>
      </c>
      <c r="AB8" s="1570" t="e">
        <f t="shared" ref="AB8:AB47" si="4">D8/H8</f>
        <v>#DIV/0!</v>
      </c>
      <c r="AC8" s="1570" t="e">
        <f t="shared" ref="AC8:AC47" si="5">D8/J8</f>
        <v>#DIV/0!</v>
      </c>
    </row>
    <row r="9" spans="1:29" s="1218" customFormat="1" ht="15">
      <c r="A9" s="2914"/>
      <c r="B9" s="2921" t="s">
        <v>2758</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2759</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90"/>
      <c r="Q11" s="1149" t="str">
        <f t="shared" si="6"/>
        <v>容积率</v>
      </c>
      <c r="R11" s="1567" t="s">
        <v>8</v>
      </c>
      <c r="S11" s="1568" t="e">
        <f t="shared" si="0"/>
        <v>#N/A</v>
      </c>
      <c r="T11" s="1567" t="s">
        <v>8</v>
      </c>
      <c r="U11" s="1568" t="e">
        <f t="shared" si="1"/>
        <v>#N/A</v>
      </c>
      <c r="V11" s="1567" t="s">
        <v>8</v>
      </c>
      <c r="W11" s="1568" t="e">
        <f t="shared" si="2"/>
        <v>#N/A</v>
      </c>
      <c r="X11" s="1569"/>
      <c r="Y11" s="3336"/>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71.25">
      <c r="A15" s="2910" t="s">
        <v>2756</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24" t="s">
        <v>539</v>
      </c>
      <c r="Q15" s="1571" t="str">
        <f t="shared" si="6"/>
        <v>办公集聚程度</v>
      </c>
      <c r="R15" s="1572" t="s">
        <v>8</v>
      </c>
      <c r="S15" s="1573">
        <f t="shared" si="0"/>
        <v>100</v>
      </c>
      <c r="T15" s="1572" t="s">
        <v>8</v>
      </c>
      <c r="U15" s="1573">
        <f t="shared" si="1"/>
        <v>100</v>
      </c>
      <c r="V15" s="1572" t="s">
        <v>8</v>
      </c>
      <c r="W15" s="1573">
        <f t="shared" si="2"/>
        <v>100</v>
      </c>
      <c r="X15" s="1566"/>
      <c r="Y15" s="3424" t="s">
        <v>539</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25"/>
      <c r="Q16" s="1571"/>
      <c r="R16" s="1572"/>
      <c r="S16" s="1573"/>
      <c r="T16" s="1572"/>
      <c r="U16" s="1573"/>
      <c r="V16" s="1572"/>
      <c r="W16" s="1573"/>
      <c r="X16" s="1566"/>
      <c r="Y16" s="3425"/>
      <c r="Z16" s="1574"/>
      <c r="AA16" s="1575">
        <v>1</v>
      </c>
      <c r="AB16" s="1575">
        <v>1</v>
      </c>
      <c r="AC16" s="1575">
        <v>1</v>
      </c>
    </row>
    <row r="17" spans="1:29" ht="42.75">
      <c r="A17" s="531"/>
      <c r="B17" s="559" t="s">
        <v>295</v>
      </c>
      <c r="C17" s="572" t="str">
        <f>估价对象房地状况!C6</f>
        <v>临支路，1公里内无公共交通，较差</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25"/>
      <c r="Q18" s="1571"/>
      <c r="R18" s="1572"/>
      <c r="S18" s="1573"/>
      <c r="T18" s="1572"/>
      <c r="U18" s="1573"/>
      <c r="V18" s="1572"/>
      <c r="W18" s="1573"/>
      <c r="X18" s="1566"/>
      <c r="Y18" s="3425"/>
      <c r="Z18" s="1574"/>
      <c r="AA18" s="1575">
        <v>1</v>
      </c>
      <c r="AB18" s="1575">
        <v>1</v>
      </c>
      <c r="AC18" s="1575">
        <v>1</v>
      </c>
    </row>
    <row r="19" spans="1:29" ht="42.75">
      <c r="A19" s="531"/>
      <c r="B19" s="2603" t="s">
        <v>2548</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25"/>
      <c r="Q20" s="1571"/>
      <c r="R20" s="1572"/>
      <c r="S20" s="1573"/>
      <c r="T20" s="1572"/>
      <c r="U20" s="1573"/>
      <c r="V20" s="1572"/>
      <c r="W20" s="1573"/>
      <c r="X20" s="1566"/>
      <c r="Y20" s="3425"/>
      <c r="Z20" s="1574"/>
      <c r="AA20" s="1575">
        <v>1</v>
      </c>
      <c r="AB20" s="1575">
        <v>1</v>
      </c>
      <c r="AC20" s="1575">
        <v>1</v>
      </c>
    </row>
    <row r="21" spans="1:29" ht="42.75">
      <c r="A21" s="531"/>
      <c r="B21" s="2591" t="s">
        <v>2560</v>
      </c>
      <c r="C21" s="572" t="str">
        <f>估价对象房地状况!C8</f>
        <v>估价对象所在区域基础设施水平七通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25"/>
      <c r="Q22" s="2579"/>
      <c r="R22" s="1572"/>
      <c r="S22" s="1573"/>
      <c r="T22" s="1572"/>
      <c r="U22" s="1573"/>
      <c r="V22" s="1572"/>
      <c r="W22" s="1573"/>
      <c r="X22" s="2581"/>
      <c r="Y22" s="3425"/>
      <c r="Z22" s="2580"/>
      <c r="AA22" s="1575">
        <v>1</v>
      </c>
      <c r="AB22" s="1575">
        <v>1</v>
      </c>
      <c r="AC22" s="1575">
        <v>1</v>
      </c>
    </row>
    <row r="23" spans="1:29" ht="85.5">
      <c r="A23" s="531"/>
      <c r="B23" s="559" t="s">
        <v>777</v>
      </c>
      <c r="C23" s="572" t="str">
        <f>估价对象房地状况!C9</f>
        <v>贾平凹文化艺术馆、鹦鹉寺公园、西安工程大学、北京大学光华管理学院西安分院，较好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25"/>
      <c r="Q24" s="1571"/>
      <c r="R24" s="1572"/>
      <c r="S24" s="1573"/>
      <c r="T24" s="1572"/>
      <c r="U24" s="1573"/>
      <c r="V24" s="1572"/>
      <c r="W24" s="1573"/>
      <c r="X24" s="1566"/>
      <c r="Y24" s="3425"/>
      <c r="Z24" s="1574"/>
      <c r="AA24" s="1575">
        <v>1</v>
      </c>
      <c r="AB24" s="1575">
        <v>1</v>
      </c>
      <c r="AC24" s="1575">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7"/>
      <c r="L25" s="2142"/>
      <c r="M25" s="2134"/>
      <c r="N25" s="2134"/>
      <c r="O25" s="2134"/>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25"/>
      <c r="Q26" s="1571"/>
      <c r="R26" s="1572"/>
      <c r="S26" s="1573"/>
      <c r="T26" s="1572"/>
      <c r="U26" s="1573"/>
      <c r="V26" s="1572"/>
      <c r="W26" s="1573"/>
      <c r="X26" s="1566"/>
      <c r="Y26" s="3425"/>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8" customFormat="1" ht="15">
      <c r="A28" s="535"/>
      <c r="B28" s="559" t="s">
        <v>778</v>
      </c>
      <c r="C28" s="911"/>
      <c r="D28" s="874">
        <v>100</v>
      </c>
      <c r="E28" s="900"/>
      <c r="F28" s="874">
        <f>SUMIF(91:91,E28,92:92)-SUMIF(91:91,C28,92:92)+100</f>
        <v>100</v>
      </c>
      <c r="G28" s="911"/>
      <c r="H28" s="874">
        <f>SUMIF(91:91,G28,92:92)-SUMIF(91:91,C28,92:92)+100</f>
        <v>100</v>
      </c>
      <c r="I28" s="900"/>
      <c r="J28" s="874">
        <f>SUMIF(91:91,I28,92:92)-SUMIF(91:91,C28,92:92)+100</f>
        <v>100</v>
      </c>
      <c r="K28" s="583"/>
      <c r="L28" s="2135"/>
      <c r="M28" s="2136"/>
      <c r="N28" s="2136"/>
      <c r="O28" s="2136"/>
      <c r="P28" s="3425"/>
      <c r="Q28" s="1149" t="str">
        <f t="shared" si="11"/>
        <v>朝向</v>
      </c>
      <c r="R28" s="1567" t="s">
        <v>8</v>
      </c>
      <c r="S28" s="1568">
        <f>F28</f>
        <v>100</v>
      </c>
      <c r="T28" s="1567" t="s">
        <v>8</v>
      </c>
      <c r="U28" s="1568">
        <f>H28</f>
        <v>100</v>
      </c>
      <c r="V28" s="1567" t="s">
        <v>8</v>
      </c>
      <c r="W28" s="1568">
        <f>J28</f>
        <v>100</v>
      </c>
      <c r="X28" s="1569"/>
      <c r="Y28" s="3425"/>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7" t="s">
        <v>2757</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26" t="s">
        <v>549</v>
      </c>
      <c r="Q33" s="1571" t="str">
        <f t="shared" si="11"/>
        <v>建筑类型</v>
      </c>
      <c r="R33" s="1572" t="s">
        <v>8</v>
      </c>
      <c r="S33" s="1573">
        <f t="shared" si="12"/>
        <v>100</v>
      </c>
      <c r="T33" s="1572" t="s">
        <v>8</v>
      </c>
      <c r="U33" s="1573">
        <f t="shared" si="13"/>
        <v>100</v>
      </c>
      <c r="V33" s="1572" t="s">
        <v>8</v>
      </c>
      <c r="W33" s="1573">
        <f t="shared" si="14"/>
        <v>100</v>
      </c>
      <c r="X33" s="1566"/>
      <c r="Y33" s="3427" t="s">
        <v>549</v>
      </c>
      <c r="Z33" s="1574" t="str">
        <f t="shared" si="15"/>
        <v>建筑类型</v>
      </c>
      <c r="AA33" s="1575">
        <f t="shared" si="3"/>
        <v>1</v>
      </c>
      <c r="AB33" s="1575">
        <f t="shared" si="4"/>
        <v>1</v>
      </c>
      <c r="AC33" s="1575">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27"/>
      <c r="Q38" s="1149" t="str">
        <f t="shared" si="11"/>
        <v>写字楼等级</v>
      </c>
      <c r="R38" s="1567" t="s">
        <v>8</v>
      </c>
      <c r="S38" s="1568">
        <f t="shared" si="12"/>
        <v>100</v>
      </c>
      <c r="T38" s="1567" t="s">
        <v>8</v>
      </c>
      <c r="U38" s="1568">
        <f t="shared" si="13"/>
        <v>100</v>
      </c>
      <c r="V38" s="1567" t="s">
        <v>8</v>
      </c>
      <c r="W38" s="1568">
        <f t="shared" si="14"/>
        <v>100</v>
      </c>
      <c r="X38" s="1569"/>
      <c r="Y38" s="3427"/>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27" t="s">
        <v>549</v>
      </c>
      <c r="Q39" s="1571" t="str">
        <f t="shared" si="11"/>
        <v>物业管理</v>
      </c>
      <c r="R39" s="1572" t="s">
        <v>8</v>
      </c>
      <c r="S39" s="1573">
        <f t="shared" si="12"/>
        <v>100</v>
      </c>
      <c r="T39" s="1572" t="s">
        <v>8</v>
      </c>
      <c r="U39" s="1573">
        <f t="shared" si="13"/>
        <v>100</v>
      </c>
      <c r="V39" s="1572" t="s">
        <v>8</v>
      </c>
      <c r="W39" s="1573">
        <f t="shared" si="14"/>
        <v>100</v>
      </c>
      <c r="X39" s="1566"/>
      <c r="Y39" s="3427" t="s">
        <v>549</v>
      </c>
      <c r="Z39" s="1574" t="str">
        <f t="shared" si="15"/>
        <v>物业管理</v>
      </c>
      <c r="AA39" s="1575">
        <f t="shared" si="3"/>
        <v>1</v>
      </c>
      <c r="AB39" s="1575">
        <f t="shared" si="4"/>
        <v>1</v>
      </c>
      <c r="AC39" s="1575">
        <f t="shared" si="5"/>
        <v>1</v>
      </c>
    </row>
    <row r="40" spans="1:29" ht="15">
      <c r="A40" s="593"/>
      <c r="B40" s="1895" t="s">
        <v>2567</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27"/>
      <c r="Q45" s="1149">
        <f t="shared" si="11"/>
        <v>111</v>
      </c>
      <c r="R45" s="1567" t="s">
        <v>8</v>
      </c>
      <c r="S45" s="1568">
        <f t="shared" si="12"/>
        <v>100</v>
      </c>
      <c r="T45" s="1567" t="s">
        <v>8</v>
      </c>
      <c r="U45" s="1568">
        <f t="shared" si="13"/>
        <v>100</v>
      </c>
      <c r="V45" s="1567" t="s">
        <v>8</v>
      </c>
      <c r="W45" s="1568">
        <f t="shared" si="14"/>
        <v>100</v>
      </c>
      <c r="X45" s="1569"/>
      <c r="Y45" s="3427"/>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502"/>
      <c r="Q47" s="1571">
        <f t="shared" si="11"/>
        <v>111</v>
      </c>
      <c r="R47" s="1572" t="s">
        <v>8</v>
      </c>
      <c r="S47" s="1573">
        <f t="shared" si="12"/>
        <v>100</v>
      </c>
      <c r="T47" s="1572" t="s">
        <v>8</v>
      </c>
      <c r="U47" s="1573">
        <f t="shared" si="13"/>
        <v>100</v>
      </c>
      <c r="V47" s="1572" t="s">
        <v>8</v>
      </c>
      <c r="W47" s="1573">
        <f t="shared" si="14"/>
        <v>100</v>
      </c>
      <c r="X47" s="1566"/>
      <c r="Y47" s="3502"/>
      <c r="Z47" s="1574">
        <f t="shared" si="15"/>
        <v>111</v>
      </c>
      <c r="AA47" s="1575">
        <f t="shared" si="3"/>
        <v>1</v>
      </c>
      <c r="AB47" s="1575">
        <f t="shared" si="4"/>
        <v>1</v>
      </c>
      <c r="AC47" s="1575">
        <f t="shared" si="5"/>
        <v>1</v>
      </c>
    </row>
    <row r="48" spans="1:29" ht="15">
      <c r="A48" s="606" t="s">
        <v>735</v>
      </c>
      <c r="B48" s="886"/>
      <c r="C48" s="2627" t="s">
        <v>1</v>
      </c>
      <c r="D48" s="2628"/>
      <c r="E48" s="2629"/>
      <c r="F48" s="2630"/>
      <c r="G48" s="2631"/>
      <c r="H48" s="2632"/>
      <c r="I48" s="2629"/>
      <c r="J48" s="2632"/>
      <c r="K48" s="1610"/>
      <c r="L48" s="2144"/>
      <c r="M48" s="2134"/>
      <c r="N48" s="2134"/>
      <c r="O48" s="2134"/>
      <c r="P48" s="3388" t="str">
        <f>A48</f>
        <v>成交单价（元/平方米）</v>
      </c>
      <c r="Q48" s="3390"/>
      <c r="R48" s="3501">
        <f>E48</f>
        <v>0</v>
      </c>
      <c r="S48" s="3501"/>
      <c r="T48" s="3501">
        <f>G48</f>
        <v>0</v>
      </c>
      <c r="U48" s="3501"/>
      <c r="V48" s="3501">
        <f>I48</f>
        <v>0</v>
      </c>
      <c r="W48" s="3501"/>
      <c r="X48" s="1558"/>
      <c r="Y48" s="1580"/>
      <c r="Z48" s="1558"/>
      <c r="AA48" s="1558"/>
      <c r="AB48" s="1558"/>
      <c r="AC48" s="1558"/>
    </row>
    <row r="49" spans="1:29" ht="15.75" thickBot="1">
      <c r="A49" s="614" t="s">
        <v>2762</v>
      </c>
      <c r="B49" s="887"/>
      <c r="C49" s="2633" t="e">
        <f>R50</f>
        <v>#DIV/0!</v>
      </c>
      <c r="D49" s="2634"/>
      <c r="E49" s="2635" t="e">
        <f>R49</f>
        <v>#DIV/0!</v>
      </c>
      <c r="F49" s="2635"/>
      <c r="G49" s="2633" t="e">
        <f>T49</f>
        <v>#DIV/0!</v>
      </c>
      <c r="H49" s="2634"/>
      <c r="I49" s="2635" t="e">
        <f>V49</f>
        <v>#DIV/0!</v>
      </c>
      <c r="J49" s="2634"/>
      <c r="K49" s="1611"/>
      <c r="L49" s="2144"/>
      <c r="M49" s="2134"/>
      <c r="N49" s="2134"/>
      <c r="O49" s="2134"/>
      <c r="P49" s="3388" t="str">
        <f>A49</f>
        <v>比较价格（元/平方米）</v>
      </c>
      <c r="Q49" s="3390"/>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58"/>
      <c r="Y49" s="1558"/>
      <c r="Z49" s="1558"/>
      <c r="AA49" s="1558"/>
      <c r="AB49" s="1558"/>
      <c r="AC49" s="1558"/>
    </row>
    <row r="50" spans="1:29" ht="15.75" thickBot="1">
      <c r="A50" s="620" t="s">
        <v>2934</v>
      </c>
      <c r="B50" s="621"/>
      <c r="C50" s="2636" t="e">
        <f>R50</f>
        <v>#DIV/0!</v>
      </c>
      <c r="D50" s="2636"/>
      <c r="E50" s="2636"/>
      <c r="F50" s="2636"/>
      <c r="G50" s="2636"/>
      <c r="H50" s="2636"/>
      <c r="I50" s="2636"/>
      <c r="J50" s="2636"/>
      <c r="K50" s="1612"/>
      <c r="L50" s="2144"/>
      <c r="M50" s="2134"/>
      <c r="N50" s="2134"/>
      <c r="O50" s="2134"/>
      <c r="P50" s="3509" t="str">
        <f>A50</f>
        <v>估价对象XX用房的比较价格（楼面单价，元/平方米）</v>
      </c>
      <c r="Q50" s="3388"/>
      <c r="R50" s="3500" t="e">
        <f>IF(F1="售价",ROUND(AVERAGE(R49:V49),0),ROUND(AVERAGE(R49:V49),1))</f>
        <v>#DIV/0!</v>
      </c>
      <c r="S50" s="3500"/>
      <c r="T50" s="3500"/>
      <c r="U50" s="3500"/>
      <c r="V50" s="3500"/>
      <c r="W50" s="350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528</v>
      </c>
      <c r="B59" s="645"/>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574</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530</v>
      </c>
      <c r="B62" s="647"/>
      <c r="C62" s="659" t="s">
        <v>575</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576</v>
      </c>
      <c r="B64" s="664" t="s">
        <v>533</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538</v>
      </c>
      <c r="B77" s="664" t="s">
        <v>584</v>
      </c>
      <c r="C77" s="702" t="s">
        <v>578</v>
      </c>
      <c r="D77" s="702" t="s">
        <v>579</v>
      </c>
      <c r="E77" s="702" t="s">
        <v>580</v>
      </c>
      <c r="F77" s="702" t="s">
        <v>581</v>
      </c>
      <c r="G77" s="702" t="s">
        <v>582</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585</v>
      </c>
      <c r="C79" s="707" t="s">
        <v>578</v>
      </c>
      <c r="D79" s="707" t="s">
        <v>579</v>
      </c>
      <c r="E79" s="707" t="s">
        <v>580</v>
      </c>
      <c r="F79" s="707" t="s">
        <v>581</v>
      </c>
      <c r="G79" s="707" t="s">
        <v>582</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2559</v>
      </c>
      <c r="C81" s="707" t="s">
        <v>578</v>
      </c>
      <c r="D81" s="707" t="s">
        <v>579</v>
      </c>
      <c r="E81" s="707" t="s">
        <v>580</v>
      </c>
      <c r="F81" s="707" t="s">
        <v>581</v>
      </c>
      <c r="G81" s="707" t="s">
        <v>582</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2560</v>
      </c>
      <c r="C83" s="2598" t="s">
        <v>2561</v>
      </c>
      <c r="D83" s="2598" t="s">
        <v>2562</v>
      </c>
      <c r="E83" s="2598" t="s">
        <v>2563</v>
      </c>
      <c r="F83" s="2598" t="s">
        <v>2564</v>
      </c>
      <c r="G83" s="2598" t="s">
        <v>2565</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578</v>
      </c>
      <c r="D85" s="707" t="s">
        <v>579</v>
      </c>
      <c r="E85" s="707" t="s">
        <v>580</v>
      </c>
      <c r="F85" s="707" t="s">
        <v>581</v>
      </c>
      <c r="G85" s="707" t="s">
        <v>582</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784</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550</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2558</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786</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07"/>
      <c r="G1" s="1600" t="s">
        <v>720</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466</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518</v>
      </c>
      <c r="B3" s="509" t="e">
        <f>C43</f>
        <v>#DIV/0!</v>
      </c>
      <c r="C3" s="851" t="s">
        <v>721</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520</v>
      </c>
      <c r="B4" s="512"/>
      <c r="C4" s="3396" t="s">
        <v>521</v>
      </c>
      <c r="D4" s="3397"/>
      <c r="E4" s="3430" t="s">
        <v>522</v>
      </c>
      <c r="F4" s="3431"/>
      <c r="G4" s="3396" t="s">
        <v>523</v>
      </c>
      <c r="H4" s="3397"/>
      <c r="I4" s="3396" t="s">
        <v>524</v>
      </c>
      <c r="J4" s="3397"/>
      <c r="K4" s="513" t="s">
        <v>525</v>
      </c>
      <c r="L4" s="2133"/>
      <c r="M4" s="2134"/>
      <c r="N4" s="2134"/>
      <c r="O4" s="2134"/>
      <c r="P4" s="3398" t="s">
        <v>526</v>
      </c>
      <c r="Q4" s="3399"/>
      <c r="R4" s="3404" t="s">
        <v>522</v>
      </c>
      <c r="S4" s="3405"/>
      <c r="T4" s="3404" t="s">
        <v>523</v>
      </c>
      <c r="U4" s="3405"/>
      <c r="V4" s="3391" t="s">
        <v>524</v>
      </c>
      <c r="W4" s="3391"/>
      <c r="X4" s="1566"/>
      <c r="Y4" s="3404" t="s">
        <v>526</v>
      </c>
      <c r="Z4" s="3405"/>
      <c r="AA4" s="3393" t="s">
        <v>522</v>
      </c>
      <c r="AB4" s="3394" t="s">
        <v>523</v>
      </c>
      <c r="AC4" s="3393" t="s">
        <v>524</v>
      </c>
    </row>
    <row r="5" spans="1:29" ht="15">
      <c r="A5" s="514"/>
      <c r="B5" s="515"/>
      <c r="C5" s="3412" t="s">
        <v>2928</v>
      </c>
      <c r="D5" s="3413"/>
      <c r="E5" s="3432" t="s">
        <v>2929</v>
      </c>
      <c r="F5" s="3433"/>
      <c r="G5" s="3412" t="s">
        <v>2930</v>
      </c>
      <c r="H5" s="3413"/>
      <c r="I5" s="3412" t="s">
        <v>2931</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2932</v>
      </c>
      <c r="D6" s="3411"/>
      <c r="E6" s="3428" t="s">
        <v>2932</v>
      </c>
      <c r="F6" s="3429"/>
      <c r="G6" s="3410" t="s">
        <v>2932</v>
      </c>
      <c r="H6" s="3411"/>
      <c r="I6" s="3410" t="s">
        <v>2932</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43276</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21" t="s">
        <v>529</v>
      </c>
      <c r="Q7" s="3423"/>
      <c r="R7" s="1567" t="s">
        <v>8</v>
      </c>
      <c r="S7" s="1568">
        <f t="shared" ref="S7:S15" si="0">F7</f>
        <v>0</v>
      </c>
      <c r="T7" s="1567" t="s">
        <v>8</v>
      </c>
      <c r="U7" s="1568">
        <f t="shared" ref="U7:U15" si="1">H7</f>
        <v>0</v>
      </c>
      <c r="V7" s="1567" t="s">
        <v>8</v>
      </c>
      <c r="W7" s="1568">
        <f t="shared" ref="W7:W15"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40" si="3">D8/F8</f>
        <v>#DIV/0!</v>
      </c>
      <c r="AB8" s="1570" t="e">
        <f t="shared" ref="AB8:AB40" si="4">D8/H8</f>
        <v>#DIV/0!</v>
      </c>
      <c r="AC8" s="1570" t="e">
        <f t="shared" ref="AC8:AC40" si="5">D8/J8</f>
        <v>#DIV/0!</v>
      </c>
    </row>
    <row r="9" spans="1:29" s="1218" customFormat="1" ht="15">
      <c r="A9" s="2914"/>
      <c r="B9" s="2921" t="s">
        <v>2758</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90" t="s">
        <v>534</v>
      </c>
      <c r="Q9" s="1149" t="str">
        <f t="shared" ref="Q9:Q15" si="6">B9</f>
        <v>用途</v>
      </c>
      <c r="R9" s="1567" t="s">
        <v>8</v>
      </c>
      <c r="S9" s="1568">
        <f t="shared" si="0"/>
        <v>100</v>
      </c>
      <c r="T9" s="1567" t="s">
        <v>8</v>
      </c>
      <c r="U9" s="1568">
        <f t="shared" si="1"/>
        <v>100</v>
      </c>
      <c r="V9" s="1567" t="s">
        <v>8</v>
      </c>
      <c r="W9" s="1568">
        <f t="shared" si="2"/>
        <v>100</v>
      </c>
      <c r="X9" s="1569"/>
      <c r="Y9" s="3336" t="s">
        <v>535</v>
      </c>
      <c r="Z9" s="1148" t="str">
        <f t="shared" ref="Z9:Z15" si="7">Q9</f>
        <v>用途</v>
      </c>
      <c r="AA9" s="1570">
        <f t="shared" si="3"/>
        <v>1</v>
      </c>
      <c r="AB9" s="1570">
        <f t="shared" si="4"/>
        <v>1</v>
      </c>
      <c r="AC9" s="1570">
        <f t="shared" si="5"/>
        <v>1</v>
      </c>
    </row>
    <row r="10" spans="1:29" s="1336" customFormat="1" ht="27">
      <c r="A10" s="2915"/>
      <c r="B10" s="2920" t="s">
        <v>2759</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6"/>
      <c r="B11" s="2920" t="s">
        <v>2760</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90"/>
      <c r="Q11" s="1149" t="str">
        <f t="shared" si="6"/>
        <v>容积率</v>
      </c>
      <c r="R11" s="1567" t="s">
        <v>8</v>
      </c>
      <c r="S11" s="1568" t="e">
        <f t="shared" si="0"/>
        <v>#N/A</v>
      </c>
      <c r="T11" s="1567" t="s">
        <v>8</v>
      </c>
      <c r="U11" s="1568" t="e">
        <f t="shared" si="1"/>
        <v>#N/A</v>
      </c>
      <c r="V11" s="1567" t="s">
        <v>8</v>
      </c>
      <c r="W11" s="1568" t="e">
        <f t="shared" si="2"/>
        <v>#N/A</v>
      </c>
      <c r="X11" s="1569"/>
      <c r="Y11" s="3336"/>
      <c r="Z11" s="1148" t="str">
        <f t="shared" si="7"/>
        <v>容积率</v>
      </c>
      <c r="AA11" s="1570" t="e">
        <f t="shared" si="3"/>
        <v>#N/A</v>
      </c>
      <c r="AB11" s="1570" t="e">
        <f t="shared" si="4"/>
        <v>#N/A</v>
      </c>
      <c r="AC11" s="1570" t="e">
        <f t="shared" si="5"/>
        <v>#N/A</v>
      </c>
    </row>
    <row r="12" spans="1:29" s="1218" customFormat="1" ht="15">
      <c r="A12" s="2917"/>
      <c r="B12" s="2923">
        <v>111</v>
      </c>
      <c r="C12" s="527"/>
      <c r="D12" s="537">
        <v>100</v>
      </c>
      <c r="E12" s="538"/>
      <c r="F12" s="254">
        <f>SUMIF(64:64,E12,65:65)-SUMIF(64:64,C12,65:65)+100</f>
        <v>100</v>
      </c>
      <c r="G12" s="918"/>
      <c r="H12" s="254">
        <f>SUMIF(64:64,G12,65:65)-SUMIF(64:64,C12,65:65)+100</f>
        <v>100</v>
      </c>
      <c r="I12" s="879"/>
      <c r="J12" s="254">
        <f>SUMIF(64:64,I12,65:65)-SUMIF(64:64,C12,65:65)+100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
      <c r="A13" s="2917"/>
      <c r="B13" s="2923">
        <v>111</v>
      </c>
      <c r="C13" s="538"/>
      <c r="D13" s="539">
        <v>100</v>
      </c>
      <c r="E13" s="538"/>
      <c r="F13" s="254">
        <f>SUMIF(66:66,E13,67:67)-SUMIF(66:66,C13,67:67)+100</f>
        <v>100</v>
      </c>
      <c r="G13" s="918"/>
      <c r="H13" s="539">
        <f>SUMIF(66:66,G13,67:67)-SUMIF(66:66,C13,67:67)+100</f>
        <v>100</v>
      </c>
      <c r="I13" s="879"/>
      <c r="J13" s="539">
        <f>SUMIF(66:66,I13,67:67)-SUMIF(66:66,C13,67:67)+100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15.75" thickBot="1">
      <c r="A14" s="2918"/>
      <c r="B14" s="2924">
        <v>111</v>
      </c>
      <c r="C14" s="544"/>
      <c r="D14" s="545">
        <v>100</v>
      </c>
      <c r="E14" s="544"/>
      <c r="F14" s="545">
        <f>SUMIF(68:68,E14,69:69)-SUMIF(68:68,C14,69:69)+100</f>
        <v>100</v>
      </c>
      <c r="G14" s="918"/>
      <c r="H14" s="545">
        <f>SUMIF(68:68,G14,69:69)-SUMIF(68:68,C14,69:69)+100</f>
        <v>100</v>
      </c>
      <c r="I14" s="879"/>
      <c r="J14" s="545">
        <f>SUMIF(68:68,I14,69:69)-SUMIF(68:68,C14,69:69)+100</f>
        <v>100</v>
      </c>
      <c r="K14" s="580"/>
      <c r="L14" s="2142"/>
      <c r="M14" s="2134"/>
      <c r="N14" s="2134"/>
      <c r="O14" s="2141"/>
      <c r="P14" s="3390"/>
      <c r="Q14" s="1149">
        <f t="shared" si="6"/>
        <v>111</v>
      </c>
      <c r="R14" s="1567" t="s">
        <v>8</v>
      </c>
      <c r="S14" s="1568">
        <f t="shared" si="0"/>
        <v>100</v>
      </c>
      <c r="T14" s="1567" t="s">
        <v>8</v>
      </c>
      <c r="U14" s="1568">
        <f t="shared" si="1"/>
        <v>100</v>
      </c>
      <c r="V14" s="1567" t="s">
        <v>8</v>
      </c>
      <c r="W14" s="1568">
        <f t="shared" si="2"/>
        <v>100</v>
      </c>
      <c r="X14" s="1569"/>
      <c r="Y14" s="3336"/>
      <c r="Z14" s="1148">
        <f t="shared" si="7"/>
        <v>111</v>
      </c>
      <c r="AA14" s="1570">
        <f t="shared" si="3"/>
        <v>1</v>
      </c>
      <c r="AB14" s="1570">
        <f t="shared" si="4"/>
        <v>1</v>
      </c>
      <c r="AC14" s="1570">
        <f t="shared" si="5"/>
        <v>1</v>
      </c>
    </row>
    <row r="15" spans="1:29" ht="57">
      <c r="A15" s="2910" t="s">
        <v>2756</v>
      </c>
      <c r="B15" s="166"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24" t="s">
        <v>539</v>
      </c>
      <c r="Q15" s="1571" t="str">
        <f t="shared" si="6"/>
        <v>产业集聚程度</v>
      </c>
      <c r="R15" s="1572" t="s">
        <v>8</v>
      </c>
      <c r="S15" s="1573">
        <f t="shared" si="0"/>
        <v>100</v>
      </c>
      <c r="T15" s="1572" t="s">
        <v>8</v>
      </c>
      <c r="U15" s="1573">
        <f t="shared" si="1"/>
        <v>100</v>
      </c>
      <c r="V15" s="1572" t="s">
        <v>8</v>
      </c>
      <c r="W15" s="1573">
        <f t="shared" si="2"/>
        <v>100</v>
      </c>
      <c r="X15" s="1566"/>
      <c r="Y15" s="3424" t="s">
        <v>539</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25"/>
      <c r="Q16" s="1571"/>
      <c r="R16" s="1572"/>
      <c r="S16" s="1573"/>
      <c r="T16" s="1572"/>
      <c r="U16" s="1573"/>
      <c r="V16" s="1572"/>
      <c r="W16" s="1573"/>
      <c r="X16" s="1566"/>
      <c r="Y16" s="3425"/>
      <c r="Z16" s="1574"/>
      <c r="AA16" s="1575">
        <v>1</v>
      </c>
      <c r="AB16" s="1575">
        <v>1</v>
      </c>
      <c r="AC16" s="1575">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25"/>
      <c r="Q18" s="1571"/>
      <c r="R18" s="1572"/>
      <c r="S18" s="1573"/>
      <c r="T18" s="1572"/>
      <c r="U18" s="1573"/>
      <c r="V18" s="1572"/>
      <c r="W18" s="1573"/>
      <c r="X18" s="1566"/>
      <c r="Y18" s="3425"/>
      <c r="Z18" s="1574"/>
      <c r="AA18" s="1575">
        <v>1</v>
      </c>
      <c r="AB18" s="1575">
        <v>1</v>
      </c>
      <c r="AC18" s="1575">
        <v>1</v>
      </c>
    </row>
    <row r="19" spans="1:29" ht="42.75">
      <c r="A19" s="531"/>
      <c r="B19" s="2603" t="s">
        <v>2548</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25"/>
      <c r="Q20" s="1571"/>
      <c r="R20" s="1572"/>
      <c r="S20" s="1573"/>
      <c r="T20" s="1572"/>
      <c r="U20" s="1573"/>
      <c r="V20" s="1572"/>
      <c r="W20" s="1573"/>
      <c r="X20" s="1566"/>
      <c r="Y20" s="3425"/>
      <c r="Z20" s="1574"/>
      <c r="AA20" s="1575">
        <v>1</v>
      </c>
      <c r="AB20" s="1575">
        <v>1</v>
      </c>
      <c r="AC20" s="1575">
        <v>1</v>
      </c>
    </row>
    <row r="21" spans="1:29" ht="28.5">
      <c r="A21" s="531"/>
      <c r="B21" s="2591" t="s">
        <v>2560</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25"/>
      <c r="Q21" s="2579" t="str">
        <f>B21</f>
        <v>基础设施水平</v>
      </c>
      <c r="R21" s="1572" t="s">
        <v>8</v>
      </c>
      <c r="S21" s="1573">
        <f>F21</f>
        <v>100</v>
      </c>
      <c r="T21" s="1572" t="s">
        <v>8</v>
      </c>
      <c r="U21" s="1573">
        <f>H21</f>
        <v>100</v>
      </c>
      <c r="V21" s="1572" t="s">
        <v>8</v>
      </c>
      <c r="W21" s="1573">
        <f>J21</f>
        <v>100</v>
      </c>
      <c r="X21" s="2581"/>
      <c r="Y21" s="3425"/>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25"/>
      <c r="Q22" s="2579"/>
      <c r="R22" s="1572"/>
      <c r="S22" s="1573"/>
      <c r="T22" s="1572"/>
      <c r="U22" s="1573"/>
      <c r="V22" s="1572"/>
      <c r="W22" s="1573"/>
      <c r="X22" s="2581"/>
      <c r="Y22" s="3425"/>
      <c r="Z22" s="2580"/>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8"/>
      <c r="L24" s="2142"/>
      <c r="M24" s="2134"/>
      <c r="N24" s="2134"/>
      <c r="O24" s="2141"/>
      <c r="P24" s="3425"/>
      <c r="Q24" s="1571"/>
      <c r="R24" s="1572"/>
      <c r="S24" s="1573"/>
      <c r="T24" s="1572"/>
      <c r="U24" s="1573"/>
      <c r="V24" s="1572"/>
      <c r="W24" s="1573"/>
      <c r="X24" s="1566"/>
      <c r="Y24" s="3425"/>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25"/>
      <c r="Q27" s="1149">
        <f t="shared" si="11"/>
        <v>111</v>
      </c>
      <c r="R27" s="1567" t="s">
        <v>8</v>
      </c>
      <c r="S27" s="1568">
        <f>F27</f>
        <v>100</v>
      </c>
      <c r="T27" s="1567" t="s">
        <v>8</v>
      </c>
      <c r="U27" s="1568">
        <f>H27</f>
        <v>100</v>
      </c>
      <c r="V27" s="1567" t="s">
        <v>8</v>
      </c>
      <c r="W27" s="1568">
        <f>J27</f>
        <v>100</v>
      </c>
      <c r="X27" s="1569"/>
      <c r="Y27" s="3425"/>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7" t="s">
        <v>2757</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26" t="s">
        <v>549</v>
      </c>
      <c r="Q29" s="1571" t="str">
        <f t="shared" si="11"/>
        <v>建筑类型</v>
      </c>
      <c r="R29" s="1572" t="s">
        <v>8</v>
      </c>
      <c r="S29" s="1573">
        <f t="shared" si="12"/>
        <v>100</v>
      </c>
      <c r="T29" s="1572" t="s">
        <v>8</v>
      </c>
      <c r="U29" s="1573">
        <f t="shared" si="13"/>
        <v>100</v>
      </c>
      <c r="V29" s="1572" t="s">
        <v>8</v>
      </c>
      <c r="W29" s="1573">
        <f t="shared" si="14"/>
        <v>100</v>
      </c>
      <c r="X29" s="1566"/>
      <c r="Y29" s="3427" t="s">
        <v>549</v>
      </c>
      <c r="Z29" s="1574" t="str">
        <f t="shared" si="15"/>
        <v>建筑类型</v>
      </c>
      <c r="AA29" s="1575">
        <f t="shared" si="3"/>
        <v>1</v>
      </c>
      <c r="AB29" s="1575">
        <f t="shared" si="4"/>
        <v>1</v>
      </c>
      <c r="AC29" s="1575">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27"/>
      <c r="Q34" s="1149" t="str">
        <f t="shared" si="11"/>
        <v>物业管理</v>
      </c>
      <c r="R34" s="1567" t="s">
        <v>8</v>
      </c>
      <c r="S34" s="1568">
        <f t="shared" si="12"/>
        <v>100</v>
      </c>
      <c r="T34" s="1567" t="s">
        <v>8</v>
      </c>
      <c r="U34" s="1568">
        <f t="shared" si="13"/>
        <v>100</v>
      </c>
      <c r="V34" s="1567" t="s">
        <v>8</v>
      </c>
      <c r="W34" s="1568">
        <f t="shared" si="14"/>
        <v>100</v>
      </c>
      <c r="X34" s="1569"/>
      <c r="Y34" s="3427"/>
      <c r="Z34" s="1148" t="str">
        <f t="shared" si="15"/>
        <v>物业管理</v>
      </c>
      <c r="AA34" s="1570">
        <f t="shared" si="3"/>
        <v>1</v>
      </c>
      <c r="AB34" s="1570">
        <f t="shared" si="4"/>
        <v>1</v>
      </c>
      <c r="AC34" s="1570">
        <f t="shared" si="5"/>
        <v>1</v>
      </c>
    </row>
    <row r="35" spans="1:29" ht="15">
      <c r="A35" s="593"/>
      <c r="B35" s="1895" t="s">
        <v>2567</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27" t="s">
        <v>549</v>
      </c>
      <c r="Q35" s="1571" t="str">
        <f t="shared" si="11"/>
        <v>市政基础设施</v>
      </c>
      <c r="R35" s="1572" t="s">
        <v>8</v>
      </c>
      <c r="S35" s="1573">
        <f t="shared" si="12"/>
        <v>100</v>
      </c>
      <c r="T35" s="1572" t="s">
        <v>8</v>
      </c>
      <c r="U35" s="1573">
        <f t="shared" si="13"/>
        <v>100</v>
      </c>
      <c r="V35" s="1572" t="s">
        <v>8</v>
      </c>
      <c r="W35" s="1573">
        <f t="shared" si="14"/>
        <v>100</v>
      </c>
      <c r="X35" s="1566"/>
      <c r="Y35" s="3427" t="s">
        <v>549</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502"/>
      <c r="Q40" s="1571">
        <f t="shared" si="11"/>
        <v>111</v>
      </c>
      <c r="R40" s="1572" t="s">
        <v>8</v>
      </c>
      <c r="S40" s="1573">
        <f t="shared" si="12"/>
        <v>100</v>
      </c>
      <c r="T40" s="1572" t="s">
        <v>8</v>
      </c>
      <c r="U40" s="1573">
        <f t="shared" si="13"/>
        <v>100</v>
      </c>
      <c r="V40" s="1572" t="s">
        <v>8</v>
      </c>
      <c r="W40" s="1573">
        <f t="shared" si="14"/>
        <v>100</v>
      </c>
      <c r="X40" s="1566"/>
      <c r="Y40" s="3502"/>
      <c r="Z40" s="1574">
        <f t="shared" si="15"/>
        <v>111</v>
      </c>
      <c r="AA40" s="1575">
        <f t="shared" si="3"/>
        <v>1</v>
      </c>
      <c r="AB40" s="1575">
        <f t="shared" si="4"/>
        <v>1</v>
      </c>
      <c r="AC40" s="1575">
        <f t="shared" si="5"/>
        <v>1</v>
      </c>
    </row>
    <row r="41" spans="1:29" ht="15">
      <c r="A41" s="606" t="s">
        <v>735</v>
      </c>
      <c r="B41" s="886"/>
      <c r="C41" s="2627" t="s">
        <v>1</v>
      </c>
      <c r="D41" s="2628"/>
      <c r="E41" s="2629"/>
      <c r="F41" s="2630"/>
      <c r="G41" s="2631"/>
      <c r="H41" s="2632"/>
      <c r="I41" s="2629"/>
      <c r="J41" s="2632"/>
      <c r="K41" s="1610"/>
      <c r="L41" s="2144"/>
      <c r="M41" s="2145"/>
      <c r="N41" s="2134"/>
      <c r="O41" s="2145"/>
      <c r="P41" s="3390" t="str">
        <f>A41</f>
        <v>成交单价（元/平方米）</v>
      </c>
      <c r="Q41" s="3390"/>
      <c r="R41" s="3501">
        <f>E41</f>
        <v>0</v>
      </c>
      <c r="S41" s="3501"/>
      <c r="T41" s="3501">
        <f>G41</f>
        <v>0</v>
      </c>
      <c r="U41" s="3501"/>
      <c r="V41" s="3501">
        <f>I41</f>
        <v>0</v>
      </c>
      <c r="W41" s="3501"/>
      <c r="X41" s="1558"/>
      <c r="Y41" s="1580"/>
      <c r="Z41" s="1558"/>
      <c r="AA41" s="1558"/>
      <c r="AB41" s="1558"/>
      <c r="AC41" s="1558"/>
    </row>
    <row r="42" spans="1:29" ht="15.75" thickBot="1">
      <c r="A42" s="614" t="s">
        <v>2762</v>
      </c>
      <c r="B42" s="887"/>
      <c r="C42" s="2633" t="e">
        <f>R43</f>
        <v>#DIV/0!</v>
      </c>
      <c r="D42" s="2634"/>
      <c r="E42" s="2635" t="e">
        <f>R42</f>
        <v>#DIV/0!</v>
      </c>
      <c r="F42" s="2635"/>
      <c r="G42" s="2633" t="e">
        <f>T42</f>
        <v>#DIV/0!</v>
      </c>
      <c r="H42" s="2634"/>
      <c r="I42" s="2635" t="e">
        <f>V42</f>
        <v>#DIV/0!</v>
      </c>
      <c r="J42" s="2634"/>
      <c r="K42" s="1611"/>
      <c r="L42" s="2144"/>
      <c r="M42" s="2145"/>
      <c r="N42" s="2134"/>
      <c r="O42" s="2145"/>
      <c r="P42" s="3390" t="str">
        <f>A42</f>
        <v>比较价格（元/平方米）</v>
      </c>
      <c r="Q42" s="3390"/>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87" t="str">
        <f>A43</f>
        <v>估价对象XX用房的比较价格（楼面单价，元/平方米）</v>
      </c>
      <c r="Q43" s="3388"/>
      <c r="R43" s="3500" t="e">
        <f>IF(F1="售价",ROUND(AVERAGE(R42:V42),0),ROUND(AVERAGE(R42:V42),1))</f>
        <v>#DIV/0!</v>
      </c>
      <c r="S43" s="3500"/>
      <c r="T43" s="3500"/>
      <c r="U43" s="3500"/>
      <c r="V43" s="3500"/>
      <c r="W43" s="350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528</v>
      </c>
      <c r="B52" s="645"/>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574</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530</v>
      </c>
      <c r="B55" s="647"/>
      <c r="C55" s="659" t="s">
        <v>575</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576</v>
      </c>
      <c r="B57" s="664" t="s">
        <v>533</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538</v>
      </c>
      <c r="B70" s="664" t="s">
        <v>584</v>
      </c>
      <c r="C70" s="702" t="s">
        <v>578</v>
      </c>
      <c r="D70" s="702" t="s">
        <v>579</v>
      </c>
      <c r="E70" s="702" t="s">
        <v>580</v>
      </c>
      <c r="F70" s="702" t="s">
        <v>581</v>
      </c>
      <c r="G70" s="702" t="s">
        <v>582</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585</v>
      </c>
      <c r="C72" s="707" t="s">
        <v>578</v>
      </c>
      <c r="D72" s="707" t="s">
        <v>579</v>
      </c>
      <c r="E72" s="707" t="s">
        <v>580</v>
      </c>
      <c r="F72" s="707" t="s">
        <v>581</v>
      </c>
      <c r="G72" s="707" t="s">
        <v>582</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2559</v>
      </c>
      <c r="C74" s="707" t="s">
        <v>578</v>
      </c>
      <c r="D74" s="707" t="s">
        <v>579</v>
      </c>
      <c r="E74" s="707" t="s">
        <v>580</v>
      </c>
      <c r="F74" s="707" t="s">
        <v>581</v>
      </c>
      <c r="G74" s="707" t="s">
        <v>582</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2560</v>
      </c>
      <c r="C76" s="2598" t="s">
        <v>2561</v>
      </c>
      <c r="D76" s="2598" t="s">
        <v>2562</v>
      </c>
      <c r="E76" s="2598" t="s">
        <v>2563</v>
      </c>
      <c r="F76" s="2598" t="s">
        <v>2564</v>
      </c>
      <c r="G76" s="2598" t="s">
        <v>2565</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578</v>
      </c>
      <c r="D78" s="707" t="s">
        <v>579</v>
      </c>
      <c r="E78" s="707" t="s">
        <v>580</v>
      </c>
      <c r="F78" s="707" t="s">
        <v>581</v>
      </c>
      <c r="G78" s="707" t="s">
        <v>582</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550</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2558</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8" t="s">
        <v>2078</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96" t="s">
        <v>797</v>
      </c>
      <c r="D4" s="3397"/>
      <c r="E4" s="3396" t="s">
        <v>798</v>
      </c>
      <c r="F4" s="3397"/>
      <c r="G4" s="3396" t="s">
        <v>799</v>
      </c>
      <c r="H4" s="3397"/>
      <c r="I4" s="3396" t="s">
        <v>800</v>
      </c>
      <c r="J4" s="3397"/>
      <c r="K4" s="513" t="s">
        <v>801</v>
      </c>
      <c r="L4" s="2133"/>
      <c r="M4" s="2134"/>
      <c r="N4" s="2134"/>
      <c r="O4" s="2134"/>
      <c r="P4" s="3398" t="s">
        <v>802</v>
      </c>
      <c r="Q4" s="3399"/>
      <c r="R4" s="3404" t="s">
        <v>798</v>
      </c>
      <c r="S4" s="3405"/>
      <c r="T4" s="3404" t="s">
        <v>799</v>
      </c>
      <c r="U4" s="3405"/>
      <c r="V4" s="3391" t="s">
        <v>800</v>
      </c>
      <c r="W4" s="3391"/>
      <c r="X4" s="1566"/>
      <c r="Y4" s="3404" t="s">
        <v>802</v>
      </c>
      <c r="Z4" s="3405"/>
      <c r="AA4" s="3393" t="s">
        <v>798</v>
      </c>
      <c r="AB4" s="3394" t="s">
        <v>799</v>
      </c>
      <c r="AC4" s="3393" t="s">
        <v>800</v>
      </c>
    </row>
    <row r="5" spans="1:29" ht="15">
      <c r="A5" s="514"/>
      <c r="B5" s="515"/>
      <c r="C5" s="3412" t="s">
        <v>2928</v>
      </c>
      <c r="D5" s="3413"/>
      <c r="E5" s="3412" t="s">
        <v>2929</v>
      </c>
      <c r="F5" s="3413"/>
      <c r="G5" s="3412" t="s">
        <v>2930</v>
      </c>
      <c r="H5" s="3413"/>
      <c r="I5" s="3412" t="s">
        <v>2931</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2932</v>
      </c>
      <c r="D6" s="3411"/>
      <c r="E6" s="3414" t="s">
        <v>2932</v>
      </c>
      <c r="F6" s="3415"/>
      <c r="G6" s="3410" t="s">
        <v>2932</v>
      </c>
      <c r="H6" s="3411"/>
      <c r="I6" s="3410" t="s">
        <v>2932</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43276</v>
      </c>
      <c r="D7" s="519">
        <v>100</v>
      </c>
      <c r="E7" s="520"/>
      <c r="F7" s="521">
        <f>SUMIF(48:48,YEAR(E7)&amp;"-"&amp;MONTH(E7),49:49)</f>
        <v>0</v>
      </c>
      <c r="G7" s="522"/>
      <c r="H7" s="519">
        <f>SUMIF(48:48,YEAR(G7)&amp;"-"&amp;MONTH(G7),49:49)</f>
        <v>0</v>
      </c>
      <c r="I7" s="522"/>
      <c r="J7" s="519">
        <f>SUMIF(48:48,YEAR(I7)&amp;"-"&amp;MONTH(I7),49:49)</f>
        <v>0</v>
      </c>
      <c r="K7" s="523"/>
      <c r="L7" s="2135"/>
      <c r="M7" s="2136"/>
      <c r="N7" s="2136"/>
      <c r="O7" s="2136"/>
      <c r="P7" s="3421" t="s">
        <v>529</v>
      </c>
      <c r="Q7" s="3423"/>
      <c r="R7" s="1567" t="s">
        <v>8</v>
      </c>
      <c r="S7" s="1568">
        <f t="shared" ref="S7:S14" si="0">F7</f>
        <v>0</v>
      </c>
      <c r="T7" s="1567" t="s">
        <v>8</v>
      </c>
      <c r="U7" s="1568">
        <f t="shared" ref="U7:U14" si="1">H7</f>
        <v>0</v>
      </c>
      <c r="V7" s="1567" t="s">
        <v>8</v>
      </c>
      <c r="W7" s="1568">
        <f t="shared" ref="W7:W14"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36" si="3">D8/F8</f>
        <v>#DIV/0!</v>
      </c>
      <c r="AB8" s="1570" t="e">
        <f t="shared" ref="AB8:AB36" si="4">D8/H8</f>
        <v>#DIV/0!</v>
      </c>
      <c r="AC8" s="1570" t="e">
        <f t="shared" ref="AC8:AC36" si="5">D8/J8</f>
        <v>#DIV/0!</v>
      </c>
    </row>
    <row r="9" spans="1:29" s="1218" customFormat="1" ht="15">
      <c r="A9" s="2914"/>
      <c r="B9" s="2921" t="s">
        <v>2758</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90" t="s">
        <v>534</v>
      </c>
      <c r="Q9" s="1149" t="str">
        <f t="shared" ref="Q9:Q14" si="6">B9</f>
        <v>用途</v>
      </c>
      <c r="R9" s="1567" t="s">
        <v>8</v>
      </c>
      <c r="S9" s="1568">
        <f t="shared" si="0"/>
        <v>100</v>
      </c>
      <c r="T9" s="1567" t="s">
        <v>8</v>
      </c>
      <c r="U9" s="1568">
        <f t="shared" si="1"/>
        <v>100</v>
      </c>
      <c r="V9" s="1567" t="s">
        <v>8</v>
      </c>
      <c r="W9" s="1568">
        <f t="shared" si="2"/>
        <v>100</v>
      </c>
      <c r="X9" s="1569"/>
      <c r="Y9" s="3336" t="s">
        <v>535</v>
      </c>
      <c r="Z9" s="1148" t="str">
        <f t="shared" ref="Z9:Z14" si="7">Q9</f>
        <v>用途</v>
      </c>
      <c r="AA9" s="1570">
        <f t="shared" si="3"/>
        <v>1</v>
      </c>
      <c r="AB9" s="1570">
        <f t="shared" si="4"/>
        <v>1</v>
      </c>
      <c r="AC9" s="1570">
        <f t="shared" si="5"/>
        <v>1</v>
      </c>
    </row>
    <row r="10" spans="1:29" s="1336" customFormat="1" ht="27">
      <c r="A10" s="2915"/>
      <c r="B10" s="2920" t="s">
        <v>2759</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7"/>
      <c r="B11" s="2923">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90"/>
      <c r="Q11" s="1149">
        <f t="shared" si="6"/>
        <v>111</v>
      </c>
      <c r="R11" s="1567" t="s">
        <v>8</v>
      </c>
      <c r="S11" s="1568">
        <f t="shared" si="0"/>
        <v>100</v>
      </c>
      <c r="T11" s="1567" t="s">
        <v>8</v>
      </c>
      <c r="U11" s="1568">
        <f t="shared" si="1"/>
        <v>100</v>
      </c>
      <c r="V11" s="1567" t="s">
        <v>8</v>
      </c>
      <c r="W11" s="1568">
        <f t="shared" si="2"/>
        <v>100</v>
      </c>
      <c r="X11" s="1569"/>
      <c r="Y11" s="3336"/>
      <c r="Z11" s="1148">
        <f t="shared" si="7"/>
        <v>111</v>
      </c>
      <c r="AA11" s="1570">
        <f t="shared" si="3"/>
        <v>1</v>
      </c>
      <c r="AB11" s="1570">
        <f t="shared" si="4"/>
        <v>1</v>
      </c>
      <c r="AC11" s="1570">
        <f t="shared" si="5"/>
        <v>1</v>
      </c>
    </row>
    <row r="12" spans="1:29" s="1218" customFormat="1" ht="15">
      <c r="A12" s="2917"/>
      <c r="B12" s="2923">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75" thickBot="1">
      <c r="A13" s="2918"/>
      <c r="B13" s="2924">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42.75">
      <c r="A14" s="2910" t="s">
        <v>2756</v>
      </c>
      <c r="B14" s="546" t="s">
        <v>542</v>
      </c>
      <c r="C14" s="919" t="str">
        <f>IF(B1="工业",估价对象房地状况!G4,估价对象房地状况!C6)</f>
        <v>临支路，1公里内无公共交通，较差</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8"/>
      <c r="L15" s="2142"/>
      <c r="M15" s="2134"/>
      <c r="N15" s="2134"/>
      <c r="O15" s="2141"/>
      <c r="P15" s="3425"/>
      <c r="Q15" s="1571"/>
      <c r="R15" s="1572"/>
      <c r="S15" s="1573"/>
      <c r="T15" s="1572"/>
      <c r="U15" s="1573"/>
      <c r="V15" s="1572"/>
      <c r="W15" s="1573"/>
      <c r="X15" s="1566"/>
      <c r="Y15" s="3425"/>
      <c r="Z15" s="1574"/>
      <c r="AA15" s="1575">
        <v>1</v>
      </c>
      <c r="AB15" s="1575">
        <v>1</v>
      </c>
      <c r="AC15" s="1575">
        <v>1</v>
      </c>
    </row>
    <row r="16" spans="1:29" ht="42.75">
      <c r="A16" s="514"/>
      <c r="B16" s="2603" t="s">
        <v>2548</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25"/>
      <c r="Q17" s="1571"/>
      <c r="R17" s="1572"/>
      <c r="S17" s="1573"/>
      <c r="T17" s="1572"/>
      <c r="U17" s="1573"/>
      <c r="V17" s="1572"/>
      <c r="W17" s="1573"/>
      <c r="X17" s="1566"/>
      <c r="Y17" s="3425"/>
      <c r="Z17" s="1574"/>
      <c r="AA17" s="1575">
        <v>1</v>
      </c>
      <c r="AB17" s="1575">
        <v>1</v>
      </c>
      <c r="AC17" s="1575">
        <v>1</v>
      </c>
    </row>
    <row r="18" spans="1:29" ht="42.75">
      <c r="A18" s="514"/>
      <c r="B18" s="2591" t="s">
        <v>2560</v>
      </c>
      <c r="C18" s="871" t="str">
        <f>IF(B1="工业",估价对象房地状况!G6,估价对象房地状况!C8)</f>
        <v>估价对象所在区域基础设施水平七通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85.5">
      <c r="A20" s="514"/>
      <c r="B20" s="559" t="s">
        <v>803</v>
      </c>
      <c r="C20" s="871" t="str">
        <f>IF(B1="工业",估价对象房地状况!G7,估价对象房地状况!C9)</f>
        <v>贾平凹文化艺术馆、鹦鹉寺公园、西安工程大学、北京大学光华管理学院西安分院，较好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2757</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26"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549</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29"/>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27"/>
      <c r="Q29" s="1571" t="str">
        <f t="shared" si="11"/>
        <v>成新率</v>
      </c>
      <c r="R29" s="1572" t="s">
        <v>8</v>
      </c>
      <c r="S29" s="1573" t="e">
        <f t="shared" si="12"/>
        <v>#N/A</v>
      </c>
      <c r="T29" s="1572" t="s">
        <v>8</v>
      </c>
      <c r="U29" s="1573" t="e">
        <f t="shared" si="13"/>
        <v>#N/A</v>
      </c>
      <c r="V29" s="1572" t="s">
        <v>8</v>
      </c>
      <c r="W29" s="1573" t="e">
        <f t="shared" si="14"/>
        <v>#N/A</v>
      </c>
      <c r="X29" s="1566"/>
      <c r="Y29" s="3427"/>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8" customFormat="1" ht="15">
      <c r="A31" s="931"/>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27"/>
      <c r="Q31" s="1149" t="str">
        <f t="shared" si="11"/>
        <v>停车位面积</v>
      </c>
      <c r="R31" s="1567" t="s">
        <v>8</v>
      </c>
      <c r="S31" s="1568" t="e">
        <f t="shared" si="12"/>
        <v>#N/A</v>
      </c>
      <c r="T31" s="1567" t="s">
        <v>8</v>
      </c>
      <c r="U31" s="1568" t="e">
        <f t="shared" si="13"/>
        <v>#N/A</v>
      </c>
      <c r="V31" s="1567" t="s">
        <v>8</v>
      </c>
      <c r="W31" s="1568" t="e">
        <f t="shared" si="14"/>
        <v>#N/A</v>
      </c>
      <c r="X31" s="1569"/>
      <c r="Y31" s="3427"/>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27" t="s">
        <v>549</v>
      </c>
      <c r="Q32" s="1571" t="str">
        <f t="shared" si="11"/>
        <v>车位类型</v>
      </c>
      <c r="R32" s="1572" t="s">
        <v>8</v>
      </c>
      <c r="S32" s="1573">
        <f t="shared" si="12"/>
        <v>100</v>
      </c>
      <c r="T32" s="1572" t="s">
        <v>8</v>
      </c>
      <c r="U32" s="1573">
        <f t="shared" si="13"/>
        <v>100</v>
      </c>
      <c r="V32" s="1572" t="s">
        <v>8</v>
      </c>
      <c r="W32" s="1573">
        <f t="shared" si="14"/>
        <v>100</v>
      </c>
      <c r="X32" s="1566"/>
      <c r="Y32" s="3427" t="s">
        <v>549</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90" t="str">
        <f>A37</f>
        <v>成交单价</v>
      </c>
      <c r="Q37" s="3390"/>
      <c r="R37" s="3501">
        <f>E37</f>
        <v>0</v>
      </c>
      <c r="S37" s="3501"/>
      <c r="T37" s="3501">
        <f>G37</f>
        <v>0</v>
      </c>
      <c r="U37" s="3501"/>
      <c r="V37" s="3501">
        <f>I37</f>
        <v>0</v>
      </c>
      <c r="W37" s="3501"/>
      <c r="X37" s="1558"/>
      <c r="Y37" s="1580"/>
      <c r="Z37" s="1558"/>
      <c r="AA37" s="1558"/>
      <c r="AB37" s="1558"/>
      <c r="AC37" s="1558"/>
    </row>
    <row r="38" spans="1:29" ht="15.75" thickBot="1">
      <c r="A38" s="614" t="s">
        <v>2762</v>
      </c>
      <c r="B38" s="887"/>
      <c r="C38" s="2633" t="e">
        <f>R39</f>
        <v>#DIV/0!</v>
      </c>
      <c r="D38" s="2634"/>
      <c r="E38" s="2635" t="e">
        <f>R38</f>
        <v>#DIV/0!</v>
      </c>
      <c r="F38" s="2635"/>
      <c r="G38" s="2633" t="e">
        <f>T38</f>
        <v>#DIV/0!</v>
      </c>
      <c r="H38" s="2634"/>
      <c r="I38" s="2635" t="e">
        <f>V38</f>
        <v>#DIV/0!</v>
      </c>
      <c r="J38" s="2634"/>
      <c r="K38" s="1611"/>
      <c r="L38" s="2144"/>
      <c r="M38" s="2145"/>
      <c r="N38" s="2145"/>
      <c r="O38" s="2145"/>
      <c r="P38" s="3390" t="str">
        <f>A38</f>
        <v>比较价格（元/平方米）</v>
      </c>
      <c r="Q38" s="3390"/>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387" t="str">
        <f>A39</f>
        <v>估价对象XX用房的比较价格（楼面单价，元/平方米）</v>
      </c>
      <c r="Q39" s="3388"/>
      <c r="R39" s="3500" t="e">
        <f>IF(F1="售价",ROUND(AVERAGE(R38:V38),0),ROUND(AVERAGE(R38:V38),1))</f>
        <v>#DIV/0!</v>
      </c>
      <c r="S39" s="3500"/>
      <c r="T39" s="3500"/>
      <c r="U39" s="3500"/>
      <c r="V39" s="3500"/>
      <c r="W39" s="350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528</v>
      </c>
      <c r="B48" s="645"/>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574</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530</v>
      </c>
      <c r="B51" s="647"/>
      <c r="C51" s="659" t="s">
        <v>575</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576</v>
      </c>
      <c r="B53" s="664" t="s">
        <v>533</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2559</v>
      </c>
      <c r="C65" s="707" t="s">
        <v>578</v>
      </c>
      <c r="D65" s="707" t="s">
        <v>579</v>
      </c>
      <c r="E65" s="707" t="s">
        <v>580</v>
      </c>
      <c r="F65" s="707" t="s">
        <v>581</v>
      </c>
      <c r="G65" s="707" t="s">
        <v>582</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2560</v>
      </c>
      <c r="C67" s="2598" t="s">
        <v>2561</v>
      </c>
      <c r="D67" s="2598" t="s">
        <v>2562</v>
      </c>
      <c r="E67" s="2598" t="s">
        <v>2563</v>
      </c>
      <c r="F67" s="2598" t="s">
        <v>2564</v>
      </c>
      <c r="G67" s="2598" t="s">
        <v>2565</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578</v>
      </c>
      <c r="D69" s="707" t="s">
        <v>579</v>
      </c>
      <c r="E69" s="707" t="s">
        <v>580</v>
      </c>
      <c r="F69" s="707" t="s">
        <v>581</v>
      </c>
      <c r="G69" s="707" t="s">
        <v>582</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550</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融创：</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21659.53平方米。根据《建设工程规划许可证》[]、《出让合同》[]，估价对象规划建筑面积为32489平方米。</v>
      </c>
    </row>
    <row r="7" spans="1:4" ht="93.75">
      <c r="A7" s="2873" t="s">
        <v>2750</v>
      </c>
    </row>
    <row r="8" spans="1:4" ht="18.75">
      <c r="A8" s="1794" t="s">
        <v>1906</v>
      </c>
    </row>
    <row r="9" spans="1:4" ht="56.25">
      <c r="A9" s="1796"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2018年6月25日（评估专业人员勘察现场之日）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根据《国有土地使用证》[]，估价对象（分摊）出让国有建设用地使用权面积为21659.53平方米。根据《建设工程规划许可证》[]、《出让合同》[]，估价对象规划建筑面积为32489平方米。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07"/>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396" t="s">
        <v>797</v>
      </c>
      <c r="D4" s="3397"/>
      <c r="E4" s="3430" t="s">
        <v>798</v>
      </c>
      <c r="F4" s="3431"/>
      <c r="G4" s="3396" t="s">
        <v>799</v>
      </c>
      <c r="H4" s="3397"/>
      <c r="I4" s="3396" t="s">
        <v>800</v>
      </c>
      <c r="J4" s="3397"/>
      <c r="K4" s="513" t="s">
        <v>801</v>
      </c>
      <c r="L4" s="2133"/>
      <c r="M4" s="2134"/>
      <c r="N4" s="2134"/>
      <c r="O4" s="2134"/>
      <c r="P4" s="3398" t="s">
        <v>802</v>
      </c>
      <c r="Q4" s="3399"/>
      <c r="R4" s="3404" t="s">
        <v>798</v>
      </c>
      <c r="S4" s="3405"/>
      <c r="T4" s="3404" t="s">
        <v>799</v>
      </c>
      <c r="U4" s="3405"/>
      <c r="V4" s="3391" t="s">
        <v>800</v>
      </c>
      <c r="W4" s="3391"/>
      <c r="X4" s="1566"/>
      <c r="Y4" s="3404" t="s">
        <v>802</v>
      </c>
      <c r="Z4" s="3405"/>
      <c r="AA4" s="3393" t="s">
        <v>798</v>
      </c>
      <c r="AB4" s="3394" t="s">
        <v>799</v>
      </c>
      <c r="AC4" s="3393" t="s">
        <v>800</v>
      </c>
    </row>
    <row r="5" spans="1:29" ht="15">
      <c r="A5" s="514"/>
      <c r="B5" s="515"/>
      <c r="C5" s="3412" t="s">
        <v>2928</v>
      </c>
      <c r="D5" s="3413"/>
      <c r="E5" s="3432" t="s">
        <v>2929</v>
      </c>
      <c r="F5" s="3433"/>
      <c r="G5" s="3412" t="s">
        <v>2930</v>
      </c>
      <c r="H5" s="3413"/>
      <c r="I5" s="3412" t="s">
        <v>2931</v>
      </c>
      <c r="J5" s="3413"/>
      <c r="K5" s="513"/>
      <c r="L5" s="2133"/>
      <c r="M5" s="2134"/>
      <c r="N5" s="2134"/>
      <c r="O5" s="2134"/>
      <c r="P5" s="3400"/>
      <c r="Q5" s="3401"/>
      <c r="R5" s="3406"/>
      <c r="S5" s="3407"/>
      <c r="T5" s="3406"/>
      <c r="U5" s="3407"/>
      <c r="V5" s="3391"/>
      <c r="W5" s="3391"/>
      <c r="X5" s="1566"/>
      <c r="Y5" s="3406"/>
      <c r="Z5" s="3407"/>
      <c r="AA5" s="3394"/>
      <c r="AB5" s="3394"/>
      <c r="AC5" s="3394"/>
    </row>
    <row r="6" spans="1:29" ht="15.75" thickBot="1">
      <c r="A6" s="516"/>
      <c r="B6" s="517"/>
      <c r="C6" s="3410" t="s">
        <v>2932</v>
      </c>
      <c r="D6" s="3411"/>
      <c r="E6" s="3428" t="s">
        <v>2932</v>
      </c>
      <c r="F6" s="3429"/>
      <c r="G6" s="3410" t="s">
        <v>2932</v>
      </c>
      <c r="H6" s="3411"/>
      <c r="I6" s="3410" t="s">
        <v>2932</v>
      </c>
      <c r="J6" s="3411"/>
      <c r="K6" s="513" t="s">
        <v>527</v>
      </c>
      <c r="L6" s="2133"/>
      <c r="M6" s="2134"/>
      <c r="N6" s="2134"/>
      <c r="O6" s="2134"/>
      <c r="P6" s="3402"/>
      <c r="Q6" s="3403"/>
      <c r="R6" s="3406"/>
      <c r="S6" s="3407"/>
      <c r="T6" s="3408"/>
      <c r="U6" s="3409"/>
      <c r="V6" s="3391"/>
      <c r="W6" s="3391"/>
      <c r="X6" s="1566"/>
      <c r="Y6" s="3408"/>
      <c r="Z6" s="3409"/>
      <c r="AA6" s="3395"/>
      <c r="AB6" s="3395"/>
      <c r="AC6" s="3395"/>
    </row>
    <row r="7" spans="1:29" s="1218" customFormat="1" ht="15.75" thickBot="1">
      <c r="A7" s="2912"/>
      <c r="B7" s="2919" t="s">
        <v>528</v>
      </c>
      <c r="C7" s="518">
        <f>'数据-取费表'!B2</f>
        <v>43276</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21" t="s">
        <v>529</v>
      </c>
      <c r="Q7" s="3423"/>
      <c r="R7" s="1567" t="s">
        <v>8</v>
      </c>
      <c r="S7" s="1568">
        <f t="shared" ref="S7:S14" si="0">F7</f>
        <v>0</v>
      </c>
      <c r="T7" s="1567" t="s">
        <v>8</v>
      </c>
      <c r="U7" s="1568">
        <f t="shared" ref="U7:U14" si="1">H7</f>
        <v>0</v>
      </c>
      <c r="V7" s="1567" t="s">
        <v>8</v>
      </c>
      <c r="W7" s="1568">
        <f t="shared" ref="W7:W14" si="2">J7</f>
        <v>0</v>
      </c>
      <c r="X7" s="1569"/>
      <c r="Y7" s="3421" t="s">
        <v>529</v>
      </c>
      <c r="Z7" s="3422"/>
      <c r="AA7" s="1570" t="e">
        <f>D7/F7</f>
        <v>#DIV/0!</v>
      </c>
      <c r="AB7" s="1570" t="e">
        <f>D7/H7</f>
        <v>#DIV/0!</v>
      </c>
      <c r="AC7" s="1570" t="e">
        <f>D7/J7</f>
        <v>#DIV/0!</v>
      </c>
    </row>
    <row r="8" spans="1:29" s="1218" customFormat="1" ht="15.75" thickBot="1">
      <c r="A8" s="2913"/>
      <c r="B8" s="2920" t="s">
        <v>530</v>
      </c>
      <c r="C8" s="524" t="s">
        <v>575</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21" t="s">
        <v>532</v>
      </c>
      <c r="Q8" s="3422"/>
      <c r="R8" s="1567" t="s">
        <v>8</v>
      </c>
      <c r="S8" s="1568">
        <f t="shared" si="0"/>
        <v>0</v>
      </c>
      <c r="T8" s="1567" t="s">
        <v>8</v>
      </c>
      <c r="U8" s="1568">
        <f t="shared" si="1"/>
        <v>0</v>
      </c>
      <c r="V8" s="1567" t="s">
        <v>8</v>
      </c>
      <c r="W8" s="1568">
        <f t="shared" si="2"/>
        <v>0</v>
      </c>
      <c r="X8" s="1569"/>
      <c r="Y8" s="3421" t="s">
        <v>532</v>
      </c>
      <c r="Z8" s="3422"/>
      <c r="AA8" s="1570" t="e">
        <f t="shared" ref="AA8:AA34" si="3">D8/F8</f>
        <v>#DIV/0!</v>
      </c>
      <c r="AB8" s="1570" t="e">
        <f t="shared" ref="AB8:AB34" si="4">D8/H8</f>
        <v>#DIV/0!</v>
      </c>
      <c r="AC8" s="1570" t="e">
        <f t="shared" ref="AC8:AC34" si="5">D8/J8</f>
        <v>#DIV/0!</v>
      </c>
    </row>
    <row r="9" spans="1:29" s="1218" customFormat="1" ht="15">
      <c r="A9" s="2914"/>
      <c r="B9" s="2921" t="s">
        <v>2758</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90" t="s">
        <v>534</v>
      </c>
      <c r="Q9" s="1149" t="str">
        <f t="shared" ref="Q9:Q14" si="6">B9</f>
        <v>用途</v>
      </c>
      <c r="R9" s="1567" t="s">
        <v>8</v>
      </c>
      <c r="S9" s="1568">
        <f t="shared" si="0"/>
        <v>100</v>
      </c>
      <c r="T9" s="1567" t="s">
        <v>8</v>
      </c>
      <c r="U9" s="1568">
        <f t="shared" si="1"/>
        <v>100</v>
      </c>
      <c r="V9" s="1567" t="s">
        <v>8</v>
      </c>
      <c r="W9" s="1568">
        <f t="shared" si="2"/>
        <v>100</v>
      </c>
      <c r="X9" s="1569"/>
      <c r="Y9" s="3336" t="s">
        <v>535</v>
      </c>
      <c r="Z9" s="1148" t="str">
        <f t="shared" ref="Z9:Z14" si="7">Q9</f>
        <v>用途</v>
      </c>
      <c r="AA9" s="1570">
        <f t="shared" si="3"/>
        <v>1</v>
      </c>
      <c r="AB9" s="1570">
        <f t="shared" si="4"/>
        <v>1</v>
      </c>
      <c r="AC9" s="1570">
        <f t="shared" si="5"/>
        <v>1</v>
      </c>
    </row>
    <row r="10" spans="1:29" s="1336" customFormat="1" ht="27">
      <c r="A10" s="2915"/>
      <c r="B10" s="2920" t="s">
        <v>2759</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90"/>
      <c r="Q10" s="1149" t="str">
        <f t="shared" si="6"/>
        <v>土地使用年限（年）</v>
      </c>
      <c r="R10" s="1567" t="s">
        <v>8</v>
      </c>
      <c r="S10" s="1568">
        <f t="shared" si="0"/>
        <v>100</v>
      </c>
      <c r="T10" s="1567" t="s">
        <v>8</v>
      </c>
      <c r="U10" s="1568">
        <f t="shared" si="1"/>
        <v>100</v>
      </c>
      <c r="V10" s="1567" t="s">
        <v>8</v>
      </c>
      <c r="W10" s="1568">
        <f t="shared" si="2"/>
        <v>100</v>
      </c>
      <c r="X10" s="1569"/>
      <c r="Y10" s="3336"/>
      <c r="Z10" s="1148" t="str">
        <f t="shared" si="7"/>
        <v>土地使用年限（年）</v>
      </c>
      <c r="AA10" s="1570">
        <f t="shared" si="3"/>
        <v>1</v>
      </c>
      <c r="AB10" s="1570">
        <f t="shared" si="4"/>
        <v>1</v>
      </c>
      <c r="AC10" s="1570">
        <f t="shared" si="5"/>
        <v>1</v>
      </c>
    </row>
    <row r="11" spans="1:29" ht="15">
      <c r="A11" s="2917"/>
      <c r="B11" s="2923">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90"/>
      <c r="Q11" s="1149">
        <f t="shared" si="6"/>
        <v>111</v>
      </c>
      <c r="R11" s="1567" t="s">
        <v>8</v>
      </c>
      <c r="S11" s="1568">
        <f t="shared" si="0"/>
        <v>100</v>
      </c>
      <c r="T11" s="1567" t="s">
        <v>8</v>
      </c>
      <c r="U11" s="1568">
        <f t="shared" si="1"/>
        <v>100</v>
      </c>
      <c r="V11" s="1567" t="s">
        <v>8</v>
      </c>
      <c r="W11" s="1568">
        <f t="shared" si="2"/>
        <v>100</v>
      </c>
      <c r="X11" s="1569"/>
      <c r="Y11" s="3336"/>
      <c r="Z11" s="1148">
        <f t="shared" si="7"/>
        <v>111</v>
      </c>
      <c r="AA11" s="1570">
        <f t="shared" si="3"/>
        <v>1</v>
      </c>
      <c r="AB11" s="1570">
        <f t="shared" si="4"/>
        <v>1</v>
      </c>
      <c r="AC11" s="1570">
        <f t="shared" si="5"/>
        <v>1</v>
      </c>
    </row>
    <row r="12" spans="1:29" s="1218" customFormat="1" ht="15">
      <c r="A12" s="2917"/>
      <c r="B12" s="2923">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90"/>
      <c r="Q12" s="1149">
        <f t="shared" si="6"/>
        <v>111</v>
      </c>
      <c r="R12" s="1567" t="s">
        <v>8</v>
      </c>
      <c r="S12" s="1568">
        <f t="shared" si="0"/>
        <v>100</v>
      </c>
      <c r="T12" s="1567" t="s">
        <v>8</v>
      </c>
      <c r="U12" s="1568">
        <f t="shared" si="1"/>
        <v>100</v>
      </c>
      <c r="V12" s="1567" t="s">
        <v>8</v>
      </c>
      <c r="W12" s="1568">
        <f t="shared" si="2"/>
        <v>100</v>
      </c>
      <c r="X12" s="1569"/>
      <c r="Y12" s="3336"/>
      <c r="Z12" s="1148">
        <f t="shared" si="7"/>
        <v>111</v>
      </c>
      <c r="AA12" s="1570">
        <f>D12/F12</f>
        <v>1</v>
      </c>
      <c r="AB12" s="1570">
        <f>D12/H12</f>
        <v>1</v>
      </c>
      <c r="AC12" s="1570">
        <f>D12/J12</f>
        <v>1</v>
      </c>
    </row>
    <row r="13" spans="1:29" ht="15.75" thickBot="1">
      <c r="A13" s="2918"/>
      <c r="B13" s="2924">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90"/>
      <c r="Q13" s="1149">
        <f t="shared" si="6"/>
        <v>111</v>
      </c>
      <c r="R13" s="1567" t="s">
        <v>8</v>
      </c>
      <c r="S13" s="1568">
        <f t="shared" si="0"/>
        <v>100</v>
      </c>
      <c r="T13" s="1567" t="s">
        <v>8</v>
      </c>
      <c r="U13" s="1568">
        <f t="shared" si="1"/>
        <v>100</v>
      </c>
      <c r="V13" s="1567" t="s">
        <v>8</v>
      </c>
      <c r="W13" s="1568">
        <f t="shared" si="2"/>
        <v>100</v>
      </c>
      <c r="X13" s="1569"/>
      <c r="Y13" s="3336"/>
      <c r="Z13" s="1148">
        <f t="shared" si="7"/>
        <v>111</v>
      </c>
      <c r="AA13" s="1570">
        <f t="shared" si="3"/>
        <v>1</v>
      </c>
      <c r="AB13" s="1570">
        <f t="shared" si="4"/>
        <v>1</v>
      </c>
      <c r="AC13" s="1570">
        <f t="shared" si="5"/>
        <v>1</v>
      </c>
    </row>
    <row r="14" spans="1:29" ht="42.75">
      <c r="A14" s="2910" t="s">
        <v>2756</v>
      </c>
      <c r="B14" s="166" t="s">
        <v>542</v>
      </c>
      <c r="C14" s="919" t="str">
        <f>IF(B1="工业",估价对象房地状况!G4,估价对象房地状况!C6)</f>
        <v>临支路，1公里内无公共交通，较差</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24" t="s">
        <v>539</v>
      </c>
      <c r="Q14" s="1571" t="str">
        <f t="shared" si="6"/>
        <v>交通便捷度</v>
      </c>
      <c r="R14" s="1572" t="s">
        <v>8</v>
      </c>
      <c r="S14" s="1573">
        <f t="shared" si="0"/>
        <v>100</v>
      </c>
      <c r="T14" s="1572" t="s">
        <v>8</v>
      </c>
      <c r="U14" s="1573">
        <f t="shared" si="1"/>
        <v>100</v>
      </c>
      <c r="V14" s="1572" t="s">
        <v>8</v>
      </c>
      <c r="W14" s="1573">
        <f t="shared" si="2"/>
        <v>100</v>
      </c>
      <c r="X14" s="1566"/>
      <c r="Y14" s="3424" t="s">
        <v>539</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25"/>
      <c r="Q15" s="1571"/>
      <c r="R15" s="1572"/>
      <c r="S15" s="1573"/>
      <c r="T15" s="1572"/>
      <c r="U15" s="1573"/>
      <c r="V15" s="1572"/>
      <c r="W15" s="1573"/>
      <c r="X15" s="1566"/>
      <c r="Y15" s="3425"/>
      <c r="Z15" s="1574"/>
      <c r="AA15" s="1575">
        <v>1</v>
      </c>
      <c r="AB15" s="1575">
        <v>1</v>
      </c>
      <c r="AC15" s="1575">
        <v>1</v>
      </c>
    </row>
    <row r="16" spans="1:29" ht="42.75">
      <c r="A16" s="531"/>
      <c r="B16" s="2603" t="s">
        <v>2548</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25"/>
      <c r="Q17" s="1571"/>
      <c r="R17" s="1572"/>
      <c r="S17" s="1573"/>
      <c r="T17" s="1572"/>
      <c r="U17" s="1573"/>
      <c r="V17" s="1572"/>
      <c r="W17" s="1573"/>
      <c r="X17" s="1566"/>
      <c r="Y17" s="3425"/>
      <c r="Z17" s="1574"/>
      <c r="AA17" s="1575">
        <v>1</v>
      </c>
      <c r="AB17" s="1575">
        <v>1</v>
      </c>
      <c r="AC17" s="1575">
        <v>1</v>
      </c>
    </row>
    <row r="18" spans="1:29" ht="42.75">
      <c r="A18" s="531"/>
      <c r="B18" s="2591" t="s">
        <v>2560</v>
      </c>
      <c r="C18" s="871" t="str">
        <f>IF(B1="工业",估价对象房地状况!G6,估价对象房地状况!C8)</f>
        <v>估价对象所在区域基础设施水平七通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25"/>
      <c r="Q18" s="2579" t="str">
        <f>B18</f>
        <v>基础设施水平</v>
      </c>
      <c r="R18" s="1572" t="s">
        <v>8</v>
      </c>
      <c r="S18" s="1573">
        <f>F18</f>
        <v>100</v>
      </c>
      <c r="T18" s="1572" t="s">
        <v>8</v>
      </c>
      <c r="U18" s="1573">
        <f>H18</f>
        <v>100</v>
      </c>
      <c r="V18" s="1572" t="s">
        <v>8</v>
      </c>
      <c r="W18" s="1573">
        <f>J18</f>
        <v>100</v>
      </c>
      <c r="X18" s="2581"/>
      <c r="Y18" s="3425"/>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25"/>
      <c r="Q19" s="2579"/>
      <c r="R19" s="1572"/>
      <c r="S19" s="1573"/>
      <c r="T19" s="1572"/>
      <c r="U19" s="1573"/>
      <c r="V19" s="1572"/>
      <c r="W19" s="1573"/>
      <c r="X19" s="2581"/>
      <c r="Y19" s="3425"/>
      <c r="Z19" s="2580"/>
      <c r="AA19" s="1575">
        <v>1</v>
      </c>
      <c r="AB19" s="1575">
        <v>1</v>
      </c>
      <c r="AC19" s="1575">
        <v>1</v>
      </c>
    </row>
    <row r="20" spans="1:29" ht="85.5">
      <c r="A20" s="531"/>
      <c r="B20" s="870" t="s">
        <v>803</v>
      </c>
      <c r="C20" s="871" t="str">
        <f>IF(B1="工业",估价对象房地状况!G7,估价对象房地状况!C9)</f>
        <v>贾平凹文化艺术馆、鹦鹉寺公园、西安工程大学、北京大学光华管理学院西安分院，较好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25"/>
      <c r="Q21" s="1571"/>
      <c r="R21" s="1572"/>
      <c r="S21" s="1573"/>
      <c r="T21" s="1572"/>
      <c r="U21" s="1573"/>
      <c r="V21" s="1572"/>
      <c r="W21" s="1573"/>
      <c r="X21" s="1566"/>
      <c r="Y21" s="3425"/>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25"/>
      <c r="Q25" s="1149">
        <f t="shared" si="11"/>
        <v>111</v>
      </c>
      <c r="R25" s="1567" t="s">
        <v>8</v>
      </c>
      <c r="S25" s="1568">
        <f>F25</f>
        <v>100</v>
      </c>
      <c r="T25" s="1567" t="s">
        <v>8</v>
      </c>
      <c r="U25" s="1568">
        <f>H25</f>
        <v>100</v>
      </c>
      <c r="V25" s="1567" t="s">
        <v>8</v>
      </c>
      <c r="W25" s="1568">
        <f>J25</f>
        <v>100</v>
      </c>
      <c r="X25" s="1569"/>
      <c r="Y25" s="3425"/>
      <c r="Z25" s="1148">
        <f>Q25</f>
        <v>111</v>
      </c>
      <c r="AA25" s="1575">
        <f>D25/F25</f>
        <v>1</v>
      </c>
      <c r="AB25" s="1575">
        <f>D25/H25</f>
        <v>1</v>
      </c>
      <c r="AC25" s="1575">
        <f>D25/J25</f>
        <v>1</v>
      </c>
    </row>
    <row r="26" spans="1:29" ht="15">
      <c r="A26" s="2907" t="s">
        <v>2757</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26"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820</v>
      </c>
      <c r="Z26" s="1574" t="str">
        <f t="shared" ref="Z26:Z34" si="15">Q26</f>
        <v>公共部分装修</v>
      </c>
      <c r="AA26" s="1575">
        <f t="shared" si="3"/>
        <v>1</v>
      </c>
      <c r="AB26" s="1575">
        <f t="shared" si="4"/>
        <v>1</v>
      </c>
      <c r="AC26" s="1575">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27"/>
      <c r="Q31" s="1149" t="str">
        <f t="shared" si="11"/>
        <v>是否封闭</v>
      </c>
      <c r="R31" s="1567" t="s">
        <v>8</v>
      </c>
      <c r="S31" s="1568">
        <f t="shared" si="12"/>
        <v>100</v>
      </c>
      <c r="T31" s="1567" t="s">
        <v>8</v>
      </c>
      <c r="U31" s="1568">
        <f t="shared" si="13"/>
        <v>100</v>
      </c>
      <c r="V31" s="1567" t="s">
        <v>8</v>
      </c>
      <c r="W31" s="1568">
        <f t="shared" si="14"/>
        <v>100</v>
      </c>
      <c r="X31" s="1569"/>
      <c r="Y31" s="3427"/>
      <c r="Z31" s="1148"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27" t="s">
        <v>549</v>
      </c>
      <c r="Q32" s="1571">
        <f t="shared" si="11"/>
        <v>111</v>
      </c>
      <c r="R32" s="1572" t="s">
        <v>8</v>
      </c>
      <c r="S32" s="1573">
        <f t="shared" si="12"/>
        <v>100</v>
      </c>
      <c r="T32" s="1572" t="s">
        <v>8</v>
      </c>
      <c r="U32" s="1573">
        <f t="shared" si="13"/>
        <v>100</v>
      </c>
      <c r="V32" s="1572" t="s">
        <v>8</v>
      </c>
      <c r="W32" s="1573">
        <f t="shared" si="14"/>
        <v>100</v>
      </c>
      <c r="X32" s="1566"/>
      <c r="Y32" s="3427" t="s">
        <v>549</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6" t="s">
        <v>735</v>
      </c>
      <c r="B35" s="886"/>
      <c r="C35" s="2627" t="s">
        <v>1</v>
      </c>
      <c r="D35" s="2628"/>
      <c r="E35" s="2629"/>
      <c r="F35" s="2630"/>
      <c r="G35" s="2631"/>
      <c r="H35" s="2632"/>
      <c r="I35" s="2629"/>
      <c r="J35" s="2632"/>
      <c r="K35" s="1610"/>
      <c r="L35" s="2144"/>
      <c r="M35" s="2145"/>
      <c r="N35" s="2134"/>
      <c r="O35" s="2145"/>
      <c r="P35" s="3390" t="str">
        <f>A35</f>
        <v>成交单价（元/平方米）</v>
      </c>
      <c r="Q35" s="3390"/>
      <c r="R35" s="3501">
        <f>E35</f>
        <v>0</v>
      </c>
      <c r="S35" s="3501"/>
      <c r="T35" s="3501">
        <f>G35</f>
        <v>0</v>
      </c>
      <c r="U35" s="3501"/>
      <c r="V35" s="3501">
        <f>I35</f>
        <v>0</v>
      </c>
      <c r="W35" s="3501"/>
      <c r="X35" s="1558"/>
      <c r="Y35" s="1580"/>
      <c r="Z35" s="1558"/>
      <c r="AA35" s="1558"/>
      <c r="AB35" s="1558"/>
      <c r="AC35" s="1558"/>
    </row>
    <row r="36" spans="1:29" ht="15.75" thickBot="1">
      <c r="A36" s="614" t="s">
        <v>2762</v>
      </c>
      <c r="B36" s="887"/>
      <c r="C36" s="2633" t="e">
        <f>R37</f>
        <v>#DIV/0!</v>
      </c>
      <c r="D36" s="2634"/>
      <c r="E36" s="2635" t="e">
        <f>R36</f>
        <v>#DIV/0!</v>
      </c>
      <c r="F36" s="2635"/>
      <c r="G36" s="2633" t="e">
        <f>T36</f>
        <v>#DIV/0!</v>
      </c>
      <c r="H36" s="2634"/>
      <c r="I36" s="2635" t="e">
        <f>V36</f>
        <v>#DIV/0!</v>
      </c>
      <c r="J36" s="2634"/>
      <c r="K36" s="1611"/>
      <c r="L36" s="2144"/>
      <c r="M36" s="2145"/>
      <c r="N36" s="2134"/>
      <c r="O36" s="2145"/>
      <c r="P36" s="3390" t="str">
        <f>A36</f>
        <v>比较价格（元/平方米）</v>
      </c>
      <c r="Q36" s="3390"/>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87" t="str">
        <f>A37</f>
        <v>估价对象XX用房的比较价格（楼面单价，元/平方米）</v>
      </c>
      <c r="Q37" s="3388"/>
      <c r="R37" s="3500" t="e">
        <f>IF(F1="售价",ROUND(AVERAGE(R36:V36),0),ROUND(AVERAGE(R36:V36),1))</f>
        <v>#DIV/0!</v>
      </c>
      <c r="S37" s="3500"/>
      <c r="T37" s="3500"/>
      <c r="U37" s="3500"/>
      <c r="V37" s="3500"/>
      <c r="W37" s="350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528</v>
      </c>
      <c r="B46" s="645"/>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574</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530</v>
      </c>
      <c r="B49" s="647"/>
      <c r="C49" s="659" t="s">
        <v>575</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576</v>
      </c>
      <c r="B51" s="664" t="s">
        <v>533</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2559</v>
      </c>
      <c r="C63" s="707" t="s">
        <v>578</v>
      </c>
      <c r="D63" s="707" t="s">
        <v>579</v>
      </c>
      <c r="E63" s="707" t="s">
        <v>580</v>
      </c>
      <c r="F63" s="707" t="s">
        <v>581</v>
      </c>
      <c r="G63" s="707" t="s">
        <v>582</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2560</v>
      </c>
      <c r="C65" s="2598" t="s">
        <v>2561</v>
      </c>
      <c r="D65" s="2598" t="s">
        <v>2562</v>
      </c>
      <c r="E65" s="2598" t="s">
        <v>2563</v>
      </c>
      <c r="F65" s="2598" t="s">
        <v>2564</v>
      </c>
      <c r="G65" s="2598" t="s">
        <v>2565</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578</v>
      </c>
      <c r="D67" s="707" t="s">
        <v>579</v>
      </c>
      <c r="E67" s="707" t="s">
        <v>580</v>
      </c>
      <c r="F67" s="707" t="s">
        <v>581</v>
      </c>
      <c r="G67" s="707" t="s">
        <v>582</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550</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826</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2305</v>
      </c>
      <c r="C1" s="3516" t="s">
        <v>2306</v>
      </c>
      <c r="D1" s="3517"/>
      <c r="E1" s="3517"/>
      <c r="F1" s="3517"/>
      <c r="G1" s="3517"/>
      <c r="H1" s="3517"/>
      <c r="I1" s="3517"/>
      <c r="J1" s="3517"/>
      <c r="K1" s="3517"/>
      <c r="L1" s="3517"/>
      <c r="M1" s="3517"/>
      <c r="N1" s="3517"/>
      <c r="O1" s="3517"/>
      <c r="P1" s="3517"/>
      <c r="Q1" s="3517"/>
      <c r="R1" s="3517"/>
      <c r="S1" s="3518"/>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8"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0" t="s">
        <v>2926</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0" t="s">
        <v>2925</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8"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8"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8"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43276</v>
      </c>
      <c r="H1" s="2938">
        <f>IF(C1&gt;C13,0,MATCH(C1,C$13:C$100,-1))+IF(SUMIF(C13:C100,C1,D13:D100)=0,13,12)</f>
        <v>13</v>
      </c>
      <c r="I1" s="2938">
        <f ca="1">MATCH(C2,H3:H7,1)+IF(SUMIF(H3:H7,C2,I3:I7)=0,2,1)</f>
        <v>4</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1</v>
      </c>
      <c r="D2" s="3000" t="s">
        <v>2791</v>
      </c>
      <c r="E2" s="3003">
        <f ca="1">INDIRECT("I"&amp;$I$1)/100</f>
        <v>4.3499999999999997E-2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69:O73"/>
  <sheetViews>
    <sheetView workbookViewId="0">
      <selection activeCell="N73" sqref="N73"/>
    </sheetView>
  </sheetViews>
  <sheetFormatPr defaultRowHeight="13.5"/>
  <sheetData>
    <row r="69" spans="11:15">
      <c r="K69" s="3519" t="s">
        <v>3164</v>
      </c>
      <c r="L69" s="3520"/>
      <c r="M69" s="3520"/>
      <c r="N69" s="3520"/>
      <c r="O69" s="3520"/>
    </row>
    <row r="70" spans="11:15">
      <c r="K70" s="3210" t="s">
        <v>3163</v>
      </c>
      <c r="L70" s="3210" t="s">
        <v>3165</v>
      </c>
      <c r="M70" s="3210" t="s">
        <v>3162</v>
      </c>
      <c r="N70" s="3210" t="s">
        <v>3160</v>
      </c>
      <c r="O70" s="3210" t="s">
        <v>3161</v>
      </c>
    </row>
    <row r="71" spans="11:15">
      <c r="K71" s="3210" t="s">
        <v>3159</v>
      </c>
      <c r="L71" s="3210">
        <f>ROUND('数据-汇总表'!F19/2,2)</f>
        <v>16244.5</v>
      </c>
      <c r="M71" s="3211">
        <v>1</v>
      </c>
      <c r="N71" s="3211">
        <f>'不动产比较法-商业'!C49</f>
        <v>12957</v>
      </c>
      <c r="O71" s="3211">
        <f>ROUND(N71*L71/10000,0)</f>
        <v>21048</v>
      </c>
    </row>
    <row r="72" spans="11:15">
      <c r="K72" s="3210" t="s">
        <v>3158</v>
      </c>
      <c r="L72" s="3210">
        <f>L71</f>
        <v>16244.5</v>
      </c>
      <c r="M72" s="3211">
        <v>0.7</v>
      </c>
      <c r="N72" s="3211">
        <f>ROUND(N71*M72,0)</f>
        <v>9070</v>
      </c>
      <c r="O72" s="3211">
        <f>ROUND(N72*L72/10000,0)</f>
        <v>14734</v>
      </c>
    </row>
    <row r="73" spans="11:15">
      <c r="K73" s="3212" t="s">
        <v>3166</v>
      </c>
      <c r="L73" s="3213">
        <f>L71+L72</f>
        <v>32489</v>
      </c>
      <c r="M73" s="3213" t="s">
        <v>3167</v>
      </c>
      <c r="N73" s="3213">
        <f>ROUND(O73/L73*10000,0)</f>
        <v>11014</v>
      </c>
      <c r="O73" s="3213">
        <f>O71+O72</f>
        <v>35782</v>
      </c>
    </row>
  </sheetData>
  <mergeCells count="1">
    <mergeCell ref="K69:O69"/>
  </mergeCells>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7" t="s">
        <v>2040</v>
      </c>
      <c r="B1" s="3227"/>
      <c r="C1" s="3227"/>
      <c r="D1" s="3227"/>
      <c r="E1" s="3227"/>
      <c r="F1" s="3227"/>
      <c r="G1" s="3227"/>
      <c r="H1" s="3227"/>
      <c r="I1" s="3227"/>
      <c r="J1" s="3227"/>
      <c r="K1" s="3227"/>
      <c r="L1" s="3227"/>
      <c r="M1" s="3227"/>
      <c r="N1" s="3227"/>
      <c r="O1" s="3227"/>
      <c r="P1" s="3227"/>
      <c r="Q1" s="3227"/>
      <c r="R1" s="3227"/>
    </row>
    <row r="2" spans="1:18">
      <c r="A2" s="1807" t="s">
        <v>2042</v>
      </c>
      <c r="B2" s="1807"/>
      <c r="C2" s="1807"/>
      <c r="D2" s="1807"/>
      <c r="E2" s="1807"/>
      <c r="F2" s="1807"/>
      <c r="G2" s="1807"/>
      <c r="H2" s="1807"/>
      <c r="I2" s="1808"/>
      <c r="J2" s="1808"/>
      <c r="K2" s="1809" t="str">
        <f>"估价期日："&amp;TEXT(项目基本情况!D3,"yyyy年m月d日;;")</f>
        <v>估价期日：2018年6月25日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28" t="s">
        <v>2031</v>
      </c>
      <c r="B3" s="3228" t="s">
        <v>2733</v>
      </c>
      <c r="C3" s="3229" t="s">
        <v>2032</v>
      </c>
      <c r="D3" s="3228" t="s">
        <v>2737</v>
      </c>
      <c r="E3" s="3223" t="s">
        <v>2033</v>
      </c>
      <c r="F3" s="3223"/>
      <c r="G3" s="3223"/>
      <c r="H3" s="3223" t="s">
        <v>2034</v>
      </c>
      <c r="I3" s="3223"/>
      <c r="J3" s="3223"/>
      <c r="K3" s="3229" t="s">
        <v>2035</v>
      </c>
      <c r="L3" s="3229" t="s">
        <v>2036</v>
      </c>
      <c r="M3" s="3228" t="s">
        <v>2734</v>
      </c>
      <c r="N3" s="3230" t="str">
        <f>"（分摊）"&amp;项目基本情况!B16&amp;"国有建设用地使用权面积/㎡"</f>
        <v>（分摊）出让国有建设用地使用权面积/㎡</v>
      </c>
      <c r="O3" s="3228" t="s">
        <v>2065</v>
      </c>
      <c r="P3" s="3229" t="s">
        <v>2045</v>
      </c>
      <c r="Q3" s="3229" t="s">
        <v>2066</v>
      </c>
      <c r="R3" s="3229" t="s">
        <v>2037</v>
      </c>
    </row>
    <row r="4" spans="1:18" ht="36.75" customHeight="1">
      <c r="A4" s="3228"/>
      <c r="B4" s="3228"/>
      <c r="C4" s="3229"/>
      <c r="D4" s="3228"/>
      <c r="E4" s="2649" t="s">
        <v>2044</v>
      </c>
      <c r="F4" s="2649" t="s">
        <v>2746</v>
      </c>
      <c r="G4" s="2649" t="s">
        <v>2038</v>
      </c>
      <c r="H4" s="2649" t="s">
        <v>2039</v>
      </c>
      <c r="I4" s="2649" t="s">
        <v>2747</v>
      </c>
      <c r="J4" s="2649" t="s">
        <v>2038</v>
      </c>
      <c r="K4" s="3229"/>
      <c r="L4" s="3229"/>
      <c r="M4" s="3228"/>
      <c r="N4" s="3230"/>
      <c r="O4" s="3228"/>
      <c r="P4" s="3229"/>
      <c r="Q4" s="3229"/>
      <c r="R4" s="3229"/>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f>IF(项目基本情况!B16="出让",项目基本情况!D20,"——")</f>
        <v>0</v>
      </c>
      <c r="N5" s="1810">
        <f>项目基本情况!C22</f>
        <v>21659.53</v>
      </c>
      <c r="O5" s="1810">
        <f>项目基本情况!C21</f>
        <v>32489</v>
      </c>
      <c r="P5" s="1810">
        <f ca="1">结果表!E42</f>
        <v>3256</v>
      </c>
      <c r="Q5" s="1810">
        <f ca="1">结果表!D42</f>
        <v>2171</v>
      </c>
      <c r="R5" s="1811">
        <f ca="1">结果表!C42</f>
        <v>7052</v>
      </c>
    </row>
    <row r="6" spans="1:18">
      <c r="A6" s="3224" t="str">
        <f>IF(项目基本情况!B9="市场价格","——","抵押价格")</f>
        <v>抵押价格</v>
      </c>
      <c r="B6" s="3225"/>
      <c r="C6" s="3225"/>
      <c r="D6" s="3225"/>
      <c r="E6" s="3225"/>
      <c r="F6" s="3225"/>
      <c r="G6" s="3225"/>
      <c r="H6" s="3225"/>
      <c r="I6" s="3225"/>
      <c r="J6" s="3225"/>
      <c r="K6" s="3225"/>
      <c r="L6" s="3225"/>
      <c r="M6" s="3225"/>
      <c r="N6" s="3225"/>
      <c r="O6" s="3225"/>
      <c r="P6" s="3225"/>
      <c r="Q6" s="3226"/>
      <c r="R6" s="1812" t="str">
        <f>结果表!O39</f>
        <v>——</v>
      </c>
    </row>
    <row r="7" spans="1:18">
      <c r="A7" s="3224" t="str">
        <f>IF(项目基本情况!B9="市场价格","——",IF(项目基本情况!E8="已注销及未注销","抵押担保权已注销时的抵押价格","——"))</f>
        <v>——</v>
      </c>
      <c r="B7" s="3225"/>
      <c r="C7" s="3225"/>
      <c r="D7" s="3225"/>
      <c r="E7" s="3225"/>
      <c r="F7" s="3225"/>
      <c r="G7" s="3225"/>
      <c r="H7" s="3225"/>
      <c r="I7" s="3225"/>
      <c r="J7" s="3225"/>
      <c r="K7" s="3225"/>
      <c r="L7" s="3225"/>
      <c r="M7" s="3225"/>
      <c r="N7" s="3225"/>
      <c r="O7" s="3225"/>
      <c r="P7" s="3225"/>
      <c r="Q7" s="3226"/>
      <c r="R7" s="1812" t="str">
        <f>结果表!O40</f>
        <v>——</v>
      </c>
    </row>
    <row r="8" spans="1:18">
      <c r="A8" s="3224">
        <f>IF(项目基本情况!B9="市场价格","——",项目基本情况!E9)</f>
        <v>0</v>
      </c>
      <c r="B8" s="3225"/>
      <c r="C8" s="3225"/>
      <c r="D8" s="3225"/>
      <c r="E8" s="3225"/>
      <c r="F8" s="3225"/>
      <c r="G8" s="3225"/>
      <c r="H8" s="3225"/>
      <c r="I8" s="3225"/>
      <c r="J8" s="3225"/>
      <c r="K8" s="3225"/>
      <c r="L8" s="3225"/>
      <c r="M8" s="3225"/>
      <c r="N8" s="3225"/>
      <c r="O8" s="3225"/>
      <c r="P8" s="3225"/>
      <c r="Q8" s="3226"/>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2" t="s">
        <v>2067</v>
      </c>
      <c r="B1" s="3232"/>
      <c r="C1" s="3232"/>
      <c r="D1" s="3232"/>
    </row>
    <row r="2" spans="1:4" ht="47.25" customHeight="1">
      <c r="A2" s="3233" t="str">
        <f>"1.权利限制："&amp;项目基本情况!L24&amp;"未设定租赁等其他他项权利。"</f>
        <v>1.权利限制：根据估价对象《不动产权证书》原件、《国有土地使用权》复印件，截至估价期日，估价对象抵押权未见登记。未设定租赁等其他他项权利。</v>
      </c>
      <c r="B2" s="3233"/>
      <c r="C2" s="3233"/>
      <c r="D2" s="3233"/>
    </row>
    <row r="3" spans="1:4" ht="48" customHeight="1">
      <c r="A3" s="32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32"/>
      <c r="C3" s="3232"/>
      <c r="D3" s="3232"/>
    </row>
    <row r="4" spans="1:4" ht="36.75" customHeight="1">
      <c r="A4" s="3232" t="str">
        <f>"3.估价规划限制条件：详见"&amp;项目基本情况!E21&amp;"。"</f>
        <v>3.估价规划限制条件：详见《建设工程规划许可证》[]、《出让合同》[]。</v>
      </c>
      <c r="B4" s="3232"/>
      <c r="C4" s="3232"/>
      <c r="D4" s="3232"/>
    </row>
    <row r="5" spans="1:4">
      <c r="A5" s="3231" t="s">
        <v>2068</v>
      </c>
      <c r="B5" s="3231"/>
      <c r="C5" s="3231"/>
      <c r="D5" s="3231"/>
    </row>
    <row r="6" spans="1:4">
      <c r="A6" s="3232" t="s">
        <v>2046</v>
      </c>
      <c r="B6" s="3232"/>
      <c r="C6" s="3232"/>
      <c r="D6" s="3232"/>
    </row>
    <row r="7" spans="1:4" ht="33" customHeight="1">
      <c r="A7" s="3232" t="s">
        <v>2577</v>
      </c>
      <c r="B7" s="3232"/>
      <c r="C7" s="3232"/>
      <c r="D7" s="3232"/>
    </row>
    <row r="8" spans="1:4" ht="32.25" customHeight="1">
      <c r="A8" s="32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2"/>
      <c r="C8" s="3232"/>
      <c r="D8" s="3232"/>
    </row>
    <row r="9" spans="1:4" ht="33.75" customHeight="1">
      <c r="A9" s="32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2"/>
      <c r="C9" s="3232"/>
      <c r="D9" s="3232"/>
    </row>
    <row r="10" spans="1:4">
      <c r="A10" s="3232" t="str">
        <f>IF(项目基本情况!B8="抵押","4.估价师所知悉的法定优先受偿款情况为：","——")</f>
        <v>4.估价师所知悉的法定优先受偿款情况为：</v>
      </c>
      <c r="B10" s="3232"/>
      <c r="C10" s="3232"/>
      <c r="D10" s="3232"/>
    </row>
    <row r="11" spans="1:4" ht="37.5" customHeight="1">
      <c r="A11" s="323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4"/>
      <c r="C11" s="3234"/>
      <c r="D11" s="3234"/>
    </row>
    <row r="12" spans="1:4" ht="168" customHeight="1">
      <c r="A12" s="3231" t="s">
        <v>2070</v>
      </c>
      <c r="B12" s="3231"/>
      <c r="C12" s="3231"/>
      <c r="D12" s="3231"/>
    </row>
    <row r="13" spans="1:4">
      <c r="A13" s="3235" t="s">
        <v>2748</v>
      </c>
      <c r="B13" s="3235"/>
      <c r="C13" s="3235"/>
      <c r="D13" s="3235"/>
    </row>
    <row r="14" spans="1:4">
      <c r="A14" s="3234" t="str">
        <f>IF(项目基本情况!B8="抵押","综上，"&amp;结果表!K47,"——")</f>
        <v>综上，本次评估不存在估价师知悉的法定优先受偿款</v>
      </c>
      <c r="B14" s="3234"/>
      <c r="C14" s="3234"/>
      <c r="D14" s="3234"/>
    </row>
    <row r="15" spans="1:4" ht="58.5" customHeight="1">
      <c r="A15" s="32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2"/>
      <c r="C15" s="3232"/>
      <c r="D15" s="3232"/>
    </row>
    <row r="16" spans="1:4" ht="70.5" customHeight="1">
      <c r="A16" s="32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2"/>
      <c r="C16" s="3232"/>
      <c r="D16" s="3232"/>
    </row>
    <row r="17" spans="1:4">
      <c r="A17" s="3232" t="s">
        <v>2704</v>
      </c>
      <c r="B17" s="3232"/>
      <c r="C17" s="3232"/>
      <c r="D17" s="3232"/>
    </row>
    <row r="18" spans="1:4">
      <c r="A18" s="3232" t="s">
        <v>2696</v>
      </c>
      <c r="B18" s="3232"/>
      <c r="C18" s="3232"/>
      <c r="D18" s="3232"/>
    </row>
    <row r="19" spans="1:4">
      <c r="A19" s="2868" t="s">
        <v>2697</v>
      </c>
      <c r="B19" s="2868" t="s">
        <v>2698</v>
      </c>
      <c r="C19" s="2868" t="s">
        <v>2699</v>
      </c>
      <c r="D19" s="2868" t="s">
        <v>2700</v>
      </c>
    </row>
    <row r="20" spans="1:4">
      <c r="A20" s="2868" t="str">
        <f>项目基本情况!B4</f>
        <v>刘梅</v>
      </c>
      <c r="B20" s="2868">
        <f ca="1">项目基本情况!C4</f>
        <v>2008110059</v>
      </c>
      <c r="C20" s="2870"/>
      <c r="D20" s="1800" t="s">
        <v>2705</v>
      </c>
    </row>
    <row r="21" spans="1:4">
      <c r="A21" s="2868" t="str">
        <f>项目基本情况!D4</f>
        <v>吴薇</v>
      </c>
      <c r="B21" s="2868">
        <f ca="1">项目基本情况!E4</f>
        <v>2002110125</v>
      </c>
      <c r="C21" s="2870"/>
      <c r="D21" s="1800" t="s">
        <v>2706</v>
      </c>
    </row>
    <row r="23" spans="1:4">
      <c r="A23" s="3232" t="s">
        <v>2701</v>
      </c>
      <c r="B23" s="3232"/>
      <c r="C23" s="3232"/>
      <c r="D23" s="3232"/>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43" t="s">
        <v>53</v>
      </c>
      <c r="B15" s="3244" t="s">
        <v>845</v>
      </c>
      <c r="C15" s="3240"/>
    </row>
    <row r="16" spans="1:7" ht="14.25">
      <c r="A16" s="3243"/>
      <c r="B16" s="3241" t="s">
        <v>54</v>
      </c>
      <c r="C16" s="1170" t="s">
        <v>53</v>
      </c>
    </row>
    <row r="17" spans="1:3" ht="14.25">
      <c r="A17" s="3243"/>
      <c r="B17" s="3241"/>
      <c r="C17" s="1170" t="s">
        <v>55</v>
      </c>
    </row>
    <row r="18" spans="1:3" ht="14.25">
      <c r="A18" s="3243"/>
      <c r="B18" s="3241"/>
      <c r="C18" s="1170" t="s">
        <v>56</v>
      </c>
    </row>
    <row r="19" spans="1:3" ht="14.25">
      <c r="A19" s="3243"/>
      <c r="B19" s="3239" t="s">
        <v>57</v>
      </c>
      <c r="C19" s="3240"/>
    </row>
    <row r="20" spans="1:3" ht="14.25">
      <c r="A20" s="1171" t="s">
        <v>58</v>
      </c>
      <c r="B20" s="1172"/>
      <c r="C20" s="1173"/>
    </row>
    <row r="21" spans="1:3" ht="14.25">
      <c r="A21" s="3242" t="s">
        <v>59</v>
      </c>
      <c r="B21" s="3239" t="s">
        <v>60</v>
      </c>
      <c r="C21" s="3240"/>
    </row>
    <row r="22" spans="1:3" ht="14.25">
      <c r="A22" s="3242"/>
      <c r="B22" s="3239" t="s">
        <v>61</v>
      </c>
      <c r="C22" s="3240"/>
    </row>
    <row r="23" spans="1:3" ht="14.25">
      <c r="A23" s="3242"/>
      <c r="B23" s="3239" t="s">
        <v>62</v>
      </c>
      <c r="C23" s="3240"/>
    </row>
    <row r="24" spans="1:3" ht="14.25">
      <c r="A24" s="3242"/>
      <c r="B24" s="3245" t="s">
        <v>63</v>
      </c>
      <c r="C24" s="1174" t="s">
        <v>836</v>
      </c>
    </row>
    <row r="25" spans="1:3" ht="14.25">
      <c r="A25" s="3242"/>
      <c r="B25" s="3246"/>
      <c r="C25" s="1174" t="s">
        <v>837</v>
      </c>
    </row>
    <row r="26" spans="1:3" ht="14.25">
      <c r="A26" s="3242"/>
      <c r="B26" s="3246"/>
      <c r="C26" s="1174" t="s">
        <v>838</v>
      </c>
    </row>
    <row r="27" spans="1:3" ht="14.25">
      <c r="A27" s="3242"/>
      <c r="B27" s="3246"/>
      <c r="C27" s="1174" t="s">
        <v>839</v>
      </c>
    </row>
    <row r="28" spans="1:3" ht="14.25">
      <c r="A28" s="3242"/>
      <c r="B28" s="3246"/>
      <c r="C28" s="1174" t="s">
        <v>840</v>
      </c>
    </row>
    <row r="29" spans="1:3" ht="14.25">
      <c r="A29" s="3242"/>
      <c r="B29" s="3246"/>
      <c r="C29" s="1174" t="s">
        <v>841</v>
      </c>
    </row>
    <row r="30" spans="1:3" ht="14.25">
      <c r="A30" s="3242"/>
      <c r="B30" s="3246"/>
      <c r="C30" s="1174" t="s">
        <v>842</v>
      </c>
    </row>
    <row r="31" spans="1:3" ht="14.25">
      <c r="A31" s="3242"/>
      <c r="B31" s="3246"/>
      <c r="C31" s="1174" t="s">
        <v>843</v>
      </c>
    </row>
    <row r="32" spans="1:3" ht="14.25">
      <c r="A32" s="3242"/>
      <c r="B32" s="3246"/>
      <c r="C32" s="1174" t="s">
        <v>1646</v>
      </c>
    </row>
    <row r="33" spans="1:3" ht="14.25">
      <c r="A33" s="3242"/>
      <c r="B33" s="3236" t="s">
        <v>1652</v>
      </c>
      <c r="C33" s="1174" t="s">
        <v>1647</v>
      </c>
    </row>
    <row r="34" spans="1:3" ht="14.25">
      <c r="A34" s="3242"/>
      <c r="B34" s="3237"/>
      <c r="C34" s="1179" t="s">
        <v>1648</v>
      </c>
    </row>
    <row r="35" spans="1:3" ht="14.25">
      <c r="A35" s="3242"/>
      <c r="B35" s="3237"/>
      <c r="C35" s="1180" t="s">
        <v>1649</v>
      </c>
    </row>
    <row r="36" spans="1:3" ht="14.25">
      <c r="A36" s="3242"/>
      <c r="B36" s="3237"/>
      <c r="C36" s="1180" t="s">
        <v>1650</v>
      </c>
    </row>
    <row r="37" spans="1:3" ht="14.25">
      <c r="A37" s="3242"/>
      <c r="B37" s="3238"/>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43298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43359</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2979</v>
      </c>
      <c r="B12" s="2343">
        <v>1120110054</v>
      </c>
      <c r="C12" s="3006">
        <v>43937</v>
      </c>
      <c r="D12" s="2343" t="s">
        <v>2979</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43304</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47" t="s">
        <v>1928</v>
      </c>
      <c r="B25" s="3247"/>
      <c r="C25" s="3247"/>
      <c r="D25" s="3247"/>
      <c r="E25" s="3247"/>
      <c r="F25" s="3247"/>
      <c r="G25" s="3247"/>
    </row>
    <row r="26" spans="1:7" ht="20.25" customHeight="1">
      <c r="A26" s="3248" t="s">
        <v>1929</v>
      </c>
      <c r="B26" s="3248"/>
      <c r="C26" s="3248"/>
      <c r="D26" s="3248" t="s">
        <v>1930</v>
      </c>
      <c r="E26" s="3248"/>
      <c r="F26" s="3248"/>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3" t="s">
        <v>2547</v>
      </c>
      <c r="R1" s="2582" t="s">
        <v>2541</v>
      </c>
      <c r="S1" s="6" t="s">
        <v>145</v>
      </c>
      <c r="T1" s="7" t="s">
        <v>146</v>
      </c>
      <c r="U1" s="6" t="s">
        <v>147</v>
      </c>
      <c r="V1" s="6" t="s">
        <v>148</v>
      </c>
      <c r="W1" s="1002"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4" t="s">
        <v>879</v>
      </c>
      <c r="Q2" s="9" t="s">
        <v>75</v>
      </c>
      <c r="R2" s="1004" t="s">
        <v>2542</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2543</v>
      </c>
      <c r="S3" s="9" t="s">
        <v>84</v>
      </c>
      <c r="T3" s="9" t="s">
        <v>85</v>
      </c>
      <c r="U3" s="9" t="s">
        <v>84</v>
      </c>
      <c r="V3" s="9" t="s">
        <v>86</v>
      </c>
      <c r="W3" s="9" t="s">
        <v>875</v>
      </c>
    </row>
    <row r="4" spans="1:23">
      <c r="A4" s="8" t="s">
        <v>87</v>
      </c>
      <c r="B4" s="8" t="s">
        <v>151</v>
      </c>
      <c r="C4" s="1550"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2544</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4" t="s">
        <v>545</v>
      </c>
      <c r="Q5" s="9" t="s">
        <v>97</v>
      </c>
      <c r="R5" s="1004" t="s">
        <v>2545</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2546</v>
      </c>
      <c r="S6" s="9" t="s">
        <v>101</v>
      </c>
      <c r="T6" s="9"/>
      <c r="U6" s="9" t="s">
        <v>101</v>
      </c>
      <c r="W6" s="9" t="s">
        <v>878</v>
      </c>
    </row>
    <row r="7" spans="1:23">
      <c r="A7" s="8" t="s">
        <v>102</v>
      </c>
      <c r="B7" s="8" t="s">
        <v>103</v>
      </c>
      <c r="C7" s="1550" t="s">
        <v>1714</v>
      </c>
      <c r="F7" s="9" t="s">
        <v>153</v>
      </c>
      <c r="H7" s="9" t="s">
        <v>104</v>
      </c>
      <c r="I7" s="9" t="s">
        <v>105</v>
      </c>
    </row>
    <row r="8" spans="1:23">
      <c r="A8" s="8" t="s">
        <v>106</v>
      </c>
      <c r="B8" s="1147" t="s">
        <v>3027</v>
      </c>
      <c r="C8" s="1550" t="s">
        <v>1715</v>
      </c>
      <c r="F8" s="9" t="s">
        <v>154</v>
      </c>
      <c r="H8" s="9"/>
      <c r="I8" s="9" t="s">
        <v>107</v>
      </c>
    </row>
    <row r="9" spans="1:23">
      <c r="A9" s="8" t="s">
        <v>108</v>
      </c>
      <c r="B9" s="8" t="s">
        <v>155</v>
      </c>
      <c r="C9" s="1550" t="s">
        <v>1716</v>
      </c>
      <c r="F9" s="9" t="s">
        <v>109</v>
      </c>
      <c r="H9" s="9"/>
    </row>
    <row r="10" spans="1:23">
      <c r="A10" s="8" t="s">
        <v>110</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11" t="s">
        <v>2956</v>
      </c>
      <c r="C18" s="1553"/>
    </row>
    <row r="19" spans="1:3">
      <c r="A19" s="8" t="s">
        <v>119</v>
      </c>
      <c r="B19" s="3111" t="s">
        <v>2964</v>
      </c>
      <c r="C19" s="1553"/>
    </row>
    <row r="20" spans="1:3">
      <c r="A20" s="8" t="s">
        <v>120</v>
      </c>
      <c r="B20" s="3111" t="s">
        <v>3029</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49"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7"/>
      <c r="E53" s="1767"/>
    </row>
    <row r="54" spans="1:5">
      <c r="A54" s="3249"/>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49"/>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49"/>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49"/>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土地案例商业</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2018-07-17T09:38:01Z</dcterms:modified>
</cp:coreProperties>
</file>