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state="hidden"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7" i="61"/>
  <c r="D6" i="61"/>
  <c r="D5" i="61"/>
  <c r="D4" i="61"/>
  <c r="F3" i="61"/>
  <c r="F4" i="61"/>
  <c r="D3"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37" i="11" l="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6"/>
  <c r="E2" i="33"/>
  <c r="E2" i="11"/>
  <c r="E2" i="37"/>
  <c r="E2" i="35"/>
  <c r="E2" i="34"/>
  <c r="E2" i="21"/>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<sst xmlns="http://schemas.openxmlformats.org/spreadsheetml/2006/main" count="6882" uniqueCount="2904">
  <si>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</si>
  <si>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</si>
  <si>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</si>
  <si>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</si>
  <si>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</si>
  <si>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</si>
  <si>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</si>
  <si>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</si>
  <si>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</si>
  <si>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</si>
  <si>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</si>
  <si>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</si>
  <si>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</si>
  <si>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</si>
  <si>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</si>
  <si>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</si>
  <si>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</si>
  <si>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</si>
  <si>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</si>
  <si>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</si>
  <si>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</si>
  <si>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</si>
  <si>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</si>
  <si>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</si>
  <si>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</si>
  <si>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</si>
  <si>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</si>
  <si>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</si>
  <si>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</si>
  <si>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</si>
  <si>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</si>
  <si>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</si>
  <si>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</si>
  <si>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</si>
  <si>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</si>
  <si>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</si>
  <si>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</si>
  <si>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</si>
  <si>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</si>
  <si>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</si>
  <si>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</si>
  <si>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</si>
  <si>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</si>
  <si>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</si>
  <si>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</si>
  <si>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</si>
  <si>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</si>
  <si>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</si>
  <si>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</si>
  <si>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</si>
  <si>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</si>
  <si>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</si>
  <si>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</si>
  <si>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</si>
  <si>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</si>
  <si>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</si>
  <si>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</si>
  <si>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</si>
  <si>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</si>
  <si>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</si>
  <si>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</si>
  <si>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</si>
  <si>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</si>
  <si>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</si>
  <si>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</si>
  <si>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</si>
  <si>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</si>
  <si>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</si>
  <si>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</si>
  <si>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</si>
  <si>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</si>
  <si>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</si>
  <si>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</si>
  <si>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</si>
  <si>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</si>
  <si>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</si>
  <si>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</si>
  <si>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</si>
  <si>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</si>
  <si>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</si>
  <si>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</si>
  <si>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</si>
  <si>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</si>
  <si>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</si>
  <si>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</si>
  <si>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</si>
  <si>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</si>
  <si>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</si>
  <si>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</si>
  <si>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</si>
  <si>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</si>
  <si>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</si>
  <si>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</si>
  <si>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</si>
  <si>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</si>
  <si>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</si>
  <si>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</si>
  <si>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</si>
  <si>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</si>
  <si>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</si>
  <si>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</si>
  <si>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</si>
  <si>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</si>
  <si>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</si>
  <si>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</si>
  <si>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</si>
  <si>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</si>
  <si>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</si>
  <si>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</si>
  <si>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</si>
  <si>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</si>
  <si>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</si>
  <si>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</si>
  <si>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</si>
  <si>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</si>
  <si>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</si>
  <si>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</si>
  <si>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</si>
  <si>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</si>
  <si>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</si>
  <si>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</si>
  <si>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</si>
  <si>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</si>
  <si>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</si>
  <si>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</si>
  <si>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</si>
  <si>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</si>
  <si>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</si>
  <si>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</si>
  <si>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</si>
  <si>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</si>
  <si>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</si>
  <si>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</si>
  <si>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</si>
  <si>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</si>
  <si>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</si>
  <si>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</si>
  <si>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</si>
  <si>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</si>
  <si>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</si>
  <si>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</si>
  <si>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</si>
  <si>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</si>
  <si>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</si>
  <si>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</si>
  <si>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</si>
  <si>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</si>
  <si>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</si>
  <si>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</si>
  <si>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</si>
  <si>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</si>
  <si>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</si>
  <si>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</si>
  <si>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</si>
  <si>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</si>
  <si>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</si>
  <si>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</si>
  <si>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</si>
  <si>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</si>
  <si>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</si>
  <si>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</si>
  <si>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</si>
  <si>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</si>
  <si>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</si>
  <si>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</si>
  <si>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</si>
  <si>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</si>
  <si>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</si>
  <si>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</si>
  <si>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</si>
  <si>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</si>
  <si>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</si>
  <si>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</si>
  <si>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</si>
  <si>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</si>
  <si>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</si>
  <si>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</si>
  <si>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</si>
  <si>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</si>
  <si>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</si>
  <si>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</si>
  <si>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</si>
  <si>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</si>
  <si>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</si>
  <si>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</si>
  <si>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</si>
  <si>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</si>
  <si>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</si>
  <si>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</si>
  <si>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</si>
  <si>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</si>
  <si>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</si>
  <si>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</si>
  <si>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</si>
  <si>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</si>
  <si>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</si>
  <si>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</si>
  <si>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</si>
  <si>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</si>
  <si>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</si>
  <si>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</si>
  <si>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</si>
  <si>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</si>
  <si>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</si>
  <si>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</si>
  <si>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</si>
  <si>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</si>
  <si>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</si>
  <si>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</si>
  <si>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</si>
  <si>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</si>
  <si>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</si>
  <si>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</si>
  <si>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</si>
  <si>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</si>
  <si>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</si>
  <si>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</si>
  <si>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</si>
  <si>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</si>
  <si>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</si>
  <si>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</si>
  <si>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</si>
  <si>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</si>
  <si>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</si>
  <si>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</si>
  <si>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</si>
  <si>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</si>
  <si>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</si>
  <si>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</si>
  <si>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</si>
  <si>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</si>
  <si>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</si>
  <si>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</si>
  <si>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</si>
  <si>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</si>
  <si>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</si>
  <si>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</si>
  <si>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</si>
  <si>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</si>
  <si>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</si>
  <si>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</si>
  <si>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</si>
  <si>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</si>
  <si>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</si>
  <si>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</si>
  <si>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</si>
  <si>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</si>
  <si>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</si>
  <si>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</si>
  <si>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</si>
  <si>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</si>
  <si>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</si>
  <si>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</si>
  <si>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</si>
  <si>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</si>
  <si>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</si>
  <si>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</si>
  <si>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</si>
  <si>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</si>
  <si>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</si>
  <si>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</si>
  <si>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</si>
  <si>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</si>
  <si>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</si>
  <si>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</si>
  <si>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</si>
  <si>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</si>
  <si>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</si>
  <si>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</si>
  <si>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</si>
  <si>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</si>
  <si>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</si>
  <si>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</si>
  <si>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</si>
  <si>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</si>
  <si>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</si>
  <si>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</si>
  <si>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</si>
  <si>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</si>
  <si>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</si>
  <si>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</si>
  <si>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</si>
  <si>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</si>
  <si>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</si>
  <si>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</si>
  <si>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</si>
  <si>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</si>
  <si>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</si>
  <si>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</si>
  <si>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</si>
  <si>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</si>
  <si>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</si>
  <si>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</si>
  <si>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</si>
  <si>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</si>
  <si>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</si>
  <si>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</si>
  <si>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</si>
  <si>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</si>
  <si>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</si>
  <si>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</si>
  <si>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</si>
  <si>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</si>
  <si>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</si>
  <si>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</si>
  <si>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</si>
  <si>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</si>
  <si>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</si>
  <si>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</si>
  <si>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</si>
  <si>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</si>
  <si>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</si>
  <si>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</si>
  <si>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</si>
  <si>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</si>
  <si>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</si>
  <si>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</si>
  <si>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</si>
  <si>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</si>
  <si>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</si>
  <si>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</si>
  <si>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</si>
  <si>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</si>
  <si>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</si>
  <si>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</si>
  <si>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</si>
  <si>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</si>
  <si>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</si>
  <si>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</si>
  <si>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</si>
  <si>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</si>
  <si>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</si>
  <si>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</si>
  <si>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</si>
  <si>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</si>
  <si>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</si>
  <si>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</si>
  <si>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</si>
  <si>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</si>
  <si>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</si>
  <si>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</si>
  <si>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</si>
  <si>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</si>
  <si>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</si>
  <si>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</si>
  <si>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</si>
  <si>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</si>
  <si>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</si>
  <si>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</si>
  <si>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</si>
  <si>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</si>
  <si>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</si>
  <si>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</si>
  <si>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</si>
  <si>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</si>
  <si>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</si>
  <si>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</si>
  <si>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</si>
  <si>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</si>
  <si>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</si>
  <si>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</si>
  <si>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</si>
  <si>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</si>
  <si>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</si>
  <si>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</si>
  <si>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</si>
  <si>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</si>
  <si>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</si>
  <si>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</si>
  <si>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</si>
  <si>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</si>
  <si>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</si>
  <si>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</si>
  <si>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</si>
  <si>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</si>
  <si>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</si>
  <si>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</si>
  <si>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</si>
  <si>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</si>
  <si>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</si>
  <si>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</si>
  <si>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</si>
  <si>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</si>
  <si>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</si>
  <si>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</si>
  <si>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</si>
  <si>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</si>
  <si>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</si>
  <si>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</si>
  <si>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</si>
  <si>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</si>
  <si>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</si>
  <si>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</si>
  <si>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</si>
  <si>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</si>
  <si>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</si>
  <si>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</si>
  <si>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</si>
  <si>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</si>
  <si>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</si>
  <si>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</si>
  <si>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</si>
  <si>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</si>
  <si>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</si>
  <si>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</si>
  <si>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</si>
  <si>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</si>
  <si>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</si>
  <si>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</si>
  <si>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</si>
  <si>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</si>
  <si>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</si>
  <si>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</si>
  <si>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</si>
  <si>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</si>
  <si>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</si>
  <si>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</si>
  <si>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</si>
  <si>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</si>
  <si>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</si>
  <si>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</si>
  <si>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</si>
  <si>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</si>
  <si>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</si>
  <si>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</si>
  <si>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</si>
  <si>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</si>
  <si>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</si>
  <si>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</si>
  <si>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</si>
  <si>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</si>
  <si>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</si>
  <si>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</si>
  <si>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</si>
  <si>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</si>
  <si>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</si>
  <si>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</si>
  <si>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</si>
  <si>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</si>
  <si>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</si>
  <si>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</si>
  <si>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</si>
  <si>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</si>
  <si>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</si>
  <si>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</si>
  <si>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</si>
  <si>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</si>
  <si>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</si>
  <si>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</si>
  <si>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</si>
  <si>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</si>
  <si>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</si>
  <si>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</si>
  <si>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</si>
  <si>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</si>
  <si>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</si>
  <si>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</si>
  <si>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</si>
  <si>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</si>
  <si>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</si>
  <si>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</si>
  <si>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</si>
  <si>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</si>
  <si>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</si>
  <si>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</si>
  <si>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</si>
  <si>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</si>
  <si>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</si>
  <si>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</si>
  <si>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</si>
  <si>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</si>
  <si>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</si>
  <si>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</si>
  <si>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</si>
  <si>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</si>
  <si>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</si>
  <si>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</si>
  <si>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</si>
  <si>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</si>
  <si>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</si>
  <si>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</si>
  <si>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</si>
  <si>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</si>
  <si>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</si>
  <si>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</si>
  <si>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</si>
  <si>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</si>
  <si>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</si>
  <si>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</si>
  <si>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</si>
  <si>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</si>
  <si>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</si>
  <si>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</si>
  <si>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</si>
  <si>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</si>
  <si>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</si>
  <si>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</si>
  <si>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</si>
  <si>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</si>
  <si>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</si>
  <si>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</si>
  <si>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</si>
  <si>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</si>
  <si>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</si>
  <si>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</si>
  <si>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</si>
  <si>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</si>
  <si>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</si>
  <si>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</si>
  <si>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</si>
  <si>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</si>
  <si>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</si>
  <si>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</si>
  <si>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</si>
  <si>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</si>
  <si>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</si>
  <si>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</si>
  <si>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</si>
  <si>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</si>
  <si>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</si>
  <si>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</si>
  <si>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</si>
  <si>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</si>
  <si>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</si>
  <si>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</si>
  <si>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</si>
  <si>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</si>
  <si>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</si>
  <si>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</si>
  <si>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</si>
  <si>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</si>
  <si>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</si>
  <si>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</si>
  <si>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</si>
  <si>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</si>
  <si>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</si>
  <si>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</si>
  <si>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</si>
  <si>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</si>
  <si>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</si>
  <si>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</si>
  <si>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</si>
  <si>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</si>
  <si>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</si>
  <si>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</si>
  <si>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</si>
  <si>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</si>
  <si>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</si>
  <si>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</si>
  <si>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</si>
  <si>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</si>
  <si>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</si>
  <si>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</si>
  <si>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</si>
  <si>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</si>
  <si>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</si>
  <si>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</si>
  <si>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</si>
  <si>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</si>
  <si>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</si>
  <si>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</si>
  <si>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</si>
  <si>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</si>
  <si>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</si>
  <si>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</si>
  <si>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</si>
  <si>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</si>
  <si>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</si>
  <si>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</si>
  <si>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</si>
  <si>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</si>
  <si>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</si>
  <si>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</si>
  <si>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</si>
  <si>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</si>
  <si>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</si>
  <si>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</si>
  <si>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</si>
  <si>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</si>
  <si>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</si>
  <si>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</si>
  <si>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</si>
  <si>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</si>
  <si>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</si>
  <si>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</si>
  <si>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</si>
  <si>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</si>
  <si>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</si>
  <si>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</si>
  <si>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</si>
  <si>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</si>
  <si>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</si>
  <si>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</si>
  <si>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</si>
  <si>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</si>
  <si>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</si>
  <si>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</si>
  <si>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</si>
  <si>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</si>
  <si>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</si>
  <si>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</si>
  <si>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</si>
  <si>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</si>
  <si>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</si>
  <si>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</si>
  <si>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</si>
  <si>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</si>
  <si>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</si>
  <si>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</si>
  <si>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</si>
  <si>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</si>
  <si>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</si>
  <si>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</si>
  <si>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</si>
  <si>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</si>
  <si>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</si>
  <si>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</si>
  <si>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</si>
  <si>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</si>
  <si>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</si>
  <si>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</si>
  <si>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</si>
  <si>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</si>
  <si>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</si>
  <si>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</si>
  <si>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</si>
  <si>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</si>
  <si>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</si>
  <si>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</si>
  <si>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</si>
  <si>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</si>
  <si>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</si>
  <si>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</si>
  <si>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</si>
  <si>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</si>
  <si>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</si>
  <si>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</si>
  <si>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</si>
  <si>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</si>
  <si>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</si>
  <si>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</si>
  <si>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</si>
  <si>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</si>
  <si>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</si>
  <si>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</si>
  <si>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</si>
  <si>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</si>
  <si>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</si>
  <si>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</si>
  <si>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</si>
  <si>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</si>
  <si>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</si>
  <si>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</si>
  <si>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</si>
  <si>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</si>
  <si>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</si>
  <si>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</si>
  <si>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</si>
  <si>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</si>
  <si>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</si>
  <si>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</si>
  <si>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</si>
  <si>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</si>
  <si>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</si>
  <si>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</si>
  <si>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</si>
  <si>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</si>
  <si>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</si>
  <si>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</si>
  <si>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</si>
  <si>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</si>
  <si>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</si>
  <si>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</si>
  <si>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</si>
  <si>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</si>
  <si>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</si>
  <si>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</si>
  <si>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</si>
  <si>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</si>
  <si>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</si>
  <si>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</si>
  <si>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</si>
  <si>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</si>
  <si>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</si>
  <si>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</si>
  <si>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</si>
  <si>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</si>
  <si>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</si>
  <si>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</si>
  <si>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</si>
  <si>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</si>
  <si>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</si>
  <si>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</si>
  <si>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</si>
  <si>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</si>
  <si>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</si>
  <si>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</si>
  <si>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</si>
  <si>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</si>
  <si>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</si>
  <si>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</si>
  <si>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</si>
  <si>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</si>
  <si>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</si>
  <si>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</si>
  <si>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</si>
  <si>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</si>
  <si>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</si>
  <si>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</si>
  <si>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</si>
  <si>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</si>
  <si>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</si>
  <si>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</si>
  <si>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</si>
  <si>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</si>
  <si>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</si>
  <si>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</si>
  <si>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</si>
  <si>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</si>
  <si>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</si>
  <si>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</si>
  <si>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</si>
  <si>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</si>
  <si>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</si>
  <si>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</si>
  <si>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</si>
  <si>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</si>
  <si>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</si>
  <si>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</si>
  <si>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</si>
  <si>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</si>
  <si>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</si>
  <si>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</si>
  <si>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</si>
  <si>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</si>
  <si>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</si>
  <si>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</si>
  <si>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</si>
  <si>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</si>
  <si>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</si>
  <si>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</si>
  <si>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</si>
  <si>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</si>
  <si>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</si>
  <si>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</si>
  <si>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</si>
  <si>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</si>
  <si>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</si>
  <si>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</si>
  <si>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</si>
  <si>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</si>
  <si>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</si>
  <si>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</si>
  <si>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</si>
  <si>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</si>
  <si>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</si>
  <si>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</si>
  <si>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</si>
  <si>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</si>
  <si>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</si>
  <si>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</si>
  <si>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</si>
  <si>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</si>
  <si>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</si>
  <si>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</si>
  <si>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</si>
  <si>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</si>
  <si>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</si>
  <si>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</si>
  <si>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</si>
  <si>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</si>
  <si>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</si>
  <si>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</si>
  <si>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</si>
  <si>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</si>
  <si>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</si>
  <si>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</si>
  <si>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</si>
  <si>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</si>
  <si>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</si>
  <si>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</si>
  <si>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</si>
  <si>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</si>
  <si>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</si>
  <si>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</si>
  <si>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</si>
  <si>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</si>
  <si>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</si>
  <si>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</si>
  <si>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</si>
  <si>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</si>
  <si>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</si>
  <si>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</si>
  <si>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</si>
  <si>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</si>
  <si>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</si>
  <si>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</si>
  <si>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</si>
  <si>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</si>
  <si>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</si>
  <si>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</si>
  <si>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</si>
  <si>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</si>
  <si>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</si>
  <si>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</si>
  <si>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</si>
  <si>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</si>
  <si>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</si>
  <si>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</si>
  <si>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</si>
  <si>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</si>
  <si>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</si>
  <si>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</si>
  <si>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</si>
  <si>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</si>
  <si>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</si>
  <si>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</si>
  <si>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</si>
  <si>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</si>
  <si>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</si>
  <si>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</si>
  <si>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</si>
  <si>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</si>
  <si>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</si>
  <si>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</si>
  <si>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</si>
  <si>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</si>
  <si>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</si>
  <si>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</si>
  <si>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</si>
  <si>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</si>
  <si>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</si>
  <si>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</si>
  <si>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</si>
  <si>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</si>
  <si>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</si>
  <si>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</si>
  <si>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</si>
  <si>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</si>
  <si>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</si>
  <si>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</si>
  <si>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</si>
  <si>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</si>
  <si>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</si>
  <si>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</si>
  <si>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</si>
  <si>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</si>
  <si>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</si>
  <si>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</si>
  <si>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</si>
  <si>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</si>
  <si>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</si>
  <si>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</si>
  <si>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</si>
  <si>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</si>
  <si>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</si>
  <si>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</si>
  <si>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</si>
  <si>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</si>
  <si>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</si>
  <si>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</si>
  <si>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</si>
  <si>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</si>
  <si>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</si>
  <si>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</si>
  <si>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</si>
  <si>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</si>
  <si>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</si>
  <si>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</si>
  <si>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</si>
  <si>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</si>
  <si>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</si>
  <si>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</si>
  <si>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</si>
  <si>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</si>
  <si>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</si>
  <si>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</si>
  <si>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</si>
  <si>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</si>
  <si>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</si>
  <si>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</si>
  <si>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</si>
  <si>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</si>
  <si>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</si>
  <si>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</si>
  <si>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</si>
  <si>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</si>
  <si>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</si>
  <si>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</si>
  <si>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</si>
  <si>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</si>
  <si>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</si>
  <si>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</si>
  <si>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</si>
  <si>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</si>
  <si>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</si>
  <si>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</si>
  <si>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</si>
  <si>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</si>
  <si>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</si>
  <si>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</si>
  <si>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</si>
  <si>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</si>
  <si>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</si>
  <si>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</si>
  <si>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</si>
  <si>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</si>
  <si>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</si>
  <si>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</si>
  <si>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</si>
  <si>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</si>
  <si>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</si>
  <si>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</si>
  <si>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</si>
  <si>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</si>
  <si>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</si>
  <si>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</si>
  <si>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</si>
  <si>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</si>
  <si>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</si>
  <si>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</si>
  <si>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</si>
  <si>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</si>
  <si>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</si>
  <si>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</si>
  <si>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</si>
  <si>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</si>
  <si>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</si>
  <si>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</si>
  <si>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</si>
  <si>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</si>
  <si>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</si>
  <si>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</si>
  <si>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</si>
  <si>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</si>
  <si>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</si>
  <si>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</si>
  <si>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</si>
  <si>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</si>
  <si>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</si>
  <si>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</si>
  <si>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</si>
  <si>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</si>
  <si>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</si>
  <si>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</si>
  <si>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</si>
  <si>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</si>
  <si>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</si>
  <si>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</si>
  <si>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</si>
  <si>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</si>
  <si>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</si>
  <si>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</si>
  <si>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</si>
  <si>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</si>
  <si>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</si>
  <si>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</si>
  <si>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</si>
  <si>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</si>
  <si>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</si>
  <si>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</si>
  <si>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</si>
  <si>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</si>
  <si>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</si>
  <si>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</si>
  <si>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</si>
  <si>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</si>
  <si>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</si>
  <si>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</si>
  <si>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</si>
  <si>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</si>
  <si>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</si>
  <si>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</si>
  <si>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</si>
  <si>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</si>
  <si>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</si>
  <si>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</si>
  <si>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</si>
  <si>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</si>
  <si>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</si>
  <si>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</si>
  <si>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</si>
  <si>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</si>
  <si>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</si>
  <si>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</si>
  <si>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</si>
  <si>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</si>
  <si>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</si>
  <si>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</si>
  <si>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</si>
  <si>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</si>
  <si>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</si>
  <si>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</si>
  <si>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</si>
  <si>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</si>
  <si>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</si>
  <si>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</si>
  <si>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</si>
  <si>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</si>
  <si>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</si>
  <si>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</si>
  <si>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</si>
  <si>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</si>
  <si>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</si>
  <si>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</si>
  <si>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</si>
  <si>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</si>
  <si>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</si>
  <si>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</si>
  <si>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</si>
  <si>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</si>
  <si>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</si>
  <si>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</si>
  <si>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</si>
  <si>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</si>
  <si>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</si>
  <si>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</si>
  <si>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</si>
  <si>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</si>
  <si>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</si>
  <si>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</si>
  <si>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</si>
  <si>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</si>
  <si>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</si>
  <si>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</si>
  <si>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</si>
  <si>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</si>
  <si>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</si>
  <si>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</si>
  <si>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</si>
  <si>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</si>
  <si>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</si>
  <si>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</si>
  <si>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</si>
  <si>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</si>
  <si>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</si>
  <si>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</si>
  <si>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</si>
  <si>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</si>
  <si>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</si>
  <si>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</si>
  <si>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</si>
  <si>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</si>
  <si>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</si>
  <si>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</si>
  <si>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</si>
  <si>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</si>
  <si>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</si>
  <si>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</si>
  <si>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</si>
  <si>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</si>
  <si>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</si>
  <si>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</si>
  <si>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</si>
  <si>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</si>
  <si>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</si>
  <si>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</si>
  <si>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</si>
  <si>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</si>
  <si>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</si>
  <si>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</si>
  <si>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</si>
  <si>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</si>
  <si>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</si>
  <si>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</si>
  <si>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</si>
  <si>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</si>
  <si>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</si>
  <si>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</si>
  <si>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</si>
  <si>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</si>
  <si>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</si>
  <si>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</si>
  <si>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</si>
  <si>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</si>
  <si>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</si>
  <si>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</si>
  <si>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</si>
  <si>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</si>
  <si>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</si>
  <si>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</si>
  <si>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</si>
  <si>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</si>
  <si>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</si>
  <si>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</si>
  <si>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</si>
  <si>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</si>
  <si>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</si>
  <si>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</si>
  <si>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</si>
  <si>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</si>
  <si>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</si>
  <si>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</si>
  <si>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</si>
  <si>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</si>
  <si>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</si>
  <si>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</si>
  <si>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</si>
  <si>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</si>
  <si>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</si>
  <si>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</si>
  <si>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</si>
  <si>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</si>
  <si>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</si>
  <si>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</si>
  <si>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</si>
  <si>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</si>
  <si>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</si>
  <si>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</si>
  <si>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</si>
  <si>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</si>
  <si>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</si>
  <si>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</si>
  <si>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</si>
  <si>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</si>
  <si>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</si>
  <si>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</si>
  <si>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</si>
  <si>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</si>
  <si>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</si>
  <si>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</si>
  <si>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</si>
  <si>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</si>
  <si>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</si>
  <si>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</si>
  <si>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</si>
  <si>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</si>
  <si>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</si>
  <si>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</si>
  <si>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</si>
  <si>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</si>
  <si>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</si>
  <si>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</si>
  <si>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</si>
  <si>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</si>
  <si>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</si>
  <si>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</si>
  <si>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</si>
  <si>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</si>
  <si>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</si>
  <si>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</si>
  <si>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</si>
  <si>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</si>
  <si>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</si>
  <si>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</si>
  <si>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</si>
  <si>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</si>
  <si>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</si>
  <si>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</si>
  <si>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</si>
  <si>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</si>
  <si>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</si>
  <si>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</si>
  <si>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</si>
  <si>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</si>
  <si>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</si>
  <si>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</si>
  <si>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</si>
  <si>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</si>
  <si>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</si>
  <si>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</si>
  <si>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</si>
  <si>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</si>
  <si>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</si>
  <si>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</si>
  <si>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</si>
  <si>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</si>
  <si>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</si>
  <si>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</si>
  <si>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</si>
  <si>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</si>
  <si>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</si>
  <si>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</si>
  <si>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</si>
  <si>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</si>
  <si>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</si>
  <si>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</si>
  <si>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</si>
  <si>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</si>
  <si>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</si>
  <si>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</si>
  <si>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</si>
  <si>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</si>
  <si>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</si>
  <si>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</si>
  <si>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</si>
  <si>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</si>
  <si>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</si>
  <si>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</si>
  <si>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</si>
  <si>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</si>
  <si>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</si>
  <si>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</si>
  <si>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</si>
  <si>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</si>
  <si>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</si>
  <si>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</si>
  <si>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</si>
  <si>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</si>
  <si>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</si>
  <si>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</si>
  <si>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</si>
  <si>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</si>
  <si>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</si>
  <si>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</si>
  <si>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</si>
  <si>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</si>
  <si>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</si>
  <si>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</si>
  <si>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</si>
  <si>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</si>
  <si>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</si>
  <si>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</si>
  <si>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</si>
  <si>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</si>
  <si>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</si>
  <si>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</si>
  <si>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</si>
  <si>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</si>
  <si>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</si>
  <si>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</si>
  <si>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</si>
  <si>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</si>
  <si>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</si>
  <si>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</si>
  <si>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</si>
  <si>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</si>
  <si>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</si>
  <si>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</si>
  <si>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</si>
  <si>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</si>
  <si>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</si>
  <si>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</si>
  <si>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</si>
  <si>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</si>
  <si>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</si>
  <si>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</si>
  <si>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</si>
  <si>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</si>
  <si>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</si>
  <si>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</si>
  <si>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</si>
  <si>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</si>
  <si>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</si>
  <si>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</si>
  <si>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</si>
  <si>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</si>
  <si>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</si>
  <si>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</si>
  <si>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</si>
  <si>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</si>
  <si>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</si>
  <si>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</si>
  <si>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</si>
  <si>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</si>
  <si>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</si>
  <si>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</si>
  <si>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</si>
  <si>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</si>
  <si>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</si>
  <si>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</si>
  <si>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</si>
  <si>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</si>
  <si>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</si>
  <si>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</si>
  <si>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</si>
  <si>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</si>
  <si>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</si>
  <si>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</si>
  <si>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</si>
  <si>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</si>
  <si>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</si>
  <si>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</si>
  <si>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</si>
  <si>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</si>
  <si>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</si>
  <si>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</si>
  <si>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</si>
  <si>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</si>
  <si>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</si>
  <si>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</si>
  <si>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</si>
  <si>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</si>
  <si>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</si>
  <si>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</si>
  <si>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</si>
  <si>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</si>
  <si>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</si>
  <si>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</si>
  <si>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</si>
  <si>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</si>
  <si>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</si>
  <si>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</si>
  <si>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</si>
  <si>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</si>
  <si>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</si>
  <si>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</si>
  <si>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</si>
  <si>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</si>
  <si>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</si>
  <si>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</si>
  <si>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</si>
  <si>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</si>
  <si>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</si>
  <si>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</si>
  <si>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</si>
  <si>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</si>
  <si>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</si>
  <si>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</si>
  <si>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</si>
  <si>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</si>
  <si>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</si>
  <si>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</si>
  <si>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</si>
  <si>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</si>
  <si>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</si>
  <si>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</si>
  <si>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</si>
  <si>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</si>
  <si>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</si>
  <si>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</si>
  <si>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</si>
  <si>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</si>
  <si>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</si>
  <si>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</si>
  <si>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</si>
  <si>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</si>
  <si>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</si>
  <si>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</si>
  <si>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</si>
  <si>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</si>
  <si>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</si>
  <si>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</si>
  <si>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</si>
  <si>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</si>
  <si>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</si>
  <si>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</si>
  <si>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</si>
  <si>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</si>
  <si>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</si>
  <si>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</si>
  <si>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</si>
  <si>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</si>
  <si>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</si>
  <si>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</si>
  <si>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</si>
  <si>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</si>
  <si>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</si>
  <si>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</si>
  <si>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</si>
  <si>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</si>
  <si>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</si>
  <si>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</si>
  <si>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</si>
  <si>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</si>
  <si>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</si>
  <si>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</si>
  <si>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</si>
  <si>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</si>
  <si>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</si>
  <si>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</si>
  <si>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</si>
  <si>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</si>
  <si>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</si>
  <si>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</si>
  <si>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</si>
  <si>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</si>
  <si>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</si>
  <si>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</si>
  <si>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</si>
  <si>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</si>
  <si>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</si>
  <si>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</si>
  <si>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</si>
  <si>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</si>
  <si>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</si>
  <si>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</si>
  <si>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</si>
  <si>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</si>
  <si>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</si>
  <si>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</si>
  <si>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</si>
  <si>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</si>
  <si>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</si>
  <si>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</si>
  <si>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</si>
  <si>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</si>
  <si>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</si>
  <si>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</si>
  <si>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</si>
  <si>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</si>
  <si>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</si>
  <si>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</si>
  <si>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</si>
  <si>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</si>
  <si>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</si>
  <si>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</si>
  <si>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</si>
  <si>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</si>
  <si>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</si>
  <si>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</si>
  <si>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</si>
  <si>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</si>
  <si>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</si>
  <si>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</si>
  <si>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</si>
  <si>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</si>
  <si>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</si>
  <si>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</si>
  <si>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</si>
  <si>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</si>
  <si>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</si>
  <si>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</si>
  <si>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</si>
  <si>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</si>
  <si>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</si>
  <si>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</si>
  <si>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</si>
  <si>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</si>
  <si>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</si>
  <si>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</si>
  <si>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</si>
  <si>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</si>
  <si>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</si>
  <si>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</si>
  <si>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</si>
  <si>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</si>
  <si>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</si>
  <si>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</si>
  <si>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</si>
  <si>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</si>
  <si>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</si>
  <si>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</si>
  <si>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</si>
  <si>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</si>
  <si>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</si>
  <si>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</si>
  <si>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</si>
  <si>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</si>
  <si>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</si>
  <si>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</si>
  <si>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</si>
  <si>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</si>
  <si>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</si>
  <si>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</si>
  <si>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</si>
  <si>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</si>
  <si>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</si>
  <si>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</si>
  <si>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</si>
  <si>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</si>
  <si>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</si>
  <si>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</si>
  <si>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</si>
  <si>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</si>
  <si>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</si>
  <si>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</si>
  <si>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</si>
  <si>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</si>
  <si>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</si>
  <si>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</si>
  <si>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</si>
  <si>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</si>
  <si>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</si>
  <si>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</si>
  <si>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</si>
  <si>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</si>
  <si>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</si>
  <si>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</si>
  <si>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</si>
  <si>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</si>
  <si>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</si>
  <si>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</si>
  <si>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</si>
  <si>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</si>
  <si>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</si>
  <si>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</si>
  <si>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</si>
  <si>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</si>
  <si>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</si>
  <si>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</si>
  <si>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</si>
  <si>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</si>
  <si>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</si>
  <si>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</si>
  <si>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</si>
  <si>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</si>
  <si>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</si>
  <si>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</si>
  <si>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</si>
  <si>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</si>
  <si>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</si>
  <si>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</si>
  <si>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</si>
  <si>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</si>
  <si>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</si>
  <si>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</si>
  <si>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</si>
  <si>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</si>
  <si>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</si>
  <si>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</si>
  <si>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</si>
  <si>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</si>
  <si>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</si>
  <si>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</si>
  <si>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</si>
  <si>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</si>
  <si>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</si>
  <si>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</si>
  <si>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</si>
  <si>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</si>
  <si>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</si>
  <si>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</si>
  <si>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</si>
  <si>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</si>
  <si>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</si>
  <si>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</si>
  <si>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</si>
  <si>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</si>
  <si>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</si>
  <si>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</si>
  <si>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</si>
  <si>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</si>
  <si>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</si>
  <si>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</si>
  <si>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</si>
  <si>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</si>
  <si>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</si>
  <si>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</si>
  <si>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</si>
  <si>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</si>
  <si>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</si>
  <si>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</si>
  <si>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</si>
  <si>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</si>
  <si>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</si>
  <si>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</si>
  <si>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</si>
  <si>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</si>
  <si>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</si>
  <si>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</si>
  <si>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</si>
  <si>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</si>
  <si>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</si>
  <si>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</si>
  <si>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</si>
  <si>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</si>
  <si>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</si>
  <si>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</si>
  <si>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</si>
  <si>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</si>
  <si>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</si>
  <si>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</si>
  <si>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</si>
  <si>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</si>
  <si>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</si>
  <si>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</si>
  <si>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</si>
  <si>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</si>
  <si>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</si>
  <si>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</si>
  <si>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</si>
  <si>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</si>
  <si>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</si>
  <si>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</si>
  <si>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</si>
  <si>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</si>
  <si>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</si>
  <si>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</si>
  <si>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</si>
  <si>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</si>
  <si>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</si>
  <si>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</si>
  <si>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</si>
  <si>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</si>
  <si>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</si>
  <si>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</si>
  <si>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</si>
  <si>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</si>
  <si>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</si>
  <si>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</si>
  <si>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</si>
  <si>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</si>
  <si>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</si>
  <si>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</si>
  <si>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</si>
  <si>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</si>
  <si>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</si>
  <si>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</si>
  <si>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</si>
  <si>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</si>
  <si>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</si>
  <si>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</si>
  <si>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</si>
  <si>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</si>
  <si>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</si>
  <si>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</si>
  <si>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</si>
  <si>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</si>
  <si>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</si>
  <si>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</si>
  <si>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</si>
  <si>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</si>
  <si>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</si>
  <si>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</si>
  <si>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</si>
  <si>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</si>
  <si>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</si>
  <si>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</si>
  <si>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</si>
  <si>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</si>
  <si>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</si>
  <si>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</si>
  <si>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</si>
  <si>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</si>
  <si>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</si>
  <si>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</si>
  <si>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</si>
  <si>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</si>
  <si>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</si>
  <si>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</si>
  <si>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</si>
  <si>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</si>
  <si>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</si>
  <si>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</si>
  <si>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</si>
  <si>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</si>
  <si>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</si>
  <si>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</si>
  <si>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</si>
  <si>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</si>
  <si>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</si>
  <si>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</si>
  <si>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</si>
  <si>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</si>
  <si>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</si>
  <si>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</si>
  <si>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</si>
  <si>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</si>
  <si>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</si>
  <si>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</si>
  <si>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</si>
  <si>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</si>
  <si>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</si>
  <si>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</si>
  <si>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</si>
  <si>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</si>
  <si>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</si>
  <si>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</si>
  <si>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</si>
  <si>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</si>
  <si>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</si>
  <si>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</si>
  <si>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</si>
  <si>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</si>
  <si>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</si>
  <si>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</si>
  <si>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</si>
  <si>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</si>
  <si>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</si>
  <si>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</si>
  <si>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</si>
  <si>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</si>
  <si>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</si>
  <si>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</si>
  <si>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</si>
  <si>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</si>
  <si>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</si>
  <si>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</si>
  <si>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</si>
  <si>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</si>
  <si>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</si>
  <si>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</si>
  <si>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</si>
  <si>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</si>
  <si>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</si>
  <si>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</si>
  <si>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</si>
  <si>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</si>
  <si>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</si>
  <si>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</si>
  <si>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</si>
  <si>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</si>
  <si>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</si>
  <si>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</si>
  <si>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</si>
  <si>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</si>
  <si>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</si>
  <si>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</si>
  <si>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</si>
  <si>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</si>
  <si>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</si>
  <si>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</si>
  <si>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</si>
  <si>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</si>
  <si>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</si>
  <si>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</si>
  <si>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</si>
  <si>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</si>
  <si>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</si>
  <si>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</si>
  <si>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</si>
  <si>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</si>
  <si>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</si>
  <si>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</si>
  <si>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</si>
  <si>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</si>
  <si>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</si>
  <si>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</si>
  <si>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</si>
  <si>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</si>
  <si>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</si>
  <si>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</si>
  <si>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</si>
  <si>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</si>
  <si>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</si>
  <si>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</si>
  <si>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</si>
  <si>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</si>
  <si>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</si>
  <si>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</si>
  <si>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</si>
  <si>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</si>
  <si>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</si>
  <si>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</si>
  <si>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</si>
  <si>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</si>
  <si>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</si>
  <si>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</si>
  <si>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</si>
  <si>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</si>
  <si>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</si>
  <si>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</si>
  <si>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</si>
  <si>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</si>
  <si>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</si>
  <si>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</si>
  <si>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</si>
  <si>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</si>
  <si>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</si>
  <si>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</si>
  <si>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</si>
  <si>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</si>
  <si>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</si>
  <si>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</si>
  <si>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</si>
  <si>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</si>
  <si>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</si>
  <si>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</si>
  <si>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</si>
  <si>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</si>
  <si>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</si>
  <si>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</si>
  <si>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</si>
  <si>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</si>
  <si>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</si>
  <si>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</si>
  <si>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</si>
  <si>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</si>
  <si>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</si>
  <si>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</si>
  <si>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</si>
  <si>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</si>
  <si>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</si>
  <si>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</si>
  <si>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</si>
  <si>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</si>
  <si>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</si>
  <si>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</si>
  <si>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</si>
  <si>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</si>
  <si>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</si>
  <si>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</si>
  <si>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</si>
  <si>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</si>
  <si>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</si>
  <si>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</si>
  <si>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</si>
  <si>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</si>
  <si>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</si>
  <si>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</si>
  <si>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</si>
  <si>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</si>
  <si>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</si>
  <si>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</si>
  <si>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</si>
  <si>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</si>
  <si>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</si>
  <si>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</si>
  <si>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</si>
  <si>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</si>
  <si>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</si>
  <si>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</si>
  <si>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</si>
  <si>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</si>
  <si>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</si>
  <si>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</si>
  <si>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</si>
  <si>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</si>
  <si>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</si>
  <si>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</si>
  <si>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</si>
  <si>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</si>
  <si>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</si>
  <si>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</si>
  <si>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</si>
  <si>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</si>
  <si>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</si>
  <si>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</si>
  <si>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</si>
  <si>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</si>
  <si>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</si>
  <si>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</si>
  <si>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</si>
  <si>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</si>
  <si>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</si>
  <si>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</si>
  <si>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</si>
  <si>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</si>
  <si>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</si>
  <si>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</si>
  <si>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</si>
  <si>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</si>
  <si>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</si>
  <si>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</si>
  <si>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</si>
  <si>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</si>
  <si>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</si>
  <si>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</si>
  <si>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</si>
  <si>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</si>
  <si>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</si>
  <si>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</si>
  <si>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</si>
  <si>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</si>
  <si>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</si>
  <si>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</si>
  <si>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</si>
  <si>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</si>
  <si>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</si>
  <si>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</si>
  <si>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</si>
  <si>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</si>
  <si>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</si>
  <si>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</si>
  <si>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</si>
  <si>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</si>
  <si>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</si>
  <si>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</si>
  <si>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</si>
  <si>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</si>
  <si>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</si>
  <si>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</si>
  <si>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</si>
  <si>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</si>
  <si>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</si>
  <si>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</si>
  <si>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</si>
  <si>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</si>
  <si>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</si>
  <si>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</si>
  <si>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</si>
  <si>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</si>
  <si>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</si>
  <si>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</si>
  <si>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</si>
  <si>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</si>
  <si>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</si>
  <si>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</si>
  <si>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</si>
  <si>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</si>
  <si>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</si>
  <si>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</si>
  <si>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</si>
  <si>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</si>
  <si>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</si>
  <si>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</si>
  <si>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</si>
  <si>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</si>
  <si>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</si>
  <si>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</si>
  <si>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</si>
  <si>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</si>
  <si>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</si>
  <si>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</si>
  <si>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</si>
  <si>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</si>
  <si>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</si>
  <si>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</si>
  <si>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</si>
  <si>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</si>
  <si>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</si>
  <si>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</si>
  <si>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</si>
  <si>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</si>
  <si>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</si>
  <si>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</si>
  <si>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</si>
  <si>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</si>
  <si>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</si>
  <si>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</si>
  <si>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</si>
  <si>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</si>
  <si>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</si>
  <si>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</si>
  <si>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</si>
  <si>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</si>
  <si>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</si>
  <si>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</si>
  <si>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</si>
  <si>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</si>
  <si>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</si>
  <si>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</si>
  <si>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</si>
  <si>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</si>
  <si>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</si>
  <si>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</si>
  <si>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</si>
  <si>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</si>
  <si>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</si>
  <si>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</si>
  <si>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</si>
  <si>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</si>
  <si>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</si>
  <si>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</si>
  <si>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</si>
  <si>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</si>
  <si>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</si>
  <si>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</si>
  <si>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</si>
  <si>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</si>
  <si>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</si>
  <si>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</si>
  <si>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</si>
  <si>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</si>
  <si>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</si>
  <si>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</si>
  <si>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</si>
  <si>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</si>
  <si>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</si>
  <si>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</si>
  <si>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</si>
  <si>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</si>
  <si>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</si>
  <si>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</si>
  <si>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</si>
  <si>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</si>
  <si>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</si>
  <si>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</si>
  <si>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</si>
  <si>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</si>
  <si>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</si>
  <si>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</si>
  <si>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</si>
  <si>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</si>
  <si>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</si>
  <si>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</si>
  <si>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</si>
  <si>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</si>
  <si>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</si>
  <si>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</si>
  <si>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</si>
  <si>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</si>
  <si>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</si>
  <si>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</si>
  <si>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</si>
  <si>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</si>
  <si>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</si>
  <si>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</si>
  <si>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</si>
  <si>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</si>
  <si>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</si>
  <si>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</si>
  <si>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</si>
  <si>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</si>
  <si>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</si>
  <si>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</si>
  <si>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</si>
  <si>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</si>
  <si>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</si>
  <si>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</si>
  <si>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</si>
  <si>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</si>
  <si>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</si>
  <si>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</si>
  <si>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</si>
  <si>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</si>
  <si>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</si>
  <si>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</si>
  <si>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</si>
  <si>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</si>
  <si>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</si>
  <si>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</si>
  <si>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</si>
  <si>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</si>
  <si>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</si>
  <si>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</si>
  <si>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</si>
  <si>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</si>
  <si>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</si>
  <si>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</si>
  <si>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</si>
  <si>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</si>
  <si>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</si>
  <si>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</si>
  <si>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</si>
  <si>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</si>
  <si>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</si>
  <si>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</si>
  <si>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</si>
  <si>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</si>
  <si>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</si>
  <si>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</si>
  <si>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</si>
  <si>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</si>
  <si>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</si>
  <si>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</si>
  <si>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</si>
  <si>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</si>
  <si>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</si>
  <si>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</si>
  <si>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</si>
  <si>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</si>
  <si>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</si>
  <si>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</si>
  <si>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</si>
  <si>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</si>
  <si>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</si>
  <si>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</si>
  <si>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</si>
  <si>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</si>
  <si>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</si>
  <si>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</si>
  <si>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</si>
  <si>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</si>
  <si>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</si>
  <si>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</si>
  <si>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</si>
  <si>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</si>
  <si>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</si>
  <si>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</si>
  <si>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</si>
  <si>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</si>
  <si>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</si>
  <si>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</si>
  <si>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</si>
  <si>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</si>
  <si>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</si>
  <si>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</si>
  <si>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</si>
  <si>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</si>
  <si>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</si>
  <si>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</si>
  <si>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</si>
  <si>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</si>
  <si>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</si>
  <si>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</si>
  <si>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</si>
  <si>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</si>
  <si>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</si>
  <si>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</si>
  <si>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</si>
  <si>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</si>
  <si>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</si>
  <si>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</si>
  <si>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</si>
  <si>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</si>
  <si>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</si>
  <si>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</si>
  <si>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</si>
  <si>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</si>
  <si>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</si>
  <si>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</si>
  <si>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</si>
  <si>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</si>
  <si>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</si>
  <si>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</si>
  <si>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</si>
  <si>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</si>
  <si>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</si>
  <si>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</si>
  <si>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</si>
  <si>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</si>
  <si>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</si>
  <si>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</si>
  <si>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</si>
  <si>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</si>
  <si>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</si>
  <si>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</si>
  <si>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</si>
  <si>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</si>
  <si>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</si>
  <si>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</si>
  <si>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</si>
  <si>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</si>
  <si>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</si>
  <si>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</si>
  <si>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</si>
  <si>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</si>
  <si>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</si>
  <si>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</si>
  <si>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</si>
  <si>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</si>
  <si>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</si>
  <si>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</si>
  <si>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</si>
  <si>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</si>
  <si>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</si>
  <si>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</si>
  <si>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</si>
  <si>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</si>
  <si>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</si>
  <si>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</si>
  <si>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</si>
  <si>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</si>
  <si>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</si>
  <si>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</si>
  <si>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</si>
  <si>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</si>
  <si>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</si>
  <si>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</si>
  <si>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</si>
  <si>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</si>
  <si>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</si>
  <si>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</si>
  <si>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</si>
  <si>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</si>
  <si>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</si>
  <si>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</si>
  <si>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</si>
  <si>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</si>
  <si>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</si>
  <si>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</si>
  <si>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</si>
  <si>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</si>
  <si>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</si>
  <si>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</si>
  <si>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</si>
  <si>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</si>
  <si>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</si>
  <si>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</si>
  <si>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</si>
  <si>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</si>
  <si>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</si>
  <si>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</si>
  <si>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</si>
  <si>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</si>
  <si>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</si>
  <si>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</si>
  <si>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</si>
  <si>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</si>
  <si>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</si>
  <si>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</si>
  <si>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</si>
  <si>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</si>
  <si>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</si>
  <si>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</si>
  <si>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</si>
  <si>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</si>
  <si>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</si>
  <si>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</si>
  <si>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</si>
  <si>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</si>
  <si>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</si>
  <si>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</si>
  <si>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</si>
  <si>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</si>
  <si>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</si>
  <si>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</si>
  <si>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</si>
  <si>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</si>
  <si>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</si>
  <si>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</si>
  <si>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</si>
  <si>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</si>
  <si>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</si>
  <si>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</si>
  <si>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</si>
  <si>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</si>
  <si>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</si>
  <si>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</si>
  <si>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</si>
  <si>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</si>
  <si>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</si>
  <si>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</si>
  <si>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</si>
  <si>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</si>
  <si>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</si>
  <si>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</si>
  <si>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</si>
  <si>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</si>
  <si>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</si>
  <si>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</si>
  <si>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</si>
  <si>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</si>
  <si>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</si>
  <si>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</si>
  <si>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</si>
  <si>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</si>
  <si>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</si>
  <si>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</si>
  <si>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</si>
  <si>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</si>
  <si>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</si>
  <si>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</si>
  <si>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</si>
  <si>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</si>
  <si>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</si>
  <si>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</si>
  <si>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</si>
  <si>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</si>
  <si>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</si>
  <si>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</si>
  <si>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</si>
  <si>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</si>
  <si>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</si>
  <si>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</si>
  <si>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</si>
  <si>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</si>
  <si>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</si>
  <si>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</si>
  <si>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</si>
  <si>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</si>
  <si>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</si>
  <si>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</si>
  <si>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</si>
  <si>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</si>
  <si>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</si>
  <si>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</si>
  <si>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</si>
  <si>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</si>
  <si>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</si>
  <si>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</si>
  <si>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</si>
  <si>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</si>
  <si>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</si>
  <si>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</si>
  <si>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</si>
  <si>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</si>
  <si>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</si>
  <si>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</si>
  <si>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</si>
  <si>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</si>
  <si>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</si>
  <si>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</si>
  <si>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</si>
  <si>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</si>
  <si>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</si>
  <si>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</si>
  <si>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</si>
  <si>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</si>
  <si>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</si>
  <si>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</si>
  <si>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</si>
  <si>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</si>
  <si>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</si>
  <si>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</si>
  <si>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</si>
  <si>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</si>
  <si>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</si>
  <si>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</si>
  <si>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</si>
  <si>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</si>
  <si>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</si>
  <si>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</si>
  <si>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</si>
  <si>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</si>
  <si>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</si>
  <si>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</si>
  <si>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</si>
  <si>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</si>
  <si>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</si>
  <si>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</si>
  <si>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</si>
  <si>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</si>
  <si>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</si>
  <si>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</si>
  <si>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</si>
  <si>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</si>
  <si>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</si>
  <si>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</si>
  <si>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</si>
  <si>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</si>
  <si>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</si>
  <si>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</si>
  <si>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</si>
  <si>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</si>
  <si>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</si>
  <si>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</si>
  <si>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</si>
  <si>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</si>
  <si>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</si>
  <si>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</si>
  <si>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</si>
  <si>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</si>
  <si>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</si>
  <si>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</si>
  <si>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</si>
  <si>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</si>
  <si>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</si>
  <si>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</si>
  <si>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</si>
  <si>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</si>
  <si>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</si>
  <si>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</si>
  <si>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</si>
  <si>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</si>
  <si>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</si>
  <si>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</si>
  <si>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</si>
  <si>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</si>
  <si>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</si>
  <si>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</si>
  <si>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</si>
  <si>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</si>
  <si>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</si>
  <si>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</si>
  <si>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</si>
  <si>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</si>
  <si>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</si>
  <si>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</si>
  <si>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</si>
  <si>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</si>
  <si>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</si>
  <si>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</si>
  <si>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</si>
  <si>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</si>
  <si>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</si>
  <si>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</si>
  <si>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</si>
  <si>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</si>
  <si>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</si>
  <si>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</si>
  <si>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</si>
  <si>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</si>
  <si>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</si>
  <si>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</si>
  <si>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</si>
  <si>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</si>
  <si>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</si>
  <si>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</si>
  <si>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</si>
  <si>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</si>
  <si>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</si>
  <si>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</si>
  <si>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</si>
  <si>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</si>
  <si>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</si>
  <si>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</si>
  <si>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</si>
  <si>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</si>
  <si>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</si>
  <si>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</si>
  <si>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</si>
  <si>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</si>
  <si>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</si>
  <si>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</si>
  <si>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</si>
  <si>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</si>
  <si>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</si>
  <si>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</si>
  <si>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</si>
  <si>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</si>
  <si>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</si>
  <si>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</si>
  <si>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</si>
  <si>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</si>
  <si>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</si>
  <si>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</si>
  <si>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</si>
  <si>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</si>
  <si>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</si>
  <si>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</si>
  <si>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</si>
  <si>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</si>
  <si>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</si>
  <si>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</si>
  <si>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</si>
  <si>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</si>
  <si>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</si>
  <si>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</si>
  <si>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</si>
  <si>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</si>
  <si>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</si>
  <si>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</si>
  <si>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</si>
  <si>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</si>
  <si>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</si>
  <si>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</si>
  <si>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</si>
  <si>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</si>
  <si>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</si>
  <si>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</si>
  <si>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</si>
  <si>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</si>
  <si>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</si>
  <si>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</si>
  <si>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</si>
  <si>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</si>
  <si>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</si>
  <si>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</si>
  <si>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</si>
  <si>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</si>
  <si>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</si>
  <si>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</si>
  <si>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</si>
  <si>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</si>
  <si>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</si>
  <si>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</si>
  <si>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</si>
  <si>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</si>
  <si>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</si>
  <si>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</si>
  <si>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</si>
  <si>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</si>
  <si>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</si>
  <si>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</si>
  <si>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</si>
  <si>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</si>
  <si>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</si>
  <si>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</si>
  <si>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</si>
  <si>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</si>
  <si>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</si>
  <si>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</si>
  <si>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</si>
  <si>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</si>
  <si>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</si>
  <si>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</si>
  <si>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</si>
  <si>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</si>
  <si>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</si>
  <si>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</si>
  <si>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</si>
  <si>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</si>
  <si>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</si>
  <si>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</si>
  <si>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</si>
  <si>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</si>
  <si>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</si>
  <si>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</si>
  <si>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</si>
  <si>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</si>
  <si>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</si>
  <si>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</si>
  <si>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</si>
  <si>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</si>
  <si>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</si>
  <si>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</si>
  <si>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</si>
  <si>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</si>
  <si>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</si>
  <si>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</si>
  <si>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</si>
  <si>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</si>
  <si>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</si>
  <si>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</si>
  <si>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</si>
  <si>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</si>
  <si>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</si>
  <si>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</si>
  <si>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</si>
  <si>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</si>
  <si>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</si>
  <si>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</si>
  <si>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</si>
  <si>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</si>
  <si>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</si>
  <si>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</si>
  <si>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</si>
  <si>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</si>
  <si>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</si>
  <si>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</si>
  <si>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</si>
  <si>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</si>
  <si>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</si>
  <si>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</si>
  <si>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</si>
  <si>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</si>
  <si>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</si>
  <si>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</si>
  <si>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</si>
  <si>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</si>
  <si>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</si>
  <si>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</si>
  <si>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</si>
  <si>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</si>
  <si>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</si>
  <si>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</si>
  <si>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</si>
  <si>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</si>
  <si>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</si>
  <si>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</si>
  <si>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</si>
  <si>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</si>
  <si>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</si>
  <si>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</si>
  <si>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</si>
  <si>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</si>
  <si>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</si>
  <si>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</si>
  <si>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</si>
  <si>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</si>
  <si>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</si>
  <si>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</si>
  <si>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</si>
  <si>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</si>
  <si>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</si>
  <si>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</si>
  <si>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</si>
  <si>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</si>
  <si>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</si>
  <si>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</si>
  <si>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</si>
  <si>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</si>
  <si>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</si>
  <si>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</si>
  <si>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</si>
  <si>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</si>
  <si>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</si>
  <si>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</si>
  <si>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</si>
  <si>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</si>
  <si>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</si>
  <si>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</si>
  <si>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</si>
  <si>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</si>
  <si>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</si>
  <si>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</si>
  <si>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</si>
  <si>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</si>
  <si>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</si>
  <si>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</si>
  <si>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</si>
  <si>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</si>
  <si>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</si>
  <si>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</si>
  <si>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</si>
  <si>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</si>
  <si>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</si>
  <si>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</si>
  <si>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</si>
  <si>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</si>
  <si>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</si>
  <si>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</si>
  <si>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</si>
  <si>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</si>
  <si>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</si>
  <si>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</si>
  <si>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</si>
  <si>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</si>
  <si>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</si>
  <si>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</si>
  <si>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</si>
  <si>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</si>
  <si>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</si>
  <si>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</si>
  <si>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</si>
  <si>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</si>
  <si>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</si>
  <si>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</si>
  <si>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</si>
  <si>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</si>
  <si>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</si>
  <si>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</si>
  <si>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</si>
  <si>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</si>
  <si>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</si>
  <si>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</si>
  <si>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</si>
  <si>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</si>
  <si>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</si>
  <si>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</si>
  <si>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</si>
  <si>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</si>
  <si>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</si>
  <si>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</si>
  <si>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</si>
  <si>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</si>
  <si>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</si>
  <si>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</si>
  <si>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</si>
  <si>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</si>
  <si>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</si>
  <si>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</si>
  <si>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</si>
  <si>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</si>
  <si>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</si>
  <si>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</si>
  <si>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</si>
  <si>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</si>
  <si>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</si>
  <si>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</si>
  <si>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</si>
  <si>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</si>
  <si>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</si>
  <si>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</si>
  <si>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</si>
  <si>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</si>
  <si>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</si>
  <si>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</si>
  <si>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</si>
  <si>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</si>
  <si>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</si>
  <si>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</si>
  <si>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</si>
  <si>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</si>
  <si>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</si>
  <si>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</si>
  <si>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</si>
  <si>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</si>
  <si>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</si>
  <si>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</si>
  <si>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</si>
  <si>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</si>
  <si>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</si>
  <si>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</si>
  <si>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</si>
  <si>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</si>
  <si>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</si>
  <si>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</si>
  <si>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</si>
  <si>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</si>
  <si>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</si>
  <si>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</si>
  <si>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</si>
  <si>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</si>
  <si>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</si>
  <si>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</si>
  <si>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</si>
  <si>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</si>
  <si>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</si>
  <si>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</si>
  <si>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</si>
  <si>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</si>
  <si>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</si>
  <si>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</si>
  <si>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</si>
  <si>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</si>
  <si>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</si>
  <si>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</si>
  <si>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</si>
  <si>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</si>
  <si>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</si>
  <si>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</si>
  <si>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</si>
  <si>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</si>
  <si>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</si>
  <si>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</si>
  <si>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</si>
  <si>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</si>
  <si>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</si>
  <si>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</si>
  <si>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</si>
  <si>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</si>
  <si>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</si>
  <si>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</si>
  <si>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</si>
  <si>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</si>
  <si>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</si>
  <si>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</si>
  <si>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</si>
  <si>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</si>
  <si>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</si>
  <si>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</si>
  <si>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</si>
  <si>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</si>
  <si>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</si>
  <si>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</si>
  <si>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</si>
  <si>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</si>
  <si>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</si>
  <si>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</si>
  <si>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</si>
  <si>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</si>
  <si>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</si>
  <si>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</si>
  <si>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</si>
  <si>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</si>
  <si>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</si>
  <si>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</si>
  <si>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</si>
  <si>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</si>
  <si>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</si>
  <si>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</si>
  <si>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</si>
  <si>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</si>
  <si>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</si>
  <si>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</si>
  <si>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</si>
  <si>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</si>
  <si>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</si>
  <si>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</si>
  <si>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</si>
  <si>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</si>
  <si>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</si>
  <si>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</si>
  <si>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</si>
  <si>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</si>
  <si>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</si>
  <si>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</si>
  <si>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</si>
  <si>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</si>
  <si>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</si>
  <si>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</si>
  <si>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</si>
  <si>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</si>
  <si>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</si>
  <si>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</si>
  <si>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</si>
  <si>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</si>
  <si>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</si>
  <si>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</si>
  <si>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</si>
  <si>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</si>
  <si>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</si>
  <si>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</si>
  <si>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</si>
  <si>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</si>
  <si>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</si>
  <si>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</si>
  <si>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</si>
  <si>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</si>
  <si>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</si>
  <si>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</si>
  <si>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</si>
  <si>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</si>
  <si>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</si>
  <si>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</si>
  <si>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</si>
  <si>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</si>
  <si>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</si>
  <si>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</si>
  <si>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</si>
  <si>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</si>
  <si>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</si>
  <si>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</si>
  <si>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</si>
  <si>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</si>
  <si>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</si>
  <si>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</si>
  <si>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</si>
  <si>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</si>
  <si>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</si>
  <si>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</si>
  <si>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</si>
  <si>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</si>
  <si>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</si>
  <si>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</si>
  <si>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</si>
  <si>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</si>
  <si>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</si>
  <si>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</si>
  <si>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</si>
  <si>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</si>
  <si>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</si>
  <si>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</si>
  <si>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</si>
  <si>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</si>
  <si>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</si>
  <si>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</si>
  <si>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</si>
  <si>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</si>
  <si>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</si>
  <si>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</si>
  <si>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</si>
  <si>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</si>
  <si>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</si>
  <si>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</si>
  <si>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</si>
  <si>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</si>
  <si>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</si>
  <si>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</si>
  <si>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</si>
  <si>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</si>
  <si>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</si>
  <si>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</si>
  <si>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</si>
  <si>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</si>
  <si>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</si>
  <si>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</si>
  <si>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</si>
  <si>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</si>
  <si>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</si>
  <si>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</si>
  <si>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</si>
  <si>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</si>
  <si>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</si>
  <si>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</si>
  <si>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</si>
  <si>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</si>
  <si>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</si>
  <si>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</si>
  <si>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</si>
  <si>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</si>
  <si>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</si>
  <si>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</si>
  <si>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</si>
  <si>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</si>
  <si>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</si>
  <si>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</si>
  <si>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</si>
  <si>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</si>
  <si>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</si>
  <si>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</si>
  <si>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</si>
  <si>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</si>
  <si>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</si>
  <si>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</si>
  <si>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</si>
  <si>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</si>
  <si>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</si>
  <si>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</si>
  <si>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</si>
  <si>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</si>
  <si>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</si>
  <si>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</si>
  <si>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</si>
  <si>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</si>
  <si>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</si>
  <si>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</si>
  <si>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</si>
  <si>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</si>
  <si>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</si>
  <si>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</si>
  <si>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</si>
  <si>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</si>
  <si>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</si>
  <si>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</si>
  <si>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</si>
  <si>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</si>
  <si>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</si>
  <si>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</si>
  <si>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</si>
  <si>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</si>
  <si>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</si>
  <si>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</si>
  <si>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</si>
  <si>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</si>
  <si>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</si>
  <si>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</si>
  <si>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</si>
  <si>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</si>
  <si>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</si>
  <si>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</si>
  <si>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</si>
  <si>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</si>
  <si>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</si>
  <si>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</si>
  <si>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</si>
  <si>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</si>
  <si>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</si>
  <si>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</si>
  <si>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</si>
  <si>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</si>
  <si>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</si>
  <si>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</si>
  <si>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</si>
  <si>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</si>
  <si>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</si>
  <si>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</si>
  <si>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</si>
  <si>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</si>
  <si>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</si>
  <si>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</si>
  <si>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</si>
  <si>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</si>
  <si>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</si>
  <si>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</si>
  <si>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</si>
  <si>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</si>
  <si>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</si>
  <si>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</si>
  <si>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</si>
  <si>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</si>
  <si>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t>是</t>
  </si>
  <si>
    <t>50-60（含）</t>
  </si>
  <si>
    <t>板楼</t>
  </si>
  <si>
    <t>七通</t>
  </si>
  <si>
    <t>跃层</t>
    <phoneticPr fontId="20"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</si>
  <si>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35" type="noConversion"/>
  </si>
  <si>
    <t>估价对象周边有满庭芳园、太阳园、双榆树北路小区、金谷园、青云北区等居住小区，小区规模和社区发展完善程度较好，综合评价居住社区成熟度好</t>
    <phoneticPr fontId="35" type="noConversion"/>
  </si>
  <si>
    <t>估价对象所在区域基础设施水平——七通</t>
    <phoneticPr fontId="20" type="noConversion"/>
  </si>
  <si>
    <t>自然环境：双榆树公园等；人文环境：觉生寺等，综合评价环境状况一般</t>
    <phoneticPr fontId="35" type="noConversion"/>
  </si>
  <si>
    <t>北京市海淀区中关村东路123号都市网景1号楼6层607号</t>
    <phoneticPr fontId="4" type="noConversion"/>
  </si>
  <si>
    <t>北京市海淀区中关村东路123号都市网景</t>
    <phoneticPr fontId="4" type="noConversion"/>
  </si>
  <si>
    <t>估价对象周边有满庭芳园、太阳园、双榆树北路小区、金谷园、青云北区等居住小区，小区规模和社区发展完善程度较好，综合评价居住社区成熟度好</t>
    <phoneticPr fontId="35"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</si>
  <si>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20" type="noConversion"/>
  </si>
  <si>
    <t>自然环境：双榆树公园等；人文环境：觉生寺等，综合评价环境状况一般</t>
    <phoneticPr fontId="20" type="noConversion"/>
  </si>
  <si>
    <t>东南</t>
  </si>
  <si>
    <t>主</t>
    <phoneticPr fontId="20" type="noConversion"/>
  </si>
  <si>
    <t>主</t>
    <phoneticPr fontId="20" type="noConversion"/>
  </si>
  <si>
    <t>低楼层/24</t>
    <phoneticPr fontId="20" type="noConversion"/>
  </si>
  <si>
    <t>钢混</t>
  </si>
  <si>
    <t>平层</t>
  </si>
  <si>
    <t>简装</t>
  </si>
  <si>
    <r>
      <t>6/24</t>
    </r>
    <r>
      <rPr>
        <sz val="11"/>
        <rFont val="宋体"/>
        <family val="3"/>
        <charset val="134"/>
      </rPr>
      <t>（低楼层）</t>
    </r>
    <phoneticPr fontId="20" type="noConversion"/>
  </si>
  <si>
    <t>高楼层/24</t>
    <phoneticPr fontId="20" type="noConversion"/>
  </si>
  <si>
    <t>低楼层/24</t>
    <phoneticPr fontId="20" type="noConversion"/>
  </si>
  <si>
    <t>低楼层/24</t>
    <phoneticPr fontId="20" type="noConversion"/>
  </si>
  <si>
    <r>
      <t>城市主干道</t>
    </r>
    <r>
      <rPr>
        <sz val="11"/>
        <color theme="9" tint="-0.249977111117893"/>
        <rFont val="Arial"/>
        <family val="2"/>
      </rPr>
      <t>——</t>
    </r>
    <r>
      <rPr>
        <sz val="11"/>
        <color theme="9" tint="-0.249977111117893"/>
        <rFont val="宋体"/>
        <family val="3"/>
        <charset val="134"/>
      </rPr>
      <t>中关村东路</t>
    </r>
  </si>
  <si>
    <t>估价对象紧邻城市主干道——中关村东路，临近地铁10号线（知春里站）、地铁10、13号线（知春路站）；以估价对象为中心半径2公里范围内有79路、86路、88路、323路、660路等十余条公交线路，综合评价交通便捷度好</t>
    <phoneticPr fontId="20" type="noConversion"/>
  </si>
  <si>
    <t>自然环境：双榆树公园等；人文环境：觉生寺等，综合评价环境状况一般</t>
    <phoneticPr fontId="20" type="noConversion"/>
  </si>
  <si>
    <t>估价对象周边有满庭芳园、太阳园、双榆树北路小区、金谷园、青云北区等居住小区，小区规模和社区发展完善程度较好，综合评价居住社区成熟度好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</si>
</sst>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589534</xdr:colOff>
      <xdr:row>9</xdr:row>
      <xdr:rowOff>9331</xdr:rowOff>
    </xdr:to>
    <xdr:pic>
      <xdr:nvPicPr>
        <xdr:cNvPr id="5" name="图片 4"/>
        <xdr:cNvPicPr>
          <a:picLocks noChangeAspect="1"/>
        </xdr:cNvPicPr>
      </xdr:nvPicPr>
      <xdr:blipFill>
        <a:blip xmlns:r="http://schemas.openxmlformats.org/officeDocument/2006/relationships" r:embed="rId1"/>
        <a:stretch>
          <a:fillRect/>
        </a:stretch>
      </xdr:blipFill>
      <xdr:spPr>
        <a:xfrm>
          <a:off x="685800" y="0"/>
          <a:ext cx="8133334" cy="1552381"/>
        </a:xfrm>
        <a:prstGeom prst="rect">
          <a:avLst/>
        </a:prstGeom>
      </xdr:spPr>
    </xdr:pic>
    <xdr:clientData/>
  </xdr:twoCellAnchor>
  <xdr:twoCellAnchor editAs="oneCell">
    <xdr:from>
      <xdr:col>8</xdr:col>
      <xdr:colOff>657225</xdr:colOff>
      <xdr:row>5</xdr:row>
      <xdr:rowOff>47625</xdr:rowOff>
    </xdr:from>
    <xdr:to>
      <xdr:col>19</xdr:col>
      <xdr:colOff>560777</xdr:colOff>
      <xdr:row>29</xdr:row>
      <xdr:rowOff>140911</xdr:rowOff>
    </xdr:to>
    <xdr:pic>
      <xdr:nvPicPr>
        <xdr:cNvPr id="16" name="图片 15"/>
        <xdr:cNvPicPr>
          <a:picLocks noChangeAspect="1"/>
        </xdr:cNvPicPr>
      </xdr:nvPicPr>
      <xdr:blipFill>
        <a:blip xmlns:r="http://schemas.openxmlformats.org/officeDocument/2006/relationships" r:embed="rId2"/>
        <a:stretch>
          <a:fillRect/>
        </a:stretch>
      </xdr:blipFill>
      <xdr:spPr>
        <a:xfrm>
          <a:off x="6143625" y="904875"/>
          <a:ext cx="7447352" cy="4208086"/>
        </a:xfrm>
        <a:prstGeom prst="rect">
          <a:avLst/>
        </a:prstGeom>
      </xdr:spPr>
    </xdr:pic>
    <xdr:clientData/>
  </xdr:twoCellAnchor>
  <xdr:twoCellAnchor editAs="oneCell">
    <xdr:from>
      <xdr:col>1</xdr:col>
      <xdr:colOff>19050</xdr:colOff>
      <xdr:row>9</xdr:row>
      <xdr:rowOff>38101</xdr:rowOff>
    </xdr:from>
    <xdr:to>
      <xdr:col>8</xdr:col>
      <xdr:colOff>674776</xdr:colOff>
      <xdr:row>29</xdr:row>
      <xdr:rowOff>133351</xdr:rowOff>
    </xdr:to>
    <xdr:pic>
      <xdr:nvPicPr>
        <xdr:cNvPr id="17" name="图片 16"/>
        <xdr:cNvPicPr>
          <a:picLocks noChangeAspect="1"/>
        </xdr:cNvPicPr>
      </xdr:nvPicPr>
      <xdr:blipFill>
        <a:blip xmlns:r="http://schemas.openxmlformats.org/officeDocument/2006/relationships" r:embed="rId3"/>
        <a:stretch>
          <a:fillRect/>
        </a:stretch>
      </xdr:blipFill>
      <xdr:spPr>
        <a:xfrm>
          <a:off x="704850" y="1581151"/>
          <a:ext cx="5456326" cy="3524250"/>
        </a:xfrm>
        <a:prstGeom prst="rect">
          <a:avLst/>
        </a:prstGeom>
      </xdr:spPr>
    </xdr:pic>
    <xdr:clientData/>
  </xdr:twoCellAnchor>
  <xdr:twoCellAnchor editAs="oneCell">
    <xdr:from>
      <xdr:col>1</xdr:col>
      <xdr:colOff>0</xdr:colOff>
      <xdr:row>32</xdr:row>
      <xdr:rowOff>0</xdr:rowOff>
    </xdr:from>
    <xdr:to>
      <xdr:col>12</xdr:col>
      <xdr:colOff>494296</xdr:colOff>
      <xdr:row>41</xdr:row>
      <xdr:rowOff>142664</xdr:rowOff>
    </xdr:to>
    <xdr:pic>
      <xdr:nvPicPr>
        <xdr:cNvPr id="18" name="图片 17"/>
        <xdr:cNvPicPr>
          <a:picLocks noChangeAspect="1"/>
        </xdr:cNvPicPr>
      </xdr:nvPicPr>
      <xdr:blipFill>
        <a:blip xmlns:r="http://schemas.openxmlformats.org/officeDocument/2006/relationships" r:embed="rId4"/>
        <a:stretch>
          <a:fillRect/>
        </a:stretch>
      </xdr:blipFill>
      <xdr:spPr>
        <a:xfrm>
          <a:off x="685800" y="5486400"/>
          <a:ext cx="8038096" cy="1685714"/>
        </a:xfrm>
        <a:prstGeom prst="rect">
          <a:avLst/>
        </a:prstGeom>
      </xdr:spPr>
    </xdr:pic>
    <xdr:clientData/>
  </xdr:twoCellAnchor>
  <xdr:twoCellAnchor editAs="oneCell">
    <xdr:from>
      <xdr:col>8</xdr:col>
      <xdr:colOff>85725</xdr:colOff>
      <xdr:row>37</xdr:row>
      <xdr:rowOff>76200</xdr:rowOff>
    </xdr:from>
    <xdr:to>
      <xdr:col>18</xdr:col>
      <xdr:colOff>246409</xdr:colOff>
      <xdr:row>59</xdr:row>
      <xdr:rowOff>146744</xdr:rowOff>
    </xdr:to>
    <xdr:pic>
      <xdr:nvPicPr>
        <xdr:cNvPr id="19" name="图片 18"/>
        <xdr:cNvPicPr>
          <a:picLocks noChangeAspect="1"/>
        </xdr:cNvPicPr>
      </xdr:nvPicPr>
      <xdr:blipFill>
        <a:blip xmlns:r="http://schemas.openxmlformats.org/officeDocument/2006/relationships" r:embed="rId5"/>
        <a:stretch>
          <a:fillRect/>
        </a:stretch>
      </xdr:blipFill>
      <xdr:spPr>
        <a:xfrm>
          <a:off x="5572125" y="6419850"/>
          <a:ext cx="7018684" cy="3842444"/>
        </a:xfrm>
        <a:prstGeom prst="rect">
          <a:avLst/>
        </a:prstGeom>
      </xdr:spPr>
    </xdr:pic>
    <xdr:clientData/>
  </xdr:twoCellAnchor>
  <xdr:twoCellAnchor editAs="oneCell">
    <xdr:from>
      <xdr:col>1</xdr:col>
      <xdr:colOff>0</xdr:colOff>
      <xdr:row>42</xdr:row>
      <xdr:rowOff>1</xdr:rowOff>
    </xdr:from>
    <xdr:to>
      <xdr:col>8</xdr:col>
      <xdr:colOff>28575</xdr:colOff>
      <xdr:row>59</xdr:row>
      <xdr:rowOff>20425</xdr:rowOff>
    </xdr:to>
    <xdr:pic>
      <xdr:nvPicPr>
        <xdr:cNvPr id="20" name="图片 19"/>
        <xdr:cNvPicPr>
          <a:picLocks noChangeAspect="1"/>
        </xdr:cNvPicPr>
      </xdr:nvPicPr>
      <xdr:blipFill>
        <a:blip xmlns:r="http://schemas.openxmlformats.org/officeDocument/2006/relationships" r:embed="rId6"/>
        <a:stretch>
          <a:fillRect/>
        </a:stretch>
      </xdr:blipFill>
      <xdr:spPr>
        <a:xfrm>
          <a:off x="685800" y="7200901"/>
          <a:ext cx="4829175" cy="2935074"/>
        </a:xfrm>
        <a:prstGeom prst="rect">
          <a:avLst/>
        </a:prstGeom>
      </xdr:spPr>
    </xdr:pic>
    <xdr:clientData/>
  </xdr:twoCellAnchor>
  <xdr:twoCellAnchor editAs="oneCell">
    <xdr:from>
      <xdr:col>1</xdr:col>
      <xdr:colOff>0</xdr:colOff>
      <xdr:row>61</xdr:row>
      <xdr:rowOff>0</xdr:rowOff>
    </xdr:from>
    <xdr:to>
      <xdr:col>12</xdr:col>
      <xdr:colOff>484772</xdr:colOff>
      <xdr:row>70</xdr:row>
      <xdr:rowOff>123617</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458450"/>
          <a:ext cx="8028572" cy="1666667"/>
        </a:xfrm>
        <a:prstGeom prst="rect">
          <a:avLst/>
        </a:prstGeom>
      </xdr:spPr>
    </xdr:pic>
    <xdr:clientData/>
  </xdr:twoCellAnchor>
  <xdr:twoCellAnchor editAs="oneCell">
    <xdr:from>
      <xdr:col>8</xdr:col>
      <xdr:colOff>476249</xdr:colOff>
      <xdr:row>67</xdr:row>
      <xdr:rowOff>95250</xdr:rowOff>
    </xdr:from>
    <xdr:to>
      <xdr:col>18</xdr:col>
      <xdr:colOff>103570</xdr:colOff>
      <xdr:row>88</xdr:row>
      <xdr:rowOff>154008</xdr:rowOff>
    </xdr:to>
    <xdr:pic>
      <xdr:nvPicPr>
        <xdr:cNvPr id="23" name="图片 22"/>
        <xdr:cNvPicPr>
          <a:picLocks noChangeAspect="1"/>
        </xdr:cNvPicPr>
      </xdr:nvPicPr>
      <xdr:blipFill>
        <a:blip xmlns:r="http://schemas.openxmlformats.org/officeDocument/2006/relationships" r:embed="rId8"/>
        <a:stretch>
          <a:fillRect/>
        </a:stretch>
      </xdr:blipFill>
      <xdr:spPr>
        <a:xfrm>
          <a:off x="5962649" y="11582400"/>
          <a:ext cx="6485321" cy="3659208"/>
        </a:xfrm>
        <a:prstGeom prst="rect">
          <a:avLst/>
        </a:prstGeom>
      </xdr:spPr>
    </xdr:pic>
    <xdr:clientData/>
  </xdr:twoCellAnchor>
  <xdr:twoCellAnchor editAs="oneCell">
    <xdr:from>
      <xdr:col>1</xdr:col>
      <xdr:colOff>0</xdr:colOff>
      <xdr:row>71</xdr:row>
      <xdr:rowOff>0</xdr:rowOff>
    </xdr:from>
    <xdr:to>
      <xdr:col>8</xdr:col>
      <xdr:colOff>571500</xdr:colOff>
      <xdr:row>89</xdr:row>
      <xdr:rowOff>9137</xdr:rowOff>
    </xdr:to>
    <xdr:pic>
      <xdr:nvPicPr>
        <xdr:cNvPr id="24" name="图片 23"/>
        <xdr:cNvPicPr>
          <a:picLocks noChangeAspect="1"/>
        </xdr:cNvPicPr>
      </xdr:nvPicPr>
      <xdr:blipFill>
        <a:blip xmlns:r="http://schemas.openxmlformats.org/officeDocument/2006/relationships" r:embed="rId9"/>
        <a:stretch>
          <a:fillRect/>
        </a:stretch>
      </xdr:blipFill>
      <xdr:spPr>
        <a:xfrm>
          <a:off x="685800" y="12172950"/>
          <a:ext cx="5372100" cy="3095237"/>
        </a:xfrm>
        <a:prstGeom prst="rect">
          <a:avLst/>
        </a:prstGeom>
      </xdr:spPr>
    </xdr:pic>
    <xdr:clientData/>
  </xdr:twoCellAnchor>
  <xdr:twoCellAnchor editAs="oneCell">
    <xdr:from>
      <xdr:col>1</xdr:col>
      <xdr:colOff>0</xdr:colOff>
      <xdr:row>89</xdr:row>
      <xdr:rowOff>0</xdr:rowOff>
    </xdr:from>
    <xdr:to>
      <xdr:col>12</xdr:col>
      <xdr:colOff>456201</xdr:colOff>
      <xdr:row>98</xdr:row>
      <xdr:rowOff>123617</xdr:rowOff>
    </xdr:to>
    <xdr:pic>
      <xdr:nvPicPr>
        <xdr:cNvPr id="25" name="图片 24"/>
        <xdr:cNvPicPr>
          <a:picLocks noChangeAspect="1"/>
        </xdr:cNvPicPr>
      </xdr:nvPicPr>
      <xdr:blipFill>
        <a:blip xmlns:r="http://schemas.openxmlformats.org/officeDocument/2006/relationships" r:embed="rId10"/>
        <a:stretch>
          <a:fillRect/>
        </a:stretch>
      </xdr:blipFill>
      <xdr:spPr>
        <a:xfrm>
          <a:off x="685800" y="15259050"/>
          <a:ext cx="8000001" cy="1666667"/>
        </a:xfrm>
        <a:prstGeom prst="rect">
          <a:avLst/>
        </a:prstGeom>
      </xdr:spPr>
    </xdr:pic>
    <xdr:clientData/>
  </xdr:twoCellAnchor>
  <xdr:twoCellAnchor editAs="oneCell">
    <xdr:from>
      <xdr:col>8</xdr:col>
      <xdr:colOff>304800</xdr:colOff>
      <xdr:row>94</xdr:row>
      <xdr:rowOff>114300</xdr:rowOff>
    </xdr:from>
    <xdr:to>
      <xdr:col>19</xdr:col>
      <xdr:colOff>265454</xdr:colOff>
      <xdr:row>119</xdr:row>
      <xdr:rowOff>49753</xdr:rowOff>
    </xdr:to>
    <xdr:pic>
      <xdr:nvPicPr>
        <xdr:cNvPr id="26" name="图片 25"/>
        <xdr:cNvPicPr>
          <a:picLocks noChangeAspect="1"/>
        </xdr:cNvPicPr>
      </xdr:nvPicPr>
      <xdr:blipFill>
        <a:blip xmlns:r="http://schemas.openxmlformats.org/officeDocument/2006/relationships" r:embed="rId11"/>
        <a:stretch>
          <a:fillRect/>
        </a:stretch>
      </xdr:blipFill>
      <xdr:spPr>
        <a:xfrm>
          <a:off x="5791200" y="16230600"/>
          <a:ext cx="7504454" cy="4221703"/>
        </a:xfrm>
        <a:prstGeom prst="rect">
          <a:avLst/>
        </a:prstGeom>
      </xdr:spPr>
    </xdr:pic>
    <xdr:clientData/>
  </xdr:twoCellAnchor>
  <xdr:twoCellAnchor editAs="oneCell">
    <xdr:from>
      <xdr:col>1</xdr:col>
      <xdr:colOff>1</xdr:colOff>
      <xdr:row>99</xdr:row>
      <xdr:rowOff>0</xdr:rowOff>
    </xdr:from>
    <xdr:to>
      <xdr:col>8</xdr:col>
      <xdr:colOff>190501</xdr:colOff>
      <xdr:row>117</xdr:row>
      <xdr:rowOff>98015</xdr:rowOff>
    </xdr:to>
    <xdr:pic>
      <xdr:nvPicPr>
        <xdr:cNvPr id="27" name="图片 26"/>
        <xdr:cNvPicPr>
          <a:picLocks noChangeAspect="1"/>
        </xdr:cNvPicPr>
      </xdr:nvPicPr>
      <xdr:blipFill>
        <a:blip xmlns:r="http://schemas.openxmlformats.org/officeDocument/2006/relationships" r:embed="rId12"/>
        <a:stretch>
          <a:fillRect/>
        </a:stretch>
      </xdr:blipFill>
      <xdr:spPr>
        <a:xfrm>
          <a:off x="685801" y="16973550"/>
          <a:ext cx="4991100" cy="3184115"/>
        </a:xfrm>
        <a:prstGeom prst="rect">
          <a:avLst/>
        </a:prstGeom>
      </xdr:spPr>
    </xdr:pic>
    <xdr:clientData/>
  </xdr:twoCellAnchor>
  <xdr:twoCellAnchor editAs="oneCell">
    <xdr:from>
      <xdr:col>1</xdr:col>
      <xdr:colOff>0</xdr:colOff>
      <xdr:row>120</xdr:row>
      <xdr:rowOff>0</xdr:rowOff>
    </xdr:from>
    <xdr:to>
      <xdr:col>12</xdr:col>
      <xdr:colOff>627629</xdr:colOff>
      <xdr:row>140</xdr:row>
      <xdr:rowOff>56715</xdr:rowOff>
    </xdr:to>
    <xdr:pic>
      <xdr:nvPicPr>
        <xdr:cNvPr id="28" name="图片 27"/>
        <xdr:cNvPicPr>
          <a:picLocks noChangeAspect="1"/>
        </xdr:cNvPicPr>
      </xdr:nvPicPr>
      <xdr:blipFill>
        <a:blip xmlns:r="http://schemas.openxmlformats.org/officeDocument/2006/relationships" r:embed="rId13"/>
        <a:stretch>
          <a:fillRect/>
        </a:stretch>
      </xdr:blipFill>
      <xdr:spPr>
        <a:xfrm>
          <a:off x="685800" y="20574000"/>
          <a:ext cx="8171429" cy="34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估价对象为房地产，为所有。根据《不动产权证书》[]，估价对象建筑面积为103.5平方米，（分摊）出让国有建设用地使用权面积为平方米。估价对象用途为。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2017年10月24日（评估专业人员实地查勘之日）</v>
      </c>
    </row>
    <row r="10" spans="1:2">
      <c r="A10" s="1708" t="s">
        <v>1120</v>
      </c>
      <c r="B10" s="1695" t="str">
        <f>'预评函-1'!A13</f>
        <v>本次估价的“房地产价值”是指在正常市场情况下，在价值时点2017年10月24日，估价对象规划用途为，假定未设立法定优先受偿款下的房地产市场价值。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103.5</v>
      </c>
    </row>
    <row r="19" spans="1:2">
      <c r="A19" s="1708" t="s">
        <v>1129</v>
      </c>
      <c r="B19" s="1695">
        <f ca="1">'预评函-2（1）'!D7</f>
        <v>7821392</v>
      </c>
    </row>
    <row r="20" spans="1:2">
      <c r="A20" s="1708" t="s">
        <v>1167</v>
      </c>
      <c r="B20" s="1695" t="str">
        <f>'预评函-2（1）'!C7</f>
        <v>总价（元）</v>
      </c>
    </row>
    <row r="21" spans="1:2">
      <c r="A21" s="1708" t="s">
        <v>1130</v>
      </c>
      <c r="B21" s="1695">
        <f ca="1">'预评函-2（1）'!D9</f>
        <v>75569</v>
      </c>
    </row>
    <row r="22" spans="1:2">
      <c r="A22" s="1708" t="s">
        <v>1131</v>
      </c>
      <c r="B22" s="1695" t="str">
        <f ca="1">'预评函-2（1）'!D8</f>
        <v>柒佰捌拾贰万壹仟叁佰玖拾贰元整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7821392</v>
      </c>
    </row>
    <row r="30" spans="1:2">
      <c r="A30" s="1708" t="s">
        <v>1137</v>
      </c>
      <c r="B30" s="1695" t="str">
        <f ca="1">'预评函-2（1）'!D16</f>
        <v>柒佰捌拾贰万壹仟叁佰玖拾贰元整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7195631</v>
      </c>
    </row>
    <row r="38" spans="1:2">
      <c r="A38" s="1708" t="s">
        <v>1145</v>
      </c>
      <c r="B38" s="1695">
        <f ca="1">'预评函-2（2）'!E4</f>
        <v>69523</v>
      </c>
    </row>
    <row r="39" spans="1:2">
      <c r="A39" s="1708" t="s">
        <v>1146</v>
      </c>
      <c r="B39" s="1695" t="str">
        <f ca="1">'预评函-2（2）'!D5</f>
        <v>柒佰壹拾玖万伍仟陆佰叁拾壹元整</v>
      </c>
    </row>
    <row r="40" spans="1:2">
      <c r="A40" s="1708" t="s">
        <v>1147</v>
      </c>
      <c r="B40" s="1695">
        <f ca="1">'预评函-2（2）'!F4</f>
        <v>625761</v>
      </c>
    </row>
    <row r="41" spans="1:2">
      <c r="A41" s="1708" t="s">
        <v>1148</v>
      </c>
      <c r="B41" s="1695">
        <f ca="1">'预评函-2（2）'!G4</f>
        <v>6046</v>
      </c>
    </row>
    <row r="42" spans="1:2" s="1705" customFormat="1" ht="15.75" thickBot="1">
      <c r="A42" s="1709" t="s">
        <v>1149</v>
      </c>
      <c r="B42" s="1697" t="str">
        <f ca="1">'预评函-2（2）'!F5</f>
        <v>陆拾贰万伍仟柒佰陆拾壹元整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75569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9" sqref="D1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43032</v>
      </c>
      <c r="C2" s="2005" t="s">
        <v>1550</v>
      </c>
      <c r="D2" s="1089">
        <v>43032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7"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103.5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6" sqref="I1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43032</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103.5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51.5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0.92700000000000005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227700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0.87</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11000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21.5">
      <c r="A6" s="412"/>
      <c r="B6" s="1893" t="s">
        <v>1751</v>
      </c>
      <c r="C6" s="2722" t="s">
        <v>2880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2882</v>
      </c>
      <c r="D8" s="2158"/>
      <c r="E8" s="2158"/>
      <c r="F8" s="1248"/>
      <c r="G8" s="1248"/>
      <c r="H8" s="2148"/>
      <c r="I8" s="2148"/>
      <c r="J8" s="2148"/>
      <c r="K8" s="2148"/>
      <c r="L8" s="2148"/>
      <c r="M8" s="2148"/>
      <c r="N8" s="2148"/>
      <c r="O8" s="2148"/>
      <c r="P8" s="2148"/>
      <c r="Q8" s="2148"/>
      <c r="R8" s="2148"/>
    </row>
    <row r="9" spans="1:29" ht="40.5">
      <c r="A9" s="412"/>
      <c r="B9" s="1893" t="s">
        <v>1756</v>
      </c>
      <c r="C9" s="2727" t="s">
        <v>2883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2900</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估价对象周边有满庭芳园、太阳园、双榆树北路小区、金谷园、青云北区等居住小区，小区规模和社区发展完善程度较好，综合评价居住社区成熟度好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28.25">
      <c r="A18" s="630"/>
      <c r="B18" s="2187" t="s">
        <v>1751</v>
      </c>
      <c r="C18" s="52" t="str">
        <f>C6</f>
        <v>估价对象紧邻城市主干道——中关村东路，临近地铁10号线（知春里站）、地铁10、13号线（知春路站）；以估价对象为中心半径2公里范围内有79路、86路、88路、323路、660路等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自然环境：双榆树公园等；人文环境：觉生寺等，综合评价环境状况一般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城市主干道——中关村东路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141" sqref="E141"/>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3" t="s">
        <v>1773</v>
      </c>
      <c r="B4" s="2204" t="s">
        <v>1774</v>
      </c>
      <c r="C4" s="2205" t="s">
        <v>2870</v>
      </c>
      <c r="D4" s="2205" t="s">
        <v>2871</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6"/>
      <c r="G5" s="2206"/>
      <c r="H5" s="2206"/>
      <c r="I5" s="2207"/>
    </row>
    <row r="6" spans="1:12" ht="12.75">
      <c r="A6" s="2903"/>
      <c r="B6" s="2848"/>
      <c r="C6" s="2911"/>
      <c r="D6" s="2907"/>
      <c r="E6" s="56" t="s">
        <v>1778</v>
      </c>
      <c r="F6" s="2206"/>
      <c r="G6" s="2206"/>
      <c r="H6" s="2206"/>
      <c r="I6" s="2207"/>
    </row>
    <row r="7" spans="1:12" ht="12.75">
      <c r="A7" s="2903"/>
      <c r="B7" s="2848"/>
      <c r="C7" s="2912"/>
      <c r="D7" s="2907"/>
      <c r="E7" s="56" t="s">
        <v>1779</v>
      </c>
      <c r="F7" s="2206"/>
      <c r="G7" s="2206"/>
      <c r="H7" s="2206"/>
      <c r="I7" s="2207"/>
    </row>
    <row r="8" spans="1:12" ht="12.75">
      <c r="A8" s="2903" t="s">
        <v>1780</v>
      </c>
      <c r="B8" s="2848">
        <v>15</v>
      </c>
      <c r="C8" s="2910"/>
      <c r="D8" s="2907"/>
      <c r="E8" s="56" t="s">
        <v>1781</v>
      </c>
      <c r="F8" s="2206"/>
      <c r="G8" s="2206"/>
      <c r="H8" s="2206"/>
      <c r="I8" s="2207"/>
    </row>
    <row r="9" spans="1:12" ht="12.75">
      <c r="A9" s="2903"/>
      <c r="B9" s="2848"/>
      <c r="C9" s="2912"/>
      <c r="D9" s="2907"/>
      <c r="E9" s="56" t="s">
        <v>1782</v>
      </c>
      <c r="F9" s="2206"/>
      <c r="G9" s="2206"/>
      <c r="H9" s="2206"/>
      <c r="I9" s="2207"/>
    </row>
    <row r="10" spans="1:12" ht="12.75">
      <c r="A10" s="2903" t="s">
        <v>1783</v>
      </c>
      <c r="B10" s="2848">
        <v>15</v>
      </c>
      <c r="C10" s="2910"/>
      <c r="D10" s="2907"/>
      <c r="E10" s="56" t="s">
        <v>1784</v>
      </c>
      <c r="F10" s="2206"/>
      <c r="G10" s="2206"/>
      <c r="H10" s="2206"/>
      <c r="I10" s="2207"/>
    </row>
    <row r="11" spans="1:12" ht="12.75">
      <c r="A11" s="2903"/>
      <c r="B11" s="2848"/>
      <c r="C11" s="2912"/>
      <c r="D11" s="2907"/>
      <c r="E11" s="56" t="s">
        <v>1785</v>
      </c>
      <c r="F11" s="2206"/>
      <c r="G11" s="2206"/>
      <c r="H11" s="2206"/>
      <c r="I11" s="2207"/>
    </row>
    <row r="12" spans="1:12" ht="12.75">
      <c r="A12" s="2903" t="s">
        <v>1786</v>
      </c>
      <c r="B12" s="2848">
        <v>15</v>
      </c>
      <c r="C12" s="2910"/>
      <c r="D12" s="2907"/>
      <c r="E12" s="56" t="s">
        <v>1787</v>
      </c>
      <c r="F12" s="2206"/>
      <c r="G12" s="2206"/>
      <c r="H12" s="2206"/>
      <c r="I12" s="2207"/>
    </row>
    <row r="13" spans="1:12" ht="12.75">
      <c r="A13" s="2903"/>
      <c r="B13" s="2848"/>
      <c r="C13" s="2912"/>
      <c r="D13" s="2907"/>
      <c r="E13" s="56" t="s">
        <v>1788</v>
      </c>
      <c r="F13" s="2206"/>
      <c r="G13" s="2206"/>
      <c r="H13" s="2206"/>
      <c r="I13" s="2207"/>
    </row>
    <row r="14" spans="1:12" ht="12.75">
      <c r="A14" s="2903" t="s">
        <v>1789</v>
      </c>
      <c r="B14" s="2848">
        <v>30</v>
      </c>
      <c r="C14" s="2910"/>
      <c r="D14" s="2907"/>
      <c r="E14" s="56" t="s">
        <v>1790</v>
      </c>
      <c r="F14" s="2206"/>
      <c r="G14" s="2206"/>
      <c r="H14" s="2206"/>
      <c r="I14" s="2207"/>
    </row>
    <row r="15" spans="1:12" ht="12.75">
      <c r="A15" s="2903"/>
      <c r="B15" s="2848"/>
      <c r="C15" s="2911"/>
      <c r="D15" s="2907"/>
      <c r="E15" s="56" t="s">
        <v>1791</v>
      </c>
      <c r="F15" s="2206"/>
      <c r="G15" s="2206"/>
      <c r="H15" s="2206"/>
      <c r="I15" s="2207"/>
    </row>
    <row r="16" spans="1:12" ht="12.75">
      <c r="A16" s="2903"/>
      <c r="B16" s="2848"/>
      <c r="C16" s="2912"/>
      <c r="D16" s="2907"/>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8778974</v>
      </c>
      <c r="D19" s="60">
        <f ca="1">SUMIF(INDIRECT("'"&amp;D4&amp;"'"&amp;"!A:A"),结果表!B19,INDIRECT("'"&amp;D4&amp;"'"&amp;"!B:B"))</f>
        <v>3991209</v>
      </c>
      <c r="E19" s="2212" t="s">
        <v>1797</v>
      </c>
      <c r="F19" s="2213" t="s">
        <v>1796</v>
      </c>
      <c r="G19" s="61">
        <f ca="1">ROUND(C19*$C$18+D19*$D$18,0)</f>
        <v>7821421</v>
      </c>
      <c r="H19" s="2214" t="str">
        <f>'数据-取费表'!B3</f>
        <v>元</v>
      </c>
      <c r="I19" s="2201"/>
    </row>
    <row r="20" spans="1:35" ht="15">
      <c r="A20" s="2215"/>
      <c r="B20" s="2216" t="s">
        <v>1798</v>
      </c>
      <c r="C20" s="62">
        <f ca="1">SUMIF(INDIRECT("'"&amp;C4&amp;"'"&amp;"!A:A"),结果表!B20,INDIRECT("'"&amp;C4&amp;"'"&amp;"!B:B"))</f>
        <v>84821</v>
      </c>
      <c r="D20" s="63">
        <f ca="1">SUMIF(INDIRECT("'"&amp;D4&amp;"'"&amp;"!A:A"),结果表!B20,INDIRECT("'"&amp;D4&amp;"'"&amp;"!B:B"))</f>
        <v>38562</v>
      </c>
      <c r="E20" s="2215"/>
      <c r="F20" s="2216" t="s">
        <v>1798</v>
      </c>
      <c r="G20" s="64">
        <f ca="1">ROUND(C20*$C$18+D20*$D$18,0)</f>
        <v>75569</v>
      </c>
      <c r="H20" s="2217" t="s">
        <v>1799</v>
      </c>
      <c r="I20" s="2201"/>
    </row>
    <row r="21" spans="1:35" ht="15" customHeight="1" thickBot="1">
      <c r="A21" s="2218"/>
      <c r="B21" s="2219"/>
      <c r="C21" s="771"/>
      <c r="D21" s="772"/>
      <c r="E21" s="2218"/>
      <c r="F21" s="2219"/>
      <c r="G21" s="65"/>
      <c r="H21" s="2220"/>
      <c r="I21" s="2201"/>
    </row>
    <row r="22" spans="1:35" ht="15" hidden="1" thickBot="1">
      <c r="A22" s="2221" t="s">
        <v>1800</v>
      </c>
      <c r="B22" s="2222"/>
      <c r="C22" s="2223"/>
      <c r="D22" s="773">
        <f ca="1">IF(C19&lt;D19,D19/C19-1,C19/D19-1)</f>
        <v>1.1995776217181309</v>
      </c>
      <c r="E22" s="2201"/>
      <c r="F22" s="2201"/>
      <c r="G22" s="2201"/>
      <c r="H22" s="2201"/>
      <c r="I22" s="2201"/>
    </row>
    <row r="23" spans="1:35" ht="13.5" hidden="1" thickBot="1">
      <c r="A23" s="2201"/>
      <c r="B23" s="2201"/>
      <c r="C23" s="2201"/>
      <c r="D23" s="2201"/>
      <c r="E23" s="2201"/>
      <c r="F23" s="2201"/>
      <c r="G23" s="2201"/>
      <c r="H23" s="2201"/>
      <c r="I23" s="2201"/>
    </row>
    <row r="24" spans="1:35" ht="21.75" hidden="1" customHeight="1">
      <c r="A24" s="2916" t="s">
        <v>1801</v>
      </c>
      <c r="B24" s="2213" t="s">
        <v>1796</v>
      </c>
      <c r="C24" s="61">
        <f>D30</f>
        <v>0</v>
      </c>
      <c r="D24" s="995"/>
      <c r="E24" s="2201"/>
      <c r="F24" s="2201"/>
      <c r="G24" s="2201"/>
      <c r="H24" s="2201"/>
      <c r="I24" s="2201"/>
    </row>
    <row r="25" spans="1:35" ht="21.75" hidden="1" customHeight="1">
      <c r="A25" s="2917"/>
      <c r="B25" s="2216" t="s">
        <v>1798</v>
      </c>
      <c r="C25" s="66">
        <f>IF(B30=0,0,C30)</f>
        <v>0</v>
      </c>
      <c r="D25" s="2224"/>
      <c r="E25" s="2201"/>
      <c r="F25" s="2201"/>
      <c r="G25" s="2201"/>
      <c r="H25" s="2201"/>
      <c r="I25" s="2201"/>
    </row>
    <row r="26" spans="1:35" ht="13.5" hidden="1" customHeight="1">
      <c r="A26" s="2225" t="s">
        <v>1802</v>
      </c>
      <c r="B26" s="67" t="s">
        <v>1803</v>
      </c>
      <c r="C26" s="67" t="s">
        <v>1804</v>
      </c>
      <c r="D26" s="68" t="s">
        <v>1805</v>
      </c>
      <c r="E26" s="2201"/>
      <c r="F26" s="2201"/>
      <c r="G26" s="2201"/>
      <c r="H26" s="2201"/>
      <c r="I26" s="2201"/>
    </row>
    <row r="27" spans="1:35" ht="14.25" hidden="1">
      <c r="A27" s="2226"/>
      <c r="B27" s="67">
        <v>0</v>
      </c>
      <c r="C27" s="67">
        <v>0</v>
      </c>
      <c r="D27" s="68">
        <f>ROUND(C27*B27/10000,0)</f>
        <v>0</v>
      </c>
      <c r="E27" s="2201"/>
      <c r="F27" s="2201"/>
      <c r="G27" s="2201"/>
      <c r="H27" s="2201"/>
      <c r="I27" s="2201"/>
    </row>
    <row r="28" spans="1:35" ht="14.25" hidden="1">
      <c r="A28" s="2225"/>
      <c r="B28" s="67"/>
      <c r="C28" s="67"/>
      <c r="D28" s="68">
        <f t="shared" ref="D28:D29" si="0">ROUND(C28*B28/10000,0)</f>
        <v>0</v>
      </c>
      <c r="E28" s="2201"/>
      <c r="F28" s="2201"/>
      <c r="G28" s="2201"/>
      <c r="H28" s="2201"/>
      <c r="I28" s="2201"/>
    </row>
    <row r="29" spans="1:35" ht="14.25" hidden="1">
      <c r="A29" s="2225"/>
      <c r="B29" s="67"/>
      <c r="C29" s="67"/>
      <c r="D29" s="68">
        <f t="shared" si="0"/>
        <v>0</v>
      </c>
      <c r="E29" s="2201"/>
      <c r="F29" s="2201"/>
      <c r="G29" s="2201"/>
      <c r="H29" s="2201"/>
      <c r="I29" s="2201"/>
    </row>
    <row r="30" spans="1:35" ht="14.25" hidden="1">
      <c r="A30" s="69" t="s">
        <v>1806</v>
      </c>
      <c r="B30" s="69">
        <f>SUM(B27:B29)</f>
        <v>0</v>
      </c>
      <c r="C30" s="69" t="e">
        <f>ROUND(D30*10000/B30,0)</f>
        <v>#DIV/0!</v>
      </c>
      <c r="D30" s="69">
        <f>SUM(D27:D29)</f>
        <v>0</v>
      </c>
      <c r="E30" s="2201"/>
      <c r="F30" s="2201"/>
      <c r="G30" s="2201"/>
      <c r="H30" s="2201"/>
      <c r="I30" s="2201"/>
    </row>
    <row r="31" spans="1:35" s="2228" customFormat="1" ht="15" hidden="1"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29" t="s">
        <v>1807</v>
      </c>
      <c r="B32" s="2230" t="str">
        <f>'数据-取费表'!B4</f>
        <v>楼面单价</v>
      </c>
      <c r="C32" s="1146">
        <f ca="1">IF(B32="总价",G19-C24,G20-C25)</f>
        <v>75569</v>
      </c>
      <c r="D32" s="2201" t="str">
        <f>IF(B32="楼面单价","元/平方米",H19)</f>
        <v>元/平方米</v>
      </c>
      <c r="E32" s="2201"/>
      <c r="F32" s="2201"/>
      <c r="G32" s="2201"/>
      <c r="H32" s="2201"/>
      <c r="I32" s="2201"/>
    </row>
    <row r="33" spans="1:16" ht="15" hidden="1">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69523</v>
      </c>
      <c r="D34" s="1092">
        <f ca="1">IF(D33="自定义",ROUND(C34/C32,3),1-D35)</f>
        <v>0.92</v>
      </c>
      <c r="E34" s="2239" t="s">
        <v>1811</v>
      </c>
      <c r="F34" s="1834">
        <v>2000</v>
      </c>
      <c r="G34" s="2201"/>
      <c r="H34" s="2201"/>
      <c r="I34" s="2201"/>
    </row>
    <row r="35" spans="1:16" ht="15.75" hidden="1" thickBot="1">
      <c r="A35" s="2240"/>
      <c r="B35" s="2241" t="s">
        <v>1812</v>
      </c>
      <c r="C35" s="74">
        <f ca="1">IF(D33="自定义",F35,ROUND(C32*D35,0))</f>
        <v>6046</v>
      </c>
      <c r="D35" s="1091">
        <f ca="1">IF(D33="自定义",ROUND(C35/C32,3),IF(D33="成本法成本比率",成本法!C56,IF(D33="收益法收益比率",收益法!J38,收益法!J41)))</f>
        <v>0.08</v>
      </c>
      <c r="E35" s="2242" t="s">
        <v>1813</v>
      </c>
      <c r="F35" s="80">
        <v>4460</v>
      </c>
      <c r="G35" s="2201"/>
      <c r="H35" s="2201"/>
      <c r="I35" s="2201"/>
    </row>
    <row r="36" spans="1:16" ht="15.75" hidden="1" thickBot="1">
      <c r="A36" s="2921" t="s">
        <v>1814</v>
      </c>
      <c r="B36" s="2243" t="s">
        <v>1815</v>
      </c>
      <c r="C36" s="70">
        <v>0</v>
      </c>
      <c r="D36" s="2244"/>
      <c r="E36" s="2245"/>
      <c r="F36" s="2245"/>
      <c r="G36" s="2201"/>
      <c r="H36" s="2201"/>
      <c r="I36" s="2201"/>
    </row>
    <row r="37" spans="1:16" ht="15.75" hidden="1" thickBot="1">
      <c r="A37" s="2922"/>
      <c r="B37" s="2246" t="s">
        <v>1816</v>
      </c>
      <c r="C37" s="72">
        <v>0</v>
      </c>
      <c r="D37" s="2211"/>
      <c r="E37" s="2211"/>
      <c r="F37" s="2245"/>
      <c r="G37" s="2211"/>
      <c r="H37" s="2211"/>
      <c r="I37" s="2211"/>
    </row>
    <row r="38" spans="1:16" ht="15.75" hidden="1" thickBot="1">
      <c r="A38" s="2923"/>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77"/>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26" t="s">
        <v>1825</v>
      </c>
      <c r="B45" s="2927"/>
      <c r="C45" s="2928"/>
      <c r="D45" s="81">
        <f ca="1">ROUND(I102*F45,0)</f>
        <v>7821392</v>
      </c>
      <c r="E45" s="82" t="s">
        <v>1826</v>
      </c>
      <c r="F45" s="83">
        <v>1</v>
      </c>
      <c r="G45" s="84" t="s">
        <v>1827</v>
      </c>
      <c r="H45" s="2201"/>
      <c r="I45" s="2201"/>
      <c r="J45" s="2838" t="s">
        <v>1828</v>
      </c>
      <c r="K45" s="2838"/>
      <c r="L45" s="2838"/>
      <c r="M45" s="2838"/>
      <c r="N45" s="2838"/>
      <c r="O45" s="2838"/>
      <c r="P45" s="1851"/>
    </row>
    <row r="46" spans="1:16" ht="14.25" hidden="1" customHeight="1">
      <c r="A46" s="2918" t="s">
        <v>1829</v>
      </c>
      <c r="B46" s="2919"/>
      <c r="C46" s="2919"/>
      <c r="D46" s="2919"/>
      <c r="E46" s="2919"/>
      <c r="F46" s="2919"/>
      <c r="G46" s="2920"/>
      <c r="H46" s="2263"/>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3"/>
      <c r="I47" s="1145"/>
      <c r="J47" s="1889">
        <v>2</v>
      </c>
      <c r="K47" s="2838" t="s">
        <v>1836</v>
      </c>
      <c r="L47" s="2838"/>
      <c r="M47" s="2840">
        <f>'数据-取费表'!B2</f>
        <v>43032</v>
      </c>
      <c r="N47" s="2840"/>
      <c r="O47" s="2840"/>
      <c r="P47" s="1851"/>
    </row>
    <row r="48" spans="1:16" ht="25.5" hidden="1">
      <c r="A48" s="2924" t="s">
        <v>1837</v>
      </c>
      <c r="B48" s="2925"/>
      <c r="C48" s="2925"/>
      <c r="D48" s="56">
        <f ca="1">IF(H48="情况1",0,IF(H48="情况2",D52,IF(H48="情况3",D53,IF(H48="情况4",D54))))</f>
        <v>417141</v>
      </c>
      <c r="E48" s="1899" t="str">
        <f>IF(H48="情况4","(销售额-原购置价)×税（费）率","销售额×税（费）率")</f>
        <v>销售额×税（费）率</v>
      </c>
      <c r="F48" s="92">
        <f>IF(H48="情况1","免征",'数据-取费表'!E29)</f>
        <v>5.6000000000000001E-2</v>
      </c>
      <c r="G48" s="2264" t="s">
        <v>1838</v>
      </c>
      <c r="H48" s="2265" t="s">
        <v>1839</v>
      </c>
      <c r="I48" s="2263"/>
      <c r="J48" s="1889">
        <v>3</v>
      </c>
      <c r="K48" s="2838" t="s">
        <v>1840</v>
      </c>
      <c r="L48" s="2838"/>
      <c r="M48" s="2839">
        <f ca="1">I102</f>
        <v>7821392</v>
      </c>
      <c r="N48" s="2839"/>
      <c r="O48" s="2839"/>
      <c r="P48" s="1851"/>
    </row>
    <row r="49" spans="1:16" ht="25.5" hidden="1" customHeight="1">
      <c r="A49" s="93" t="s">
        <v>1841</v>
      </c>
      <c r="B49" s="2905" t="s">
        <v>1842</v>
      </c>
      <c r="C49" s="2905"/>
      <c r="D49" s="94">
        <v>0</v>
      </c>
      <c r="E49" s="13" t="s">
        <v>1843</v>
      </c>
      <c r="F49" s="18" t="s">
        <v>48</v>
      </c>
      <c r="G49" s="2829"/>
      <c r="H49" s="2201"/>
      <c r="I49" s="2266"/>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1"/>
      <c r="I50" s="2266"/>
      <c r="J50" s="2838" t="s">
        <v>1845</v>
      </c>
      <c r="K50" s="2838"/>
      <c r="L50" s="2838"/>
      <c r="M50" s="2838"/>
      <c r="N50" s="2838"/>
      <c r="O50" s="2838"/>
      <c r="P50" s="1851"/>
    </row>
    <row r="51" spans="1:16" ht="12" hidden="1" customHeight="1">
      <c r="A51" s="98"/>
      <c r="B51" s="2905" t="s">
        <v>1846</v>
      </c>
      <c r="C51" s="2905"/>
      <c r="D51" s="99"/>
      <c r="E51" s="20"/>
      <c r="F51" s="97"/>
      <c r="G51" s="2831"/>
      <c r="H51" s="2201"/>
      <c r="I51" s="2266"/>
      <c r="J51" s="2267" t="s">
        <v>1847</v>
      </c>
      <c r="K51" s="2838" t="s">
        <v>1848</v>
      </c>
      <c r="L51" s="2838"/>
      <c r="M51" s="2267" t="s">
        <v>1849</v>
      </c>
      <c r="N51" s="2267" t="s">
        <v>1850</v>
      </c>
      <c r="O51" s="2267" t="s">
        <v>1851</v>
      </c>
      <c r="P51" s="1851"/>
    </row>
    <row r="52" spans="1:16" ht="24" hidden="1" customHeight="1">
      <c r="A52" s="100" t="s">
        <v>1852</v>
      </c>
      <c r="B52" s="2905" t="s">
        <v>1853</v>
      </c>
      <c r="C52" s="2905"/>
      <c r="D52" s="99">
        <f ca="1">ROUND(D45*'数据-取费表'!E29/(1+'数据-取费表'!F30),0)</f>
        <v>417141</v>
      </c>
      <c r="E52" s="10" t="s">
        <v>1854</v>
      </c>
      <c r="F52" s="101">
        <f>'数据-取费表'!E29</f>
        <v>5.6000000000000001E-2</v>
      </c>
      <c r="G52" s="2268"/>
      <c r="H52" s="2201"/>
      <c r="I52" s="2266"/>
      <c r="J52" s="1889">
        <v>1</v>
      </c>
      <c r="K52" s="2828" t="s">
        <v>1855</v>
      </c>
      <c r="L52" s="2828"/>
      <c r="M52" s="779">
        <f ca="1">D48</f>
        <v>417141</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417141</v>
      </c>
      <c r="E53" s="10" t="s">
        <v>1854</v>
      </c>
      <c r="F53" s="101">
        <f>'数据-取费表'!E29</f>
        <v>5.6000000000000001E-2</v>
      </c>
      <c r="G53" s="2268"/>
      <c r="H53" s="2201"/>
      <c r="I53" s="2266"/>
      <c r="J53" s="1889">
        <v>2</v>
      </c>
      <c r="K53" s="2828" t="s">
        <v>1858</v>
      </c>
      <c r="L53" s="2828"/>
      <c r="M53" s="779">
        <f t="shared" ref="M53:O54" ca="1" si="1">D55</f>
        <v>3911</v>
      </c>
      <c r="N53" s="1889" t="str">
        <f t="shared" si="1"/>
        <v>销售额×税（费）率</v>
      </c>
      <c r="O53" s="780">
        <f t="shared" si="1"/>
        <v>5.0000000000000001E-4</v>
      </c>
      <c r="P53" s="1851"/>
    </row>
    <row r="54" spans="1:16" ht="12" hidden="1" customHeight="1">
      <c r="A54" s="100" t="s">
        <v>1859</v>
      </c>
      <c r="B54" s="2904" t="s">
        <v>1860</v>
      </c>
      <c r="C54" s="2798"/>
      <c r="D54" s="99">
        <f ca="1">C68</f>
        <v>417141</v>
      </c>
      <c r="E54" s="20" t="s">
        <v>1861</v>
      </c>
      <c r="F54" s="101">
        <f>'数据-取费表'!E29</f>
        <v>5.6000000000000001E-2</v>
      </c>
      <c r="G54" s="2268"/>
      <c r="H54" s="2269"/>
      <c r="I54" s="2266"/>
      <c r="J54" s="1889">
        <v>3</v>
      </c>
      <c r="K54" s="2828" t="s">
        <v>1862</v>
      </c>
      <c r="L54" s="2828"/>
      <c r="M54" s="779">
        <f t="shared" ca="1" si="1"/>
        <v>4426908</v>
      </c>
      <c r="N54" s="1889" t="str">
        <f t="shared" si="1"/>
        <v>增值额×税（费）率</v>
      </c>
      <c r="O54" s="781" t="str">
        <f t="shared" si="1"/>
        <v>——</v>
      </c>
      <c r="P54" s="1851"/>
    </row>
    <row r="55" spans="1:16" ht="24" hidden="1" customHeight="1">
      <c r="A55" s="2790" t="s">
        <v>1863</v>
      </c>
      <c r="B55" s="2925"/>
      <c r="C55" s="2925"/>
      <c r="D55" s="102">
        <f ca="1">IF(H55="个人住宅",0,ROUND(D45*I55,0))</f>
        <v>3911</v>
      </c>
      <c r="E55" s="10" t="s">
        <v>1864</v>
      </c>
      <c r="F55" s="101">
        <f>IF(H55="正常",I55,"免征")</f>
        <v>5.0000000000000001E-4</v>
      </c>
      <c r="G55" s="2268"/>
      <c r="H55" s="2265" t="s">
        <v>1865</v>
      </c>
      <c r="I55" s="103">
        <f>'数据-取费表'!E37</f>
        <v>5.0000000000000001E-4</v>
      </c>
      <c r="J55" s="1889">
        <f>IF(H59="非个人房产","",4)</f>
        <v>4</v>
      </c>
      <c r="K55" s="2828" t="str">
        <f>IF(H59="非个人房产","——","个人所得税")</f>
        <v>个人所得税</v>
      </c>
      <c r="L55" s="2828"/>
      <c r="M55" s="782">
        <f ca="1">D59</f>
        <v>78214</v>
      </c>
      <c r="N55" s="1892" t="str">
        <f>E59</f>
        <v>销售额×税（费）率</v>
      </c>
      <c r="O55" s="783">
        <f>F59</f>
        <v>0.01</v>
      </c>
      <c r="P55" s="1851"/>
    </row>
    <row r="56" spans="1:16" ht="24.75" hidden="1">
      <c r="A56" s="2790" t="s">
        <v>1866</v>
      </c>
      <c r="B56" s="2925"/>
      <c r="C56" s="2925"/>
      <c r="D56" s="102">
        <f ca="1">IF(H56="个人住宅",D57,D58)</f>
        <v>4426908</v>
      </c>
      <c r="E56" s="10" t="s">
        <v>1867</v>
      </c>
      <c r="F56" s="101" t="str">
        <f>IF(H56="正常",F58,"免征")</f>
        <v>——</v>
      </c>
      <c r="G56" s="2270" t="s">
        <v>1868</v>
      </c>
      <c r="H56" s="2271"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8"/>
      <c r="H57" s="1023"/>
      <c r="I57" s="1023"/>
      <c r="J57" s="2828">
        <f>IF(AND(J55="",J56=""),4,IF(项目基本情况!I6="上海银行",J56+1,J55+1))</f>
        <v>5</v>
      </c>
      <c r="K57" s="2828" t="s">
        <v>1870</v>
      </c>
      <c r="L57" s="2272" t="s">
        <v>1871</v>
      </c>
      <c r="M57" s="784"/>
      <c r="N57" s="785">
        <f ca="1">SUMIF(M52:M56,"&lt;9e307")</f>
        <v>4926174</v>
      </c>
      <c r="O57" s="2273"/>
      <c r="P57" s="1847" t="e">
        <f ca="1">N57/M49</f>
        <v>#VALUE!</v>
      </c>
    </row>
    <row r="58" spans="1:16" ht="24.75" hidden="1">
      <c r="A58" s="100" t="s">
        <v>1852</v>
      </c>
      <c r="B58" s="2913" t="s">
        <v>1872</v>
      </c>
      <c r="C58" s="2914"/>
      <c r="D58" s="102">
        <f ca="1">IF(H58="转让取得",C81,C97)</f>
        <v>4426908</v>
      </c>
      <c r="E58" s="10" t="s">
        <v>1867</v>
      </c>
      <c r="F58" s="14" t="s">
        <v>48</v>
      </c>
      <c r="G58" s="2268"/>
      <c r="H58" s="2271" t="s">
        <v>1873</v>
      </c>
      <c r="I58" s="1023"/>
      <c r="J58" s="2828"/>
      <c r="K58" s="2828"/>
      <c r="L58" s="2272" t="s">
        <v>1874</v>
      </c>
      <c r="M58" s="786"/>
      <c r="N58" s="2274" t="str">
        <f ca="1">IF(H19="元",NUMBERSTRING(INT(N57),2)&amp;"元整",NUMBERSTRING(INT(N57*10000),2)&amp;"元整")</f>
        <v>肆佰玖拾贰万陆仟壹佰柒拾肆元整</v>
      </c>
      <c r="O58" s="2275"/>
      <c r="P58" s="1851"/>
    </row>
    <row r="59" spans="1:16" ht="26.25" hidden="1" thickBot="1">
      <c r="A59" s="2791" t="s">
        <v>1875</v>
      </c>
      <c r="B59" s="2794"/>
      <c r="C59" s="2794"/>
      <c r="D59" s="105">
        <f ca="1">IF(H59="非个人房产","——",IF(H59="个人住宅",0,ROUND(D45*I59,0)))</f>
        <v>78214</v>
      </c>
      <c r="E59" s="106" t="str">
        <f>IF(H59="非个人房产","——","销售额×税（费）率")</f>
        <v>销售额×税（费）率</v>
      </c>
      <c r="F59" s="107">
        <f>IF(H59="非个人房产","——",IF(H59="个人住宅","免征",I59))</f>
        <v>0.01</v>
      </c>
      <c r="G59" s="2276" t="s">
        <v>1868</v>
      </c>
      <c r="H59" s="2271" t="s">
        <v>1876</v>
      </c>
      <c r="I59" s="108">
        <v>0.01</v>
      </c>
      <c r="J59" s="2882">
        <f>J57+1</f>
        <v>6</v>
      </c>
      <c r="K59" s="282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883"/>
      <c r="K60" s="2828"/>
      <c r="L60" s="2272" t="s">
        <v>1874</v>
      </c>
      <c r="M60" s="786"/>
      <c r="N60" s="2274" t="e">
        <f ca="1">IF(H19="元",NUMBERSTRING(INT(N59),2)&amp;"元整",NUMBERSTRING(INT(N59*10000),2)&amp;"元整")</f>
        <v>#VALUE!</v>
      </c>
      <c r="O60" s="2275"/>
      <c r="P60" s="1851"/>
    </row>
    <row r="61" spans="1:16" ht="13.5" hidden="1" thickBot="1">
      <c r="A61" s="2929" t="s">
        <v>1878</v>
      </c>
      <c r="B61" s="2929"/>
      <c r="C61" s="2929"/>
      <c r="D61" s="2929"/>
      <c r="E61" s="2929"/>
      <c r="F61" s="1023"/>
      <c r="G61" s="1023"/>
      <c r="H61" s="2254"/>
      <c r="I61" s="2201"/>
      <c r="J61" s="1889">
        <f>J59+1</f>
        <v>7</v>
      </c>
      <c r="K61" s="2828" t="s">
        <v>1879</v>
      </c>
      <c r="L61" s="2828"/>
      <c r="M61" s="789"/>
      <c r="N61" s="790" t="e">
        <f ca="1">IF(H19="元",ROUND(N59/项目基本情况!C12,0),ROUND(N59*10000/项目基本情况!C12,0))</f>
        <v>#VALUE!</v>
      </c>
      <c r="O61" s="2278"/>
      <c r="P61" s="1851"/>
    </row>
    <row r="62" spans="1:16" ht="12.75" hidden="1">
      <c r="A62" s="2866" t="s">
        <v>1880</v>
      </c>
      <c r="B62" s="286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7448945</v>
      </c>
      <c r="D63" s="113"/>
      <c r="E63" s="114"/>
      <c r="F63" s="1023"/>
      <c r="G63" s="1023"/>
      <c r="H63" s="2254"/>
      <c r="I63" s="2201"/>
      <c r="J63" s="2847"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7821392</v>
      </c>
      <c r="D64" s="118" t="s">
        <v>41</v>
      </c>
      <c r="E64" s="119"/>
      <c r="F64" s="1023"/>
      <c r="G64" s="1023"/>
      <c r="H64" s="2254"/>
      <c r="I64" s="2201"/>
      <c r="J64" s="2847"/>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47"/>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47"/>
      <c r="K66" s="2279" t="s">
        <v>1893</v>
      </c>
      <c r="L66" s="1850" t="e">
        <f>M49*0.5%</f>
        <v>#VALUE!</v>
      </c>
      <c r="M66" s="14" t="e">
        <f>IF(L66&gt;0.5,0.5,ROUND(L66,0))</f>
        <v>#VALUE!</v>
      </c>
      <c r="N66" s="1851" t="s">
        <v>1894</v>
      </c>
      <c r="O66" s="1851"/>
      <c r="P66" s="1851"/>
    </row>
    <row r="67" spans="1:35" ht="12.75" hidden="1">
      <c r="A67" s="121" t="s">
        <v>42</v>
      </c>
      <c r="B67" s="122" t="s">
        <v>1895</v>
      </c>
      <c r="C67" s="125">
        <f ca="1">C63-C66</f>
        <v>7448945</v>
      </c>
      <c r="D67" s="118" t="s">
        <v>41</v>
      </c>
      <c r="E67" s="119"/>
      <c r="F67" s="1023"/>
      <c r="G67" s="1023"/>
      <c r="H67" s="2254"/>
      <c r="I67" s="2201"/>
      <c r="J67" s="2847"/>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417141</v>
      </c>
      <c r="D68" s="129">
        <f>'数据-取费表'!E29</f>
        <v>5.6000000000000001E-2</v>
      </c>
      <c r="E68" s="130"/>
      <c r="F68" s="1023"/>
      <c r="G68" s="1023"/>
      <c r="H68" s="2254"/>
      <c r="I68" s="2201"/>
      <c r="J68" s="2847"/>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47"/>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68" t="s">
        <v>1900</v>
      </c>
      <c r="B70" s="2869"/>
      <c r="C70" s="2869"/>
      <c r="D70" s="2869"/>
      <c r="E70" s="2869"/>
      <c r="F70" s="2869"/>
      <c r="G70" s="2869"/>
      <c r="H70" s="2869"/>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66" t="s">
        <v>1880</v>
      </c>
      <c r="B71" s="286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7448945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44694</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5"/>
      <c r="G76" s="2905"/>
      <c r="H76" s="290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44694</v>
      </c>
      <c r="D78" s="146">
        <f>'数据-取费表'!E31</f>
        <v>6.000000000000001E-3</v>
      </c>
      <c r="E78" s="2835" t="s">
        <v>1915</v>
      </c>
      <c r="F78" s="2836"/>
      <c r="G78" s="2836"/>
      <c r="H78" s="285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7404251</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165.66543607643084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4426908</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7448945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44694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35" t="s">
        <v>1927</v>
      </c>
      <c r="F91" s="2836"/>
      <c r="G91" s="283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44694</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7404251</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165.66543607643084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4426908</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53" t="s">
        <v>1934</v>
      </c>
      <c r="B99" s="2854"/>
      <c r="C99" s="2854"/>
      <c r="D99" s="2855"/>
      <c r="E99" s="2201"/>
      <c r="F99" s="2863" t="s">
        <v>1935</v>
      </c>
      <c r="G99" s="2864"/>
      <c r="H99" s="2864"/>
      <c r="I99" s="2865"/>
    </row>
    <row r="100" spans="1:35" ht="15.75" hidden="1">
      <c r="A100" s="2870" t="s">
        <v>1936</v>
      </c>
      <c r="B100" s="2871"/>
      <c r="C100" s="721" t="str">
        <f>C4</f>
        <v>比较法-住宅</v>
      </c>
      <c r="D100" s="722" t="str">
        <f>D4</f>
        <v>收益法</v>
      </c>
      <c r="E100" s="2201"/>
      <c r="F100" s="2872" t="s">
        <v>1937</v>
      </c>
      <c r="G100" s="2874"/>
      <c r="H100" s="2872" t="s">
        <v>1938</v>
      </c>
      <c r="I100" s="2873"/>
    </row>
    <row r="101" spans="1:35" ht="15.75" hidden="1">
      <c r="A101" s="2892" t="s">
        <v>1939</v>
      </c>
      <c r="B101" s="2296" t="str">
        <f>IF(H19="元","总价（元）","总价（万元）")</f>
        <v>总价（元）</v>
      </c>
      <c r="C101" s="721">
        <f ca="1">C19</f>
        <v>8778974</v>
      </c>
      <c r="D101" s="722">
        <f ca="1">D19</f>
        <v>3991209</v>
      </c>
      <c r="E101" s="2201"/>
      <c r="F101" s="2872" t="str">
        <f>项目基本情况!I1</f>
        <v>房地产</v>
      </c>
      <c r="G101" s="2874"/>
      <c r="H101" s="2933">
        <f>项目基本情况!C12</f>
        <v>103.5</v>
      </c>
      <c r="I101" s="2873"/>
    </row>
    <row r="102" spans="1:35" ht="15.75" hidden="1">
      <c r="A102" s="2892"/>
      <c r="B102" s="2296" t="s">
        <v>1940</v>
      </c>
      <c r="C102" s="723">
        <f ca="1">C20</f>
        <v>84821</v>
      </c>
      <c r="D102" s="724">
        <f ca="1">D20</f>
        <v>38562</v>
      </c>
      <c r="E102" s="2201"/>
      <c r="F102" s="2947" t="s">
        <v>1941</v>
      </c>
      <c r="G102" s="2948"/>
      <c r="H102" s="2297" t="str">
        <f>C106</f>
        <v>总价（元）</v>
      </c>
      <c r="I102" s="1868">
        <f ca="1">H121</f>
        <v>7821392</v>
      </c>
    </row>
    <row r="103" spans="1:35" ht="15" hidden="1">
      <c r="A103" s="2892" t="s">
        <v>1942</v>
      </c>
      <c r="B103" s="2298" t="str">
        <f>B101</f>
        <v>总价（元）</v>
      </c>
      <c r="C103" s="725">
        <f ca="1">H121</f>
        <v>7821392</v>
      </c>
      <c r="D103" s="726"/>
      <c r="E103" s="2201"/>
      <c r="F103" s="2947"/>
      <c r="G103" s="2948"/>
      <c r="H103" s="2297" t="s">
        <v>1940</v>
      </c>
      <c r="I103" s="1051">
        <f ca="1">I121</f>
        <v>75569</v>
      </c>
    </row>
    <row r="104" spans="1:35" ht="16.5" hidden="1" thickBot="1">
      <c r="A104" s="2893"/>
      <c r="B104" s="2299" t="s">
        <v>1940</v>
      </c>
      <c r="C104" s="727">
        <f ca="1">I121</f>
        <v>75569</v>
      </c>
      <c r="D104" s="728"/>
      <c r="E104" s="2201"/>
      <c r="F104" s="2859"/>
      <c r="G104" s="2860"/>
      <c r="H104" s="2894"/>
      <c r="I104" s="2895"/>
    </row>
    <row r="105" spans="1:35" ht="15.75" hidden="1">
      <c r="A105" s="2853" t="s">
        <v>1943</v>
      </c>
      <c r="B105" s="2854"/>
      <c r="C105" s="2854"/>
      <c r="D105" s="2855"/>
      <c r="E105" s="2201"/>
      <c r="F105" s="2898" t="s">
        <v>1944</v>
      </c>
      <c r="G105" s="2899"/>
      <c r="H105" s="2300" t="str">
        <f>C108</f>
        <v>总额（元）</v>
      </c>
      <c r="I105" s="1868">
        <f>SUMIF(I106:I108,"&lt;9E307")</f>
        <v>0</v>
      </c>
    </row>
    <row r="106" spans="1:35" ht="15" hidden="1">
      <c r="A106" s="2900" t="s">
        <v>1945</v>
      </c>
      <c r="B106" s="2901"/>
      <c r="C106" s="2297" t="str">
        <f>B101</f>
        <v>总价（元）</v>
      </c>
      <c r="D106" s="1052">
        <f ca="1">H121</f>
        <v>7821392</v>
      </c>
      <c r="E106" s="2201"/>
      <c r="F106" s="2861" t="s">
        <v>1946</v>
      </c>
      <c r="G106" s="2862"/>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00"/>
      <c r="B107" s="2901"/>
      <c r="C107" s="2297" t="s">
        <v>1940</v>
      </c>
      <c r="D107" s="1053">
        <f ca="1">I121</f>
        <v>75569</v>
      </c>
      <c r="E107" s="2201"/>
      <c r="F107" s="2861" t="s">
        <v>1947</v>
      </c>
      <c r="G107" s="2862"/>
      <c r="H107" s="2300" t="str">
        <f>C110</f>
        <v>总额（元）</v>
      </c>
      <c r="I107" s="1051">
        <f>C37</f>
        <v>0</v>
      </c>
      <c r="K107" s="2301"/>
    </row>
    <row r="108" spans="1:35" ht="15" hidden="1">
      <c r="A108" s="2943" t="s">
        <v>1948</v>
      </c>
      <c r="B108" s="2944"/>
      <c r="C108" s="2300" t="str">
        <f>IF(H19="元","总额（元）","总额（万元）")</f>
        <v>总额（元）</v>
      </c>
      <c r="D108" s="1052">
        <f>IF(D36="正常操作",I106+I107+I108,I107+I108)</f>
        <v>0</v>
      </c>
      <c r="E108" s="2201"/>
      <c r="F108" s="2861" t="s">
        <v>1949</v>
      </c>
      <c r="G108" s="2862"/>
      <c r="H108" s="2300" t="str">
        <f>C111</f>
        <v>总额（元）</v>
      </c>
      <c r="I108" s="1051">
        <f>C38</f>
        <v>0</v>
      </c>
    </row>
    <row r="109" spans="1:35" ht="15.75" hidden="1">
      <c r="A109" s="2861" t="s">
        <v>1946</v>
      </c>
      <c r="B109" s="2862"/>
      <c r="C109" s="2300" t="str">
        <f>C108</f>
        <v>总额（元）</v>
      </c>
      <c r="D109" s="638">
        <f>IF(D36="同一抵押权人同一抵押物续贷",C36&amp;"（未扣减，详见特别提示）",C36)</f>
        <v>0</v>
      </c>
      <c r="E109" s="2201"/>
      <c r="F109" s="2859"/>
      <c r="G109" s="2860"/>
      <c r="H109" s="2896"/>
      <c r="I109" s="2897"/>
    </row>
    <row r="110" spans="1:35" ht="28.5" hidden="1" customHeight="1">
      <c r="A110" s="2861" t="s">
        <v>1947</v>
      </c>
      <c r="B110" s="2862"/>
      <c r="C110" s="2300" t="str">
        <f>C108</f>
        <v>总额（元）</v>
      </c>
      <c r="D110" s="638">
        <f>C37</f>
        <v>0</v>
      </c>
      <c r="E110" s="2201"/>
      <c r="F110" s="2841" t="str">
        <f>IF(项目基本情况!F5="已注销","——","3.房地产抵押价值")</f>
        <v>3.房地产抵押价值</v>
      </c>
      <c r="G110" s="2842"/>
      <c r="H110" s="2302" t="str">
        <f>C112</f>
        <v>总价（元）</v>
      </c>
      <c r="I110" s="1869">
        <f ca="1">IF(F110="——","——",I102-I105)</f>
        <v>7821392</v>
      </c>
    </row>
    <row r="111" spans="1:35" ht="15" hidden="1">
      <c r="A111" s="2861" t="s">
        <v>1949</v>
      </c>
      <c r="B111" s="2862"/>
      <c r="C111" s="2300" t="str">
        <f>C108</f>
        <v>总额（元）</v>
      </c>
      <c r="D111" s="638">
        <f>C38</f>
        <v>0</v>
      </c>
      <c r="E111" s="2201"/>
      <c r="F111" s="2843"/>
      <c r="G111" s="2844"/>
      <c r="H111" s="2297" t="s">
        <v>1940</v>
      </c>
      <c r="I111" s="2303">
        <f ca="1">D113</f>
        <v>75569</v>
      </c>
    </row>
    <row r="112" spans="1:35" ht="26.25" hidden="1" customHeight="1">
      <c r="A112" s="2900" t="str">
        <f>IF(项目基本情况!F5="已注销","——","3.房地产抵押价值")</f>
        <v>3.房地产抵押价值</v>
      </c>
      <c r="B112" s="2901"/>
      <c r="C112" s="2297" t="str">
        <f>B101</f>
        <v>总价（元）</v>
      </c>
      <c r="D112" s="1052">
        <f ca="1">IF(A112="——","——",D106-D108)</f>
        <v>7821392</v>
      </c>
      <c r="E112" s="2201"/>
      <c r="F112" s="2841" t="str">
        <f>IF(项目基本情况!F5="已注销及未注销","4.抵押担保权已注销时的房地产抵押价值",IF(项目基本情况!F5="已注销","3.抵押担保权已注销时的房地产抵押价值","——"))</f>
        <v>——</v>
      </c>
      <c r="G112" s="2842"/>
      <c r="H112" s="2302" t="str">
        <f>C114</f>
        <v>总价（元）</v>
      </c>
      <c r="I112" s="1869" t="str">
        <f>IF(F112="——","——",I102-I107-I108)</f>
        <v>——</v>
      </c>
    </row>
    <row r="113" spans="1:15" ht="15" hidden="1">
      <c r="A113" s="2900"/>
      <c r="B113" s="2901"/>
      <c r="C113" s="2297" t="s">
        <v>1940</v>
      </c>
      <c r="D113" s="1053">
        <f ca="1">ROUND(IF(D112=D106,D107,IF(H19="元",D112/项目基本情况!C12,D112*10000/项目基本情况!C12)),0)</f>
        <v>75569</v>
      </c>
      <c r="E113" s="2201"/>
      <c r="F113" s="2843"/>
      <c r="G113" s="2844"/>
      <c r="H113" s="2297" t="s">
        <v>1940</v>
      </c>
      <c r="I113" s="2304"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7" t="str">
        <f>B101</f>
        <v>总价（元）</v>
      </c>
      <c r="D114" s="1052" t="str">
        <f>IF(A114="——","——",D106-D110-D111)</f>
        <v>——</v>
      </c>
      <c r="E114" s="2201"/>
      <c r="F114" s="2841" t="str">
        <f>IF(项目基本情况!G5="抵押净值",IF(OR(项目基本情况!F5="已注销",项目基本情况!F5="房地产抵押价值"),"4.抵押净值","5.抵押净值"),"——")</f>
        <v>——</v>
      </c>
      <c r="G114" s="2842"/>
      <c r="H114" s="2297" t="str">
        <f>C116</f>
        <v>总价（元）</v>
      </c>
      <c r="I114" s="1868" t="str">
        <f>IF(F114="——","——",N59)</f>
        <v>——</v>
      </c>
    </row>
    <row r="115" spans="1:15" ht="15.75" hidden="1" thickBot="1">
      <c r="A115" s="2900"/>
      <c r="B115" s="2901"/>
      <c r="C115" s="2297" t="s">
        <v>1940</v>
      </c>
      <c r="D115" s="1053" t="str">
        <f>IF(A114="——","——",ROUND(IF(D114=D106,D107,IF(H19="元",D114/项目基本情况!C12,D114*10000/项目基本情况!C12)),0))</f>
        <v>——</v>
      </c>
      <c r="E115" s="2201"/>
      <c r="F115" s="2934"/>
      <c r="G115" s="2935"/>
      <c r="H115" s="2305" t="s">
        <v>1940</v>
      </c>
      <c r="I115" s="1870" t="str">
        <f ca="1">D117</f>
        <v>——</v>
      </c>
    </row>
    <row r="116" spans="1:15" ht="15.75" hidden="1">
      <c r="A116" s="2900" t="str">
        <f>IF(项目基本情况!G5="抵押净值",IF(OR(项目基本情况!F5="已注销",项目基本情况!F5="房地产抵押价值"),"4.抵押净值","5.抵押净值"),"——")</f>
        <v>——</v>
      </c>
      <c r="B116" s="2901"/>
      <c r="C116" s="2297" t="str">
        <f>B101</f>
        <v>总价（元）</v>
      </c>
      <c r="D116" s="1052" t="str">
        <f>IF(A116="——","——",N59)</f>
        <v>——</v>
      </c>
      <c r="E116" s="2201"/>
      <c r="F116" s="2837"/>
      <c r="G116" s="2837"/>
      <c r="H116" s="2879"/>
      <c r="I116" s="2879"/>
      <c r="N116" s="55"/>
      <c r="O116" s="55"/>
    </row>
    <row r="117" spans="1:15" ht="15.75" hidden="1" thickBot="1">
      <c r="A117" s="2941"/>
      <c r="B117" s="2942"/>
      <c r="C117" s="2305" t="s">
        <v>1940</v>
      </c>
      <c r="D117" s="1054" t="str">
        <f ca="1">IF(D116=D112,D113,IF(A116="——","——",N61))</f>
        <v>——</v>
      </c>
      <c r="E117" s="2201"/>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103.5</v>
      </c>
      <c r="C121" s="1893">
        <f>项目基本情况!C13</f>
        <v>0</v>
      </c>
      <c r="D121" s="1893">
        <f ca="1">ROUND(IF(B32="总价",C34,IF('数据-取费表'!B3="万元",E121*B121/10000,E121*B121)),0)</f>
        <v>7195631</v>
      </c>
      <c r="E121" s="1893">
        <f ca="1">ROUND(IF(B32="楼面单价",C34,IF(H19="元",D121/B121,D121*10000/B121)),0)</f>
        <v>69523</v>
      </c>
      <c r="F121" s="1893">
        <f ca="1">ROUND(IF(B32="总价",C35,IF('数据-取费表'!B3="万元",G121*B121/10000,G121*B121)),0)</f>
        <v>625761</v>
      </c>
      <c r="G121" s="1893">
        <f ca="1">ROUND(IF(B32="楼面单价",C35,IF(H19="元",F121/B121,F121*10000/B121)),0)</f>
        <v>6046</v>
      </c>
      <c r="H121" s="1893">
        <f ca="1">ROUND(IF(B32="总价",C32,IF('数据-取费表'!B3="万元",I121*B121/10000,I121*B121)),0)</f>
        <v>7821392</v>
      </c>
      <c r="I121" s="638">
        <f ca="1">ROUND(IF(B32="楼面单价",C32,IF(H19="元",H121/B121,H121*10000/B121)),0)</f>
        <v>75569</v>
      </c>
    </row>
    <row r="122" spans="1:15" ht="14.25" hidden="1">
      <c r="A122" s="2852" t="s">
        <v>1959</v>
      </c>
      <c r="B122" s="2848"/>
      <c r="C122" s="2848"/>
      <c r="D122" s="2884" t="str">
        <f ca="1">IF(H19="元",NUMBERSTRING(INT(D121),2)&amp;"元整",NUMBERSTRING(INT(D121*10000),2)&amp;"元整")</f>
        <v>柒佰壹拾玖万伍仟陆佰叁拾壹元整</v>
      </c>
      <c r="E122" s="2885"/>
      <c r="F122" s="2884" t="str">
        <f ca="1">IF(H19="元",NUMBERSTRING(INT(F121),2)&amp;"元整",NUMBERSTRING(INT(F121*10000),2)&amp;"元整")</f>
        <v>陆拾贰万伍仟柒佰陆拾壹元整</v>
      </c>
      <c r="G122" s="2885"/>
      <c r="H122" s="2884" t="str">
        <f ca="1">IF(H19="元",NUMBERSTRING(INT(H121),2)&amp;"元整",NUMBERSTRING(INT(H121*10000),2)&amp;"元整")</f>
        <v>柒佰捌拾贰万壹仟叁佰玖拾贰元整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7821392</v>
      </c>
      <c r="E125" s="2887"/>
      <c r="F125" s="2887"/>
      <c r="G125" s="2887"/>
      <c r="H125" s="2887"/>
      <c r="I125" s="2936"/>
    </row>
    <row r="126" spans="1:15" ht="14.25" hidden="1">
      <c r="A126" s="2852" t="s">
        <v>1959</v>
      </c>
      <c r="B126" s="2848"/>
      <c r="C126" s="2848"/>
      <c r="D126" s="2937">
        <f ca="1">I111</f>
        <v>75569</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6" t="s">
        <v>1960</v>
      </c>
      <c r="B133" s="2307"/>
      <c r="C133" s="2308" t="s">
        <v>1961</v>
      </c>
      <c r="D133" s="2309"/>
      <c r="E133" s="2309"/>
      <c r="F133" s="2309"/>
      <c r="G133" s="2309"/>
      <c r="H133" s="2310"/>
      <c r="I133" s="2311"/>
    </row>
    <row r="134" spans="1:9" ht="21.75" customHeight="1">
      <c r="A134" s="2312">
        <v>1</v>
      </c>
      <c r="B134" s="2313"/>
      <c r="C134" s="2313"/>
      <c r="D134" s="2309"/>
      <c r="E134" s="2309"/>
      <c r="F134" s="2309"/>
      <c r="G134" s="2309"/>
      <c r="H134" s="2310"/>
      <c r="I134" s="2311"/>
    </row>
    <row r="135" spans="1:9" ht="21.75" customHeight="1">
      <c r="A135" s="2312">
        <v>2</v>
      </c>
      <c r="B135" s="2313"/>
      <c r="C135" s="2313"/>
      <c r="D135" s="2309"/>
      <c r="E135" s="2309"/>
      <c r="F135" s="2309"/>
      <c r="G135" s="2309"/>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3" t="s">
        <v>1773</v>
      </c>
      <c r="B4" s="2204" t="s">
        <v>1774</v>
      </c>
      <c r="C4" s="2205"/>
      <c r="D4" s="2205"/>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6"/>
      <c r="G5" s="2206"/>
      <c r="H5" s="2206"/>
      <c r="I5" s="2207"/>
    </row>
    <row r="6" spans="1:12" ht="12.75">
      <c r="A6" s="2903"/>
      <c r="B6" s="2848"/>
      <c r="C6" s="2911"/>
      <c r="D6" s="2907"/>
      <c r="E6" s="56" t="s">
        <v>1778</v>
      </c>
      <c r="F6" s="2206"/>
      <c r="G6" s="2206"/>
      <c r="H6" s="2206"/>
      <c r="I6" s="2207"/>
    </row>
    <row r="7" spans="1:12" ht="12.75">
      <c r="A7" s="2903"/>
      <c r="B7" s="2848"/>
      <c r="C7" s="2912"/>
      <c r="D7" s="2907"/>
      <c r="E7" s="56" t="s">
        <v>1779</v>
      </c>
      <c r="F7" s="2206"/>
      <c r="G7" s="2206"/>
      <c r="H7" s="2206"/>
      <c r="I7" s="2207"/>
    </row>
    <row r="8" spans="1:12" ht="12.75">
      <c r="A8" s="2903" t="s">
        <v>1780</v>
      </c>
      <c r="B8" s="2848">
        <v>15</v>
      </c>
      <c r="C8" s="2910"/>
      <c r="D8" s="2907"/>
      <c r="E8" s="56" t="s">
        <v>1781</v>
      </c>
      <c r="F8" s="2206"/>
      <c r="G8" s="2206"/>
      <c r="H8" s="2206"/>
      <c r="I8" s="2207"/>
    </row>
    <row r="9" spans="1:12" ht="12.75">
      <c r="A9" s="2903"/>
      <c r="B9" s="2848"/>
      <c r="C9" s="2912"/>
      <c r="D9" s="2907"/>
      <c r="E9" s="56" t="s">
        <v>1782</v>
      </c>
      <c r="F9" s="2206"/>
      <c r="G9" s="2206"/>
      <c r="H9" s="2206"/>
      <c r="I9" s="2207"/>
    </row>
    <row r="10" spans="1:12" ht="12.75">
      <c r="A10" s="2903" t="s">
        <v>1783</v>
      </c>
      <c r="B10" s="2848">
        <v>15</v>
      </c>
      <c r="C10" s="2910"/>
      <c r="D10" s="2907"/>
      <c r="E10" s="56" t="s">
        <v>1784</v>
      </c>
      <c r="F10" s="2206"/>
      <c r="G10" s="2206"/>
      <c r="H10" s="2206"/>
      <c r="I10" s="2207"/>
    </row>
    <row r="11" spans="1:12" ht="12.75">
      <c r="A11" s="2903"/>
      <c r="B11" s="2848"/>
      <c r="C11" s="2912"/>
      <c r="D11" s="2907"/>
      <c r="E11" s="56" t="s">
        <v>1785</v>
      </c>
      <c r="F11" s="2206"/>
      <c r="G11" s="2206"/>
      <c r="H11" s="2206"/>
      <c r="I11" s="2207"/>
    </row>
    <row r="12" spans="1:12" ht="12.75">
      <c r="A12" s="2903" t="s">
        <v>1786</v>
      </c>
      <c r="B12" s="2848">
        <v>15</v>
      </c>
      <c r="C12" s="2910"/>
      <c r="D12" s="2907"/>
      <c r="E12" s="56" t="s">
        <v>1787</v>
      </c>
      <c r="F12" s="2206"/>
      <c r="G12" s="2206"/>
      <c r="H12" s="2206"/>
      <c r="I12" s="2207"/>
    </row>
    <row r="13" spans="1:12" ht="12.75">
      <c r="A13" s="2903"/>
      <c r="B13" s="2848"/>
      <c r="C13" s="2912"/>
      <c r="D13" s="2907"/>
      <c r="E13" s="56" t="s">
        <v>1788</v>
      </c>
      <c r="F13" s="2206"/>
      <c r="G13" s="2206"/>
      <c r="H13" s="2206"/>
      <c r="I13" s="2207"/>
    </row>
    <row r="14" spans="1:12" ht="12.75">
      <c r="A14" s="2903" t="s">
        <v>1789</v>
      </c>
      <c r="B14" s="2848">
        <v>30</v>
      </c>
      <c r="C14" s="2910"/>
      <c r="D14" s="2907"/>
      <c r="E14" s="56" t="s">
        <v>1790</v>
      </c>
      <c r="F14" s="2206"/>
      <c r="G14" s="2206"/>
      <c r="H14" s="2206"/>
      <c r="I14" s="2207"/>
    </row>
    <row r="15" spans="1:12" ht="12.75">
      <c r="A15" s="2903"/>
      <c r="B15" s="2848"/>
      <c r="C15" s="2911"/>
      <c r="D15" s="2907"/>
      <c r="E15" s="56" t="s">
        <v>1791</v>
      </c>
      <c r="F15" s="2206"/>
      <c r="G15" s="2206"/>
      <c r="H15" s="2206"/>
      <c r="I15" s="2207"/>
    </row>
    <row r="16" spans="1:12" ht="12.75">
      <c r="A16" s="2903"/>
      <c r="B16" s="2848"/>
      <c r="C16" s="2912"/>
      <c r="D16" s="290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16" t="s">
        <v>1801</v>
      </c>
      <c r="B24" s="2213" t="s">
        <v>1796</v>
      </c>
      <c r="C24" s="61">
        <f>D30</f>
        <v>0</v>
      </c>
      <c r="D24" s="995"/>
      <c r="E24" s="2201"/>
      <c r="F24" s="2201"/>
      <c r="G24" s="2201"/>
      <c r="H24" s="2201"/>
      <c r="I24" s="2201"/>
    </row>
    <row r="25" spans="1:35" ht="21.75" customHeight="1">
      <c r="A25" s="2917"/>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21" t="s">
        <v>1981</v>
      </c>
      <c r="B37" s="2243" t="s">
        <v>1982</v>
      </c>
      <c r="C37" s="70"/>
      <c r="D37" s="2244"/>
      <c r="E37" s="2245"/>
      <c r="F37" s="2245"/>
      <c r="G37" s="2201"/>
      <c r="H37" s="2201"/>
      <c r="I37" s="2201"/>
    </row>
    <row r="38" spans="1:16" ht="15.75" thickBot="1">
      <c r="A38" s="2922"/>
      <c r="B38" s="2246" t="s">
        <v>1983</v>
      </c>
      <c r="C38" s="72"/>
      <c r="D38" s="2211"/>
      <c r="E38" s="2211"/>
      <c r="F38" s="2245"/>
      <c r="G38" s="2211"/>
      <c r="H38" s="2211"/>
      <c r="I38" s="2211"/>
    </row>
    <row r="39" spans="1:16" ht="15.75" thickBot="1">
      <c r="A39" s="2923"/>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26" t="s">
        <v>1994</v>
      </c>
      <c r="B46" s="2927"/>
      <c r="C46" s="2928"/>
      <c r="D46" s="81">
        <f>ROUND(I103*F46,0)</f>
        <v>0</v>
      </c>
      <c r="E46" s="82" t="s">
        <v>1995</v>
      </c>
      <c r="F46" s="83">
        <v>1</v>
      </c>
      <c r="G46" s="84" t="s">
        <v>1996</v>
      </c>
      <c r="H46" s="2201"/>
      <c r="I46" s="2201"/>
      <c r="J46" s="2838" t="s">
        <v>1828</v>
      </c>
      <c r="K46" s="2838"/>
      <c r="L46" s="2838"/>
      <c r="M46" s="2838"/>
      <c r="N46" s="2838"/>
      <c r="O46" s="2838"/>
      <c r="P46" s="1851"/>
    </row>
    <row r="47" spans="1:16" ht="14.25" customHeight="1">
      <c r="A47" s="2918" t="s">
        <v>1829</v>
      </c>
      <c r="B47" s="2919"/>
      <c r="C47" s="2919"/>
      <c r="D47" s="2919"/>
      <c r="E47" s="2919"/>
      <c r="F47" s="2919"/>
      <c r="G47" s="2920"/>
      <c r="H47" s="2263"/>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3"/>
      <c r="I48" s="1145"/>
      <c r="J48" s="1889">
        <v>2</v>
      </c>
      <c r="K48" s="2838" t="s">
        <v>1836</v>
      </c>
      <c r="L48" s="2838"/>
      <c r="M48" s="2840">
        <f>'数据-取费表'!B2</f>
        <v>43032</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1"/>
      <c r="I50" s="2266"/>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1"/>
      <c r="I51" s="2266"/>
      <c r="J51" s="2838" t="s">
        <v>1845</v>
      </c>
      <c r="K51" s="2838"/>
      <c r="L51" s="2838"/>
      <c r="M51" s="2838"/>
      <c r="N51" s="2838"/>
      <c r="O51" s="2838"/>
      <c r="P51" s="1851"/>
    </row>
    <row r="52" spans="1:16" ht="12" customHeight="1">
      <c r="A52" s="98"/>
      <c r="B52" s="2905" t="s">
        <v>1846</v>
      </c>
      <c r="C52" s="2905"/>
      <c r="D52" s="99"/>
      <c r="E52" s="20"/>
      <c r="F52" s="97"/>
      <c r="G52" s="2831"/>
      <c r="H52" s="2201"/>
      <c r="I52" s="2266"/>
      <c r="J52" s="2267" t="s">
        <v>1847</v>
      </c>
      <c r="K52" s="2838" t="s">
        <v>1848</v>
      </c>
      <c r="L52" s="2838"/>
      <c r="M52" s="2267" t="s">
        <v>1849</v>
      </c>
      <c r="N52" s="2267" t="s">
        <v>1850</v>
      </c>
      <c r="O52" s="2267"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8"/>
      <c r="H53" s="2201"/>
      <c r="I53" s="2266"/>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8"/>
      <c r="H54" s="2201"/>
      <c r="I54" s="2266"/>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8"/>
      <c r="H55" s="2269"/>
      <c r="I55" s="2266"/>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0" t="s">
        <v>1868</v>
      </c>
      <c r="H57" s="2271"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8"/>
      <c r="H58" s="1023"/>
      <c r="I58" s="1023"/>
      <c r="J58" s="2828">
        <f>IF(AND(J56="",J57=""),4,IF(项目基本情况!I6="上海银行",J57+1,J56+1))</f>
        <v>4</v>
      </c>
      <c r="K58" s="2828" t="s">
        <v>1870</v>
      </c>
      <c r="L58" s="2272" t="s">
        <v>1871</v>
      </c>
      <c r="M58" s="784"/>
      <c r="N58" s="785">
        <f>SUMIF(M53:M57,"&lt;9e307")</f>
        <v>0</v>
      </c>
      <c r="O58" s="2273"/>
      <c r="P58" s="1847" t="e">
        <f>N58/M50</f>
        <v>#VALUE!</v>
      </c>
    </row>
    <row r="59" spans="1:16" ht="24.75">
      <c r="A59" s="100" t="s">
        <v>1852</v>
      </c>
      <c r="B59" s="2913" t="s">
        <v>1872</v>
      </c>
      <c r="C59" s="2914"/>
      <c r="D59" s="102">
        <f>IF(H59="转让取得",C82,C98)</f>
        <v>0</v>
      </c>
      <c r="E59" s="10" t="s">
        <v>1867</v>
      </c>
      <c r="F59" s="14" t="s">
        <v>48</v>
      </c>
      <c r="G59" s="2268"/>
      <c r="H59" s="2271" t="s">
        <v>1873</v>
      </c>
      <c r="I59" s="1023"/>
      <c r="J59" s="2828"/>
      <c r="K59" s="2828"/>
      <c r="L59" s="2272" t="s">
        <v>1874</v>
      </c>
      <c r="M59" s="786"/>
      <c r="N59" s="2274" t="str">
        <f>IF(H19="元",NUMBERSTRING(INT(N58),2)&amp;"元整",NUMBERSTRING(INT(N58*10000),2)&amp;"元整")</f>
        <v>零元整</v>
      </c>
      <c r="O59" s="2275"/>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882">
        <f>J58+1</f>
        <v>5</v>
      </c>
      <c r="K60" s="2828" t="s">
        <v>1877</v>
      </c>
      <c r="L60" s="1889" t="s">
        <v>1871</v>
      </c>
      <c r="M60" s="787"/>
      <c r="N60" s="788" t="e">
        <f>M50-N58</f>
        <v>#VALUE!</v>
      </c>
      <c r="O60" s="2277"/>
      <c r="P60" s="1851"/>
    </row>
    <row r="61" spans="1:16" ht="12" customHeight="1">
      <c r="A61" s="2074"/>
      <c r="B61" s="2201"/>
      <c r="C61" s="2201"/>
      <c r="D61" s="2201"/>
      <c r="E61" s="1023"/>
      <c r="F61" s="1023"/>
      <c r="G61" s="1023"/>
      <c r="H61" s="2254"/>
      <c r="I61" s="2201"/>
      <c r="J61" s="2883"/>
      <c r="K61" s="2828"/>
      <c r="L61" s="2272" t="s">
        <v>1874</v>
      </c>
      <c r="M61" s="786"/>
      <c r="N61" s="2274" t="e">
        <f>IF(H19="元",NUMBERSTRING(INT(N60),2)&amp;"元整",NUMBERSTRING(INT(N60*10000),2)&amp;"元整")</f>
        <v>#VALUE!</v>
      </c>
      <c r="O61" s="2275"/>
      <c r="P61" s="1851"/>
    </row>
    <row r="62" spans="1:16" ht="13.5" thickBot="1">
      <c r="A62" s="2929" t="s">
        <v>1878</v>
      </c>
      <c r="B62" s="2929"/>
      <c r="C62" s="2929"/>
      <c r="D62" s="2929"/>
      <c r="E62" s="2929"/>
      <c r="F62" s="1023"/>
      <c r="G62" s="1023"/>
      <c r="H62" s="2254"/>
      <c r="I62" s="2201"/>
      <c r="J62" s="1889">
        <f>J60+1</f>
        <v>6</v>
      </c>
      <c r="K62" s="2828" t="s">
        <v>1879</v>
      </c>
      <c r="L62" s="2828"/>
      <c r="M62" s="789"/>
      <c r="N62" s="790" t="e">
        <f>IF(H19="元",ROUND(N60/项目基本情况!C12,0),ROUND(N60*10000/项目基本情况!C12,0))</f>
        <v>#VALUE!</v>
      </c>
      <c r="O62" s="2278"/>
      <c r="P62" s="1851"/>
    </row>
    <row r="63" spans="1:16" ht="12.75">
      <c r="A63" s="2866" t="s">
        <v>1880</v>
      </c>
      <c r="B63" s="286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47"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47"/>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47"/>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47"/>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47"/>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47"/>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47"/>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68" t="s">
        <v>1900</v>
      </c>
      <c r="B71" s="2869"/>
      <c r="C71" s="2869"/>
      <c r="D71" s="2869"/>
      <c r="E71" s="2869"/>
      <c r="F71" s="2869"/>
      <c r="G71" s="2869"/>
      <c r="H71" s="2869"/>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66" t="s">
        <v>1880</v>
      </c>
      <c r="B72" s="286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5"/>
      <c r="G77" s="2905"/>
      <c r="H77" s="290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35" t="s">
        <v>1915</v>
      </c>
      <c r="F79" s="2836"/>
      <c r="G79" s="2836"/>
      <c r="H79" s="285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35" t="s">
        <v>1927</v>
      </c>
      <c r="F92" s="2836"/>
      <c r="G92" s="283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53" t="s">
        <v>1934</v>
      </c>
      <c r="B100" s="2854"/>
      <c r="C100" s="2854"/>
      <c r="D100" s="2855"/>
      <c r="E100" s="2201"/>
      <c r="F100" s="2863" t="s">
        <v>1935</v>
      </c>
      <c r="G100" s="2864"/>
      <c r="H100" s="2864"/>
      <c r="I100" s="2865"/>
    </row>
    <row r="101" spans="1:35" ht="15.75">
      <c r="A101" s="2870" t="s">
        <v>1936</v>
      </c>
      <c r="B101" s="2871"/>
      <c r="C101" s="721">
        <f>C4</f>
        <v>0</v>
      </c>
      <c r="D101" s="722">
        <f>D4</f>
        <v>0</v>
      </c>
      <c r="E101" s="2201"/>
      <c r="F101" s="2872" t="s">
        <v>1937</v>
      </c>
      <c r="G101" s="2874"/>
      <c r="H101" s="2955" t="s">
        <v>1938</v>
      </c>
      <c r="I101" s="2873"/>
    </row>
    <row r="102" spans="1:35" ht="15.75">
      <c r="A102" s="2956" t="s">
        <v>1998</v>
      </c>
      <c r="B102" s="2296" t="str">
        <f>IF(H19="元","总价（元）","总价（万元）")</f>
        <v>总价（元）</v>
      </c>
      <c r="C102" s="721" t="e">
        <f ca="1">C19</f>
        <v>#REF!</v>
      </c>
      <c r="D102" s="722" t="e">
        <f ca="1">D19</f>
        <v>#REF!</v>
      </c>
      <c r="E102" s="2201"/>
      <c r="F102" s="2957"/>
      <c r="G102" s="2958"/>
      <c r="H102" s="2933">
        <f>典型户型修正!B25</f>
        <v>0</v>
      </c>
      <c r="I102" s="2873"/>
    </row>
    <row r="103" spans="1:35" ht="15.75">
      <c r="A103" s="2956"/>
      <c r="B103" s="2296" t="s">
        <v>1940</v>
      </c>
      <c r="C103" s="723" t="e">
        <f ca="1">C20</f>
        <v>#REF!</v>
      </c>
      <c r="D103" s="724" t="e">
        <f ca="1">D20</f>
        <v>#REF!</v>
      </c>
      <c r="E103" s="2201"/>
      <c r="F103" s="2947" t="s">
        <v>1941</v>
      </c>
      <c r="G103" s="2948"/>
      <c r="H103" s="2297" t="str">
        <f>C109</f>
        <v>总价（元）</v>
      </c>
      <c r="I103" s="1868">
        <f>H124</f>
        <v>0</v>
      </c>
    </row>
    <row r="104" spans="1:35" ht="15">
      <c r="A104" s="2956" t="s">
        <v>1999</v>
      </c>
      <c r="B104" s="2298" t="str">
        <f>B102</f>
        <v>总价（元）</v>
      </c>
      <c r="C104" s="1191" t="e">
        <f ca="1">ROUND(IF('数据-取费表'!B4="总价",G19,IF(H19="元",G20*'数据-取费表'!E5,G20*'数据-取费表'!E5/10000)),0)</f>
        <v>#REF!</v>
      </c>
      <c r="D104" s="726"/>
      <c r="E104" s="2201"/>
      <c r="F104" s="2947"/>
      <c r="G104" s="2948"/>
      <c r="H104" s="2297" t="s">
        <v>1940</v>
      </c>
      <c r="I104" s="1051" t="e">
        <f>I124</f>
        <v>#DIV/0!</v>
      </c>
    </row>
    <row r="105" spans="1:35" ht="15.75">
      <c r="A105" s="2956"/>
      <c r="B105" s="2296" t="s">
        <v>1940</v>
      </c>
      <c r="C105" s="1193" t="e">
        <f ca="1">ROUND(IF('数据-取费表'!B4="楼面单价",G20,IF(H19="元",G19/'数据-取费表'!E5,G19*10000/'数据-取费表'!E5)),0)</f>
        <v>#REF!</v>
      </c>
      <c r="D105" s="726"/>
      <c r="E105" s="2201"/>
      <c r="F105" s="2859"/>
      <c r="G105" s="2860"/>
      <c r="H105" s="2894"/>
      <c r="I105" s="2895"/>
    </row>
    <row r="106" spans="1:35" ht="15.75">
      <c r="A106" s="2963" t="s">
        <v>2000</v>
      </c>
      <c r="B106" s="2336" t="str">
        <f>B102</f>
        <v>总价（元）</v>
      </c>
      <c r="C106" s="725">
        <f>H124</f>
        <v>0</v>
      </c>
      <c r="D106" s="1190"/>
      <c r="E106" s="2201"/>
      <c r="F106" s="2898" t="s">
        <v>1944</v>
      </c>
      <c r="G106" s="2899"/>
      <c r="H106" s="2300" t="str">
        <f>C111</f>
        <v>总额（元）</v>
      </c>
      <c r="I106" s="1868">
        <f>SUMIF(I107:I109,"&lt;9E307")</f>
        <v>0</v>
      </c>
    </row>
    <row r="107" spans="1:35" ht="15.75" thickBot="1">
      <c r="A107" s="2893"/>
      <c r="B107" s="2299" t="s">
        <v>1940</v>
      </c>
      <c r="C107" s="727" t="e">
        <f>I124</f>
        <v>#DIV/0!</v>
      </c>
      <c r="D107" s="728"/>
      <c r="E107" s="2201"/>
      <c r="F107" s="2861" t="s">
        <v>1946</v>
      </c>
      <c r="G107" s="2862"/>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59" t="s">
        <v>1943</v>
      </c>
      <c r="B108" s="2960"/>
      <c r="C108" s="2960"/>
      <c r="D108" s="2961"/>
      <c r="E108" s="2201"/>
      <c r="F108" s="2861" t="s">
        <v>1947</v>
      </c>
      <c r="G108" s="2862"/>
      <c r="H108" s="2300" t="str">
        <f>C113</f>
        <v>总额（元）</v>
      </c>
      <c r="I108" s="1051">
        <f>C38</f>
        <v>0</v>
      </c>
      <c r="K108" s="2301"/>
    </row>
    <row r="109" spans="1:35" ht="15">
      <c r="A109" s="2900" t="s">
        <v>2001</v>
      </c>
      <c r="B109" s="2901"/>
      <c r="C109" s="2297" t="str">
        <f>B102</f>
        <v>总价（元）</v>
      </c>
      <c r="D109" s="1052">
        <f>H124</f>
        <v>0</v>
      </c>
      <c r="E109" s="2201"/>
      <c r="F109" s="2861" t="s">
        <v>1949</v>
      </c>
      <c r="G109" s="2862"/>
      <c r="H109" s="2300" t="str">
        <f>C114</f>
        <v>总额（元）</v>
      </c>
      <c r="I109" s="1051">
        <f>C39</f>
        <v>0</v>
      </c>
    </row>
    <row r="110" spans="1:35" ht="15.75">
      <c r="A110" s="2900"/>
      <c r="B110" s="2901"/>
      <c r="C110" s="2297" t="s">
        <v>1940</v>
      </c>
      <c r="D110" s="1053" t="e">
        <f>I124</f>
        <v>#DIV/0!</v>
      </c>
      <c r="E110" s="2201"/>
      <c r="F110" s="2859"/>
      <c r="G110" s="2860"/>
      <c r="H110" s="2896"/>
      <c r="I110" s="2897"/>
    </row>
    <row r="111" spans="1:35" ht="28.5" customHeight="1">
      <c r="A111" s="2943" t="s">
        <v>1948</v>
      </c>
      <c r="B111" s="2944"/>
      <c r="C111" s="2300" t="str">
        <f>IF(H19="元","总额（元）","总额（万元）")</f>
        <v>总额（元）</v>
      </c>
      <c r="D111" s="1052">
        <f>IF(D37="正常操作",I107+I108+I109,I108+I109)</f>
        <v>0</v>
      </c>
      <c r="E111" s="2201"/>
      <c r="F111" s="2841" t="str">
        <f>IF(项目基本情况!F5="已注销","——","3.房地产抵押价值")</f>
        <v>3.房地产抵押价值</v>
      </c>
      <c r="G111" s="2842"/>
      <c r="H111" s="2337" t="str">
        <f>C115</f>
        <v>总价（元）</v>
      </c>
      <c r="I111" s="1868">
        <f>IF(F111="——","——",I103-I106)</f>
        <v>0</v>
      </c>
    </row>
    <row r="112" spans="1:35" ht="15">
      <c r="A112" s="2861" t="s">
        <v>1946</v>
      </c>
      <c r="B112" s="2862"/>
      <c r="C112" s="2300" t="str">
        <f>C111</f>
        <v>总额（元）</v>
      </c>
      <c r="D112" s="638">
        <f>IF(D37="同一抵押权人同一抵押物续贷",C37&amp;"（未扣减，详见特别提示）",C37)</f>
        <v>0</v>
      </c>
      <c r="E112" s="2201"/>
      <c r="F112" s="2843"/>
      <c r="G112" s="2844"/>
      <c r="H112" s="2297" t="s">
        <v>1940</v>
      </c>
      <c r="I112" s="2303" t="e">
        <f>D116</f>
        <v>#DIV/0!</v>
      </c>
    </row>
    <row r="113" spans="1:26" ht="15.75">
      <c r="A113" s="2861" t="s">
        <v>1947</v>
      </c>
      <c r="B113" s="2862"/>
      <c r="C113" s="2300" t="str">
        <f>C111</f>
        <v>总额（元）</v>
      </c>
      <c r="D113" s="638">
        <f>C38</f>
        <v>0</v>
      </c>
      <c r="E113" s="2201"/>
      <c r="F113" s="2841" t="str">
        <f>IF(项目基本情况!F5="已注销及未注销","4.抵押担保权已注销时的房地产抵押价值",IF(项目基本情况!F5="已注销","3.抵押担保权已注销时的房地产抵押价值","——"))</f>
        <v>——</v>
      </c>
      <c r="G113" s="2842"/>
      <c r="H113" s="2337" t="str">
        <f>C117</f>
        <v>总价（元）</v>
      </c>
      <c r="I113" s="1868" t="str">
        <f>IF(F113="——","——",I103-I108-I109)</f>
        <v>——</v>
      </c>
    </row>
    <row r="114" spans="1:26" ht="15">
      <c r="A114" s="2861" t="s">
        <v>1949</v>
      </c>
      <c r="B114" s="2862"/>
      <c r="C114" s="2300" t="str">
        <f>C111</f>
        <v>总额（元）</v>
      </c>
      <c r="D114" s="638">
        <f>C39</f>
        <v>0</v>
      </c>
      <c r="E114" s="2201"/>
      <c r="F114" s="2843"/>
      <c r="G114" s="2844"/>
      <c r="H114" s="2297" t="s">
        <v>1940</v>
      </c>
      <c r="I114" s="1051" t="str">
        <f>D118</f>
        <v>——</v>
      </c>
    </row>
    <row r="115" spans="1:26" ht="15.75">
      <c r="A115" s="2900" t="str">
        <f>IF(项目基本情况!F5="已注销","——","3.房地产抵押价值")</f>
        <v>3.房地产抵押价值</v>
      </c>
      <c r="B115" s="2901"/>
      <c r="C115" s="2297" t="str">
        <f>B102</f>
        <v>总价（元）</v>
      </c>
      <c r="D115" s="1052">
        <f>IF(A115="——","——",D109-D111)</f>
        <v>0</v>
      </c>
      <c r="E115" s="2201"/>
      <c r="F115" s="2841" t="str">
        <f>IF(项目基本情况!G5="抵押净值",IF(OR(项目基本情况!F5="已注销",项目基本情况!F5="房地产抵押价值"),"4.抵押净值","5.抵押净值"),"——")</f>
        <v>——</v>
      </c>
      <c r="G115" s="2842"/>
      <c r="H115" s="2297" t="str">
        <f>C119</f>
        <v>总价（元）</v>
      </c>
      <c r="I115" s="1868" t="str">
        <f>IF(F115="——","——",N60)</f>
        <v>——</v>
      </c>
    </row>
    <row r="116" spans="1:26" ht="15.75" thickBot="1">
      <c r="A116" s="2900"/>
      <c r="B116" s="2901"/>
      <c r="C116" s="2297" t="s">
        <v>2002</v>
      </c>
      <c r="D116" s="1053" t="e">
        <f>ROUND(IF(D115=D109,D110,IF(H19="元",D115/B124,D115*10000/B124)),0)</f>
        <v>#DIV/0!</v>
      </c>
      <c r="E116" s="2201"/>
      <c r="F116" s="2934"/>
      <c r="G116" s="2935"/>
      <c r="H116" s="2305"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7" t="str">
        <f>B102</f>
        <v>总价（元）</v>
      </c>
      <c r="D117" s="1052" t="str">
        <f>IF(A117="——","——",D109-D113-D114)</f>
        <v>——</v>
      </c>
      <c r="E117" s="2201"/>
      <c r="F117" s="2837"/>
      <c r="G117" s="2837"/>
      <c r="H117" s="2879"/>
      <c r="I117" s="2879"/>
      <c r="N117" s="55"/>
      <c r="O117" s="55"/>
    </row>
    <row r="118" spans="1:26" s="1851" customFormat="1" ht="15">
      <c r="A118" s="2900"/>
      <c r="B118" s="2901"/>
      <c r="C118" s="2297" t="s">
        <v>2002</v>
      </c>
      <c r="D118" s="1053" t="str">
        <f>IF(A117="——","——",IF(H19="元",ROUND(D117/B124,0),ROUND(D117*10000/B124,0)))</f>
        <v>——</v>
      </c>
      <c r="E118" s="2201"/>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1770487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17106</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103.5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103.5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1449403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270032</v>
      </c>
      <c r="D33" s="184"/>
      <c r="E33" s="1534"/>
      <c r="F33" s="192"/>
      <c r="G33" s="185"/>
    </row>
    <row r="34" spans="1:7" s="207" customFormat="1" ht="13.5" customHeight="1">
      <c r="A34" s="177" t="s">
        <v>2045</v>
      </c>
      <c r="B34" s="178" t="s">
        <v>2067</v>
      </c>
      <c r="C34" s="200">
        <f>IF(B1="仅计算典型户型",'数据-取费表'!F18,'数据-取费表'!E18)</f>
        <v>227700</v>
      </c>
      <c r="D34" s="1535"/>
      <c r="E34" s="200"/>
      <c r="F34" s="1546" t="str">
        <f>IF('数据-取费表'!B25=0,"",'数据-取费表'!E20)</f>
        <v/>
      </c>
      <c r="G34" s="180"/>
    </row>
    <row r="35" spans="1:7" ht="13.5" customHeight="1">
      <c r="A35" s="177" t="s">
        <v>2019</v>
      </c>
      <c r="B35" s="178" t="s">
        <v>2068</v>
      </c>
      <c r="C35" s="200">
        <f>ROUND(C34*F35,0)</f>
        <v>6831</v>
      </c>
      <c r="D35" s="200"/>
      <c r="E35" s="200"/>
      <c r="F35" s="1547">
        <f>'数据-取费表'!E21</f>
        <v>0.03</v>
      </c>
      <c r="G35" s="180" t="s">
        <v>2069</v>
      </c>
    </row>
    <row r="36" spans="1:7" ht="24">
      <c r="A36" s="177" t="s">
        <v>2021</v>
      </c>
      <c r="B36" s="178" t="s">
        <v>2070</v>
      </c>
      <c r="C36" s="200">
        <f>ROUND(IF('数据-取费表'!B10="住宅",C34*F36,0),0)</f>
        <v>11385</v>
      </c>
      <c r="D36" s="200"/>
      <c r="E36" s="200"/>
      <c r="F36" s="1547">
        <f>'数据-取费表'!E22</f>
        <v>0.05</v>
      </c>
      <c r="G36" s="208" t="s">
        <v>2071</v>
      </c>
    </row>
    <row r="37" spans="1:7" s="207" customFormat="1" ht="13.5" customHeight="1">
      <c r="A37" s="177" t="s">
        <v>2052</v>
      </c>
      <c r="B37" s="178" t="s">
        <v>2072</v>
      </c>
      <c r="C37" s="200">
        <f>ROUND(E37*D37,0)</f>
        <v>20700</v>
      </c>
      <c r="D37" s="1535">
        <f>IF(B1="仅计算典型户型",'数据-取费表'!E5,'数据-取费表'!B5)</f>
        <v>103.5</v>
      </c>
      <c r="E37" s="200">
        <f>'数据-取费表'!E23</f>
        <v>200</v>
      </c>
      <c r="F37" s="1547"/>
      <c r="G37" s="209" t="s">
        <v>2073</v>
      </c>
    </row>
    <row r="38" spans="1:7" ht="13.5" customHeight="1">
      <c r="A38" s="177" t="s">
        <v>2074</v>
      </c>
      <c r="B38" s="178" t="s">
        <v>2075</v>
      </c>
      <c r="C38" s="200">
        <f>ROUND(C34*F38,0)</f>
        <v>3416</v>
      </c>
      <c r="D38" s="200"/>
      <c r="E38" s="200"/>
      <c r="F38" s="1547">
        <f>'数据-取费表'!E24</f>
        <v>1.4999999999999999E-2</v>
      </c>
      <c r="G38" s="180" t="s">
        <v>2069</v>
      </c>
    </row>
    <row r="39" spans="1:7" s="176" customFormat="1" ht="13.5" customHeight="1">
      <c r="A39" s="205" t="s">
        <v>2034</v>
      </c>
      <c r="B39" s="174" t="s">
        <v>2037</v>
      </c>
      <c r="C39" s="184">
        <f>ROUND(C33*F20,0)</f>
        <v>5401</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9755</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9564</v>
      </c>
      <c r="D42" s="189"/>
      <c r="E42" s="189"/>
      <c r="F42" s="190"/>
      <c r="G42" s="2965" t="s">
        <v>2079</v>
      </c>
    </row>
    <row r="43" spans="1:7" ht="13.5" customHeight="1">
      <c r="A43" s="177" t="s">
        <v>2019</v>
      </c>
      <c r="B43" s="178" t="s">
        <v>2048</v>
      </c>
      <c r="C43" s="189">
        <f ca="1">ROUND(IF('数据-取费表'!B23&lt;=1,C39*F22*'数据-取费表'!B22/2,C39*(POWER((1+F22),'数据-取费表'!B22/2)-1)),0)</f>
        <v>191</v>
      </c>
      <c r="D43" s="189"/>
      <c r="E43" s="189"/>
      <c r="F43" s="190"/>
      <c r="G43" s="2966"/>
    </row>
    <row r="44" spans="1:7" ht="13.5" customHeight="1">
      <c r="A44" s="177" t="s">
        <v>2021</v>
      </c>
      <c r="B44" s="178" t="s">
        <v>2050</v>
      </c>
      <c r="C44" s="189">
        <f ca="1">ROUND(IF('数据-取费表'!B23&lt;=1,C40*F22*'数据-取费表'!B22/2,C40*(POWER((1+F22),'数据-取费表'!B22/2)-1)),4)</f>
        <v>6.9999999999999999E-4</v>
      </c>
      <c r="D44" s="189"/>
      <c r="E44" s="189"/>
      <c r="F44" s="190"/>
      <c r="G44" s="2967"/>
    </row>
    <row r="45" spans="1:7" s="176" customFormat="1" ht="13.5" customHeight="1">
      <c r="A45" s="205" t="s">
        <v>2043</v>
      </c>
      <c r="B45" s="195" t="s">
        <v>2055</v>
      </c>
      <c r="C45" s="196">
        <f>C46</f>
        <v>55087</v>
      </c>
      <c r="D45" s="186">
        <f>C47</f>
        <v>4.0000000000000001E-3</v>
      </c>
      <c r="E45" s="187" t="s">
        <v>2077</v>
      </c>
      <c r="F45" s="197"/>
      <c r="G45" s="198" t="s">
        <v>2080</v>
      </c>
    </row>
    <row r="46" spans="1:7" s="176" customFormat="1" ht="13.5" customHeight="1">
      <c r="A46" s="177" t="s">
        <v>2045</v>
      </c>
      <c r="B46" s="199" t="s">
        <v>2081</v>
      </c>
      <c r="C46" s="200">
        <f>ROUND((C33+C39)*F27,0)</f>
        <v>55087</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369062</v>
      </c>
      <c r="D49" s="184"/>
      <c r="E49" s="184"/>
      <c r="F49" s="211"/>
      <c r="G49" s="185" t="s">
        <v>2087</v>
      </c>
    </row>
    <row r="50" spans="1:7" s="207" customFormat="1" ht="24">
      <c r="A50" s="1307" t="s">
        <v>2088</v>
      </c>
      <c r="B50" s="174" t="s">
        <v>2089</v>
      </c>
      <c r="C50" s="184"/>
      <c r="D50" s="184"/>
      <c r="E50" s="184"/>
      <c r="F50" s="211">
        <f>IF('数据-取费表'!B25=0,'数据-取费表'!E20,1)</f>
        <v>0.87</v>
      </c>
      <c r="G50" s="198" t="s">
        <v>2090</v>
      </c>
    </row>
    <row r="51" spans="1:7" ht="16.5" customHeight="1">
      <c r="A51" s="1307" t="s">
        <v>2091</v>
      </c>
      <c r="B51" s="174" t="s">
        <v>2092</v>
      </c>
      <c r="C51" s="184">
        <f ca="1">ROUND(C49*F50,0)</f>
        <v>321084</v>
      </c>
      <c r="D51" s="184"/>
      <c r="E51" s="184"/>
      <c r="F51" s="211"/>
      <c r="G51" s="185" t="s">
        <v>2093</v>
      </c>
    </row>
    <row r="52" spans="1:7" s="173" customFormat="1" ht="16.5" thickBot="1">
      <c r="A52" s="212" t="s">
        <v>2094</v>
      </c>
      <c r="B52" s="213"/>
      <c r="C52" s="214">
        <f ca="1">C31+C51</f>
        <v>1770487</v>
      </c>
      <c r="D52" s="213"/>
      <c r="E52" s="213"/>
      <c r="F52" s="213"/>
      <c r="G52" s="215"/>
    </row>
    <row r="55" spans="1:7" ht="15">
      <c r="B55" s="217" t="s">
        <v>2095</v>
      </c>
      <c r="C55" s="218"/>
    </row>
    <row r="56" spans="1:7">
      <c r="B56" s="220" t="s">
        <v>2096</v>
      </c>
      <c r="C56" s="221">
        <f ca="1">ROUND(C51/C52,3)</f>
        <v>0.18099999999999999</v>
      </c>
    </row>
    <row r="57" spans="1:7">
      <c r="B57" s="220" t="s">
        <v>2097</v>
      </c>
      <c r="C57" s="222">
        <f ca="1">1-C56</f>
        <v>0.81899999999999995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34" sqref="D3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3991209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38562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125565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125400</v>
      </c>
      <c r="D6" s="81" t="s">
        <v>2806</v>
      </c>
      <c r="E6" s="320" t="s">
        <v>2110</v>
      </c>
      <c r="F6" s="321">
        <f>'数据-取费表'!B29</f>
        <v>11000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165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321084</v>
      </c>
      <c r="D13" s="1424" t="s">
        <v>2125</v>
      </c>
      <c r="E13" s="1424" t="s">
        <v>2126</v>
      </c>
      <c r="F13" s="1425">
        <f>'数据-取费表'!E20</f>
        <v>0.87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227700</v>
      </c>
      <c r="D14" s="1894" t="s">
        <v>2129</v>
      </c>
      <c r="E14" s="1895"/>
      <c r="F14" s="980"/>
      <c r="G14" s="1241"/>
      <c r="H14" s="338" t="s">
        <v>2108</v>
      </c>
      <c r="I14" s="320" t="s">
        <v>2130</v>
      </c>
      <c r="J14" s="14">
        <f ca="1">C29</f>
        <v>369062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6831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11385</v>
      </c>
      <c r="D16" s="320" t="s">
        <v>2133</v>
      </c>
      <c r="E16" s="320" t="s">
        <v>2134</v>
      </c>
      <c r="F16" s="343">
        <f>IF('数据-取费表'!B10="住宅",'数据-取费表'!E22,0)</f>
        <v>0.05</v>
      </c>
      <c r="G16" s="1241"/>
      <c r="H16" s="1422" t="s">
        <v>14</v>
      </c>
      <c r="I16" s="1423" t="s">
        <v>2139</v>
      </c>
      <c r="J16" s="328">
        <f ca="1">ROUND(J17+J22+J23+J24,0)</f>
        <v>3691</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20700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3416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270032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5401</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3691</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9755</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-3691</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55087</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369062</v>
      </c>
      <c r="D29" s="1435"/>
      <c r="E29" s="1433"/>
      <c r="F29" s="1436"/>
      <c r="G29" s="792"/>
      <c r="H29" s="357" t="s">
        <v>24</v>
      </c>
      <c r="I29" s="358" t="s">
        <v>2204</v>
      </c>
      <c r="J29" s="359">
        <f ca="1">ROUND(J26/(1+F40)^F41,0)</f>
        <v>0</v>
      </c>
      <c r="K29" s="360" t="s">
        <v>2205</v>
      </c>
      <c r="L29" s="361"/>
      <c r="M29" s="362">
        <f>IF(D1="仅计算典型户型",'数据-取费表'!E5,'数据-取费表'!B5)</f>
        <v>103.5</v>
      </c>
    </row>
    <row r="30" spans="1:37" ht="18" customHeight="1" thickTop="1">
      <c r="A30" s="1422" t="s">
        <v>14</v>
      </c>
      <c r="B30" s="1423" t="s">
        <v>2206</v>
      </c>
      <c r="C30" s="328">
        <f ca="1">ROUND(C31+C36+C37+C38,0)</f>
        <v>11546</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6278.3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25687</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3691</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321</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1256</v>
      </c>
      <c r="D38" s="1435" t="s">
        <v>2181</v>
      </c>
      <c r="E38" s="1433" t="s">
        <v>2177</v>
      </c>
      <c r="F38" s="1428">
        <f>'数据-取费表'!B46</f>
        <v>0.01</v>
      </c>
      <c r="G38" s="792"/>
      <c r="H38" s="1232"/>
      <c r="I38" s="366" t="s">
        <v>2219</v>
      </c>
      <c r="J38" s="221">
        <f ca="1">ROUND(J34/C39,3)</f>
        <v>0.22500000000000001</v>
      </c>
      <c r="K38" s="1237"/>
      <c r="L38" s="1232"/>
      <c r="M38" s="1232"/>
    </row>
    <row r="39" spans="1:18" ht="18" customHeight="1" thickTop="1">
      <c r="A39" s="1422" t="s">
        <v>22</v>
      </c>
      <c r="B39" s="1437" t="s">
        <v>2220</v>
      </c>
      <c r="C39" s="328">
        <f ca="1">C5-C30</f>
        <v>114019</v>
      </c>
      <c r="D39" s="1438" t="s">
        <v>2221</v>
      </c>
      <c r="E39" s="1439"/>
      <c r="F39" s="1440"/>
      <c r="G39" s="792"/>
      <c r="H39" s="1232"/>
      <c r="I39" s="366" t="s">
        <v>2222</v>
      </c>
      <c r="J39" s="221">
        <f ca="1">1-J38</f>
        <v>0.77500000000000002</v>
      </c>
      <c r="K39" s="1237"/>
      <c r="L39" s="1232"/>
      <c r="M39" s="1232"/>
    </row>
    <row r="40" spans="1:18" s="792" customFormat="1" ht="18" customHeight="1">
      <c r="A40" s="317" t="s">
        <v>23</v>
      </c>
      <c r="B40" s="318" t="s">
        <v>2223</v>
      </c>
      <c r="C40" s="319">
        <f ca="1">ROUND(C39*(1-((1+F42)/(1+F40))^F41)/(F40-F42),0)</f>
        <v>3991209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51.5</v>
      </c>
      <c r="H41" s="1239"/>
      <c r="I41" s="220" t="s">
        <v>2096</v>
      </c>
      <c r="J41" s="221">
        <f ca="1">ROUND(C13/C40,3)</f>
        <v>0.08</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0.92</v>
      </c>
      <c r="K42" s="1236"/>
      <c r="L42" s="1239"/>
      <c r="M42" s="1239"/>
      <c r="Q42" s="796"/>
    </row>
    <row r="43" spans="1:18" s="792" customFormat="1" ht="18" customHeight="1" thickBot="1">
      <c r="A43" s="357" t="s">
        <v>24</v>
      </c>
      <c r="B43" s="358" t="s">
        <v>2226</v>
      </c>
      <c r="C43" s="359">
        <f ca="1">ROUND(C40/F43,0)</f>
        <v>38562</v>
      </c>
      <c r="D43" s="360" t="s">
        <v>2227</v>
      </c>
      <c r="E43" s="361" t="s">
        <v>2228</v>
      </c>
      <c r="F43" s="362">
        <f>IF(D1="仅计算典型户型",'数据-取费表'!E5,'数据-取费表'!B5)</f>
        <v>103.5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3991209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-4071125</v>
      </c>
      <c r="D47" s="2351" t="str">
        <f>C2</f>
        <v>元</v>
      </c>
      <c r="E47" s="777"/>
      <c r="F47" s="777"/>
      <c r="I47" s="2352" t="s">
        <v>2239</v>
      </c>
      <c r="J47" s="1345"/>
      <c r="K47" s="1346"/>
      <c r="L47" s="1359">
        <f>IF(M48="住宅",0,IF(L49&gt;J52,L61,J61))</f>
        <v>0</v>
      </c>
      <c r="O47" s="1373" t="s">
        <v>960</v>
      </c>
      <c r="P47" s="1370" t="s">
        <v>2240</v>
      </c>
      <c r="Q47" s="1371">
        <f ca="1">C29</f>
        <v>369062</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51.5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2000</v>
      </c>
      <c r="K50" s="2360"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3991209</v>
      </c>
      <c r="R51" s="1372" t="s">
        <v>965</v>
      </c>
    </row>
    <row r="52" spans="1:18" s="792" customFormat="1" ht="16.5" thickBot="1">
      <c r="A52" s="322"/>
      <c r="B52" s="323"/>
      <c r="C52" s="324"/>
      <c r="D52" s="325"/>
      <c r="E52" s="320" t="s">
        <v>2113</v>
      </c>
      <c r="F52" s="321">
        <f>F8</f>
        <v>12</v>
      </c>
      <c r="I52" s="2361" t="s">
        <v>2261</v>
      </c>
      <c r="J52" s="1350">
        <f>IF(J50="",J51,J50+J51-YEAR('数据-取费表'!B2))</f>
        <v>-17</v>
      </c>
      <c r="K52" s="2362" t="s">
        <v>2262</v>
      </c>
      <c r="L52" s="1351">
        <f ca="1">ROUND(-PV('数据-取费表'!B15,L49,(C40-C13*J35)),0)</f>
        <v>85985099</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-17</v>
      </c>
      <c r="K54" s="2968" t="s">
        <v>2805</v>
      </c>
      <c r="L54" s="2969"/>
      <c r="O54" s="1369" t="s">
        <v>958</v>
      </c>
      <c r="P54" s="1370" t="s">
        <v>2234</v>
      </c>
      <c r="Q54" s="1371">
        <f ca="1">C40+J29</f>
        <v>3991209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321084</v>
      </c>
      <c r="D57" s="1296"/>
      <c r="E57" s="1297"/>
      <c r="F57" s="1304"/>
      <c r="I57" s="2371" t="s">
        <v>2272</v>
      </c>
      <c r="J57" s="1357" t="s">
        <v>2875</v>
      </c>
      <c r="K57" s="2356" t="s">
        <v>2273</v>
      </c>
      <c r="L57" s="1129">
        <f>IF(L49&lt;J52,"——",L49-J52)</f>
        <v>68.5</v>
      </c>
      <c r="O57" s="1373" t="s">
        <v>961</v>
      </c>
      <c r="P57" s="1370" t="s">
        <v>2274</v>
      </c>
      <c r="Q57" s="1374">
        <f>L53</f>
        <v>0</v>
      </c>
      <c r="R57" s="1372"/>
    </row>
    <row r="58" spans="1:18" s="792" customFormat="1" ht="29.25" thickBot="1">
      <c r="A58" s="1303"/>
      <c r="B58" s="320" t="s">
        <v>2203</v>
      </c>
      <c r="C58" s="189">
        <f ca="1">C29</f>
        <v>369062</v>
      </c>
      <c r="D58" s="1296"/>
      <c r="E58" s="1297"/>
      <c r="F58" s="1304"/>
      <c r="I58" s="2372" t="s">
        <v>2275</v>
      </c>
      <c r="J58" s="1356" t="str">
        <f>IF(OR(M48="住宅",J52&lt;L49,J57="是"),"——",J52-L49)</f>
        <v>——</v>
      </c>
      <c r="K58" s="2356" t="s">
        <v>2276</v>
      </c>
      <c r="L58" s="1129">
        <f ca="1">IF(L49&lt;J52,"——",IF(L56="比较法",L50,IF(L56="基准地价",L51,L52)))</f>
        <v>85985099</v>
      </c>
      <c r="O58" s="1373" t="s">
        <v>962</v>
      </c>
      <c r="P58" s="1370" t="s">
        <v>2277</v>
      </c>
      <c r="Q58" s="1371" t="e">
        <f>L59</f>
        <v>#DIV/0!</v>
      </c>
      <c r="R58" s="1372" t="s">
        <v>2278</v>
      </c>
    </row>
    <row r="59" spans="1:18" s="792" customFormat="1" ht="29.25" thickBot="1">
      <c r="A59" s="333" t="s">
        <v>14</v>
      </c>
      <c r="B59" s="334" t="s">
        <v>2206</v>
      </c>
      <c r="C59" s="335">
        <f ca="1">ROUND(C60+C65+C66+C67,0)</f>
        <v>4012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3991209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3991209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3691</v>
      </c>
      <c r="D65" s="1899" t="s">
        <v>2216</v>
      </c>
      <c r="E65" s="320" t="s">
        <v>2160</v>
      </c>
      <c r="F65" s="351">
        <f t="shared" si="0"/>
        <v>0.01</v>
      </c>
      <c r="I65" s="2375" t="s">
        <v>2297</v>
      </c>
      <c r="J65" s="1880">
        <v>50</v>
      </c>
      <c r="K65" s="1880">
        <v>35</v>
      </c>
      <c r="L65" s="1880">
        <v>60</v>
      </c>
      <c r="M65" s="1879">
        <v>0</v>
      </c>
      <c r="O65" s="1373" t="s">
        <v>960</v>
      </c>
      <c r="P65" s="1370" t="s">
        <v>2271</v>
      </c>
      <c r="Q65" s="1375">
        <f ca="1">L52</f>
        <v>85985099</v>
      </c>
      <c r="R65" s="1376" t="s">
        <v>2298</v>
      </c>
    </row>
    <row r="66" spans="1:18" s="792" customFormat="1" ht="20.25" thickBot="1">
      <c r="A66" s="338" t="s">
        <v>20</v>
      </c>
      <c r="B66" s="320" t="s">
        <v>2175</v>
      </c>
      <c r="C66" s="14">
        <f ca="1">ROUND(C57*F66,0)</f>
        <v>321</v>
      </c>
      <c r="D66" s="1899" t="s">
        <v>2176</v>
      </c>
      <c r="E66" s="320" t="s">
        <v>2177</v>
      </c>
      <c r="F66" s="352">
        <f t="shared" si="0"/>
        <v>1E-3</v>
      </c>
      <c r="I66" s="2375" t="s">
        <v>2299</v>
      </c>
      <c r="J66" s="1880">
        <v>40</v>
      </c>
      <c r="K66" s="1880">
        <v>30</v>
      </c>
      <c r="L66" s="1880">
        <v>50</v>
      </c>
      <c r="M66" s="1878">
        <v>0.02</v>
      </c>
      <c r="O66" s="1373" t="s">
        <v>961</v>
      </c>
      <c r="P66" s="1377" t="s">
        <v>2300</v>
      </c>
      <c r="Q66" s="1371">
        <f ca="1">ROUND(Q67-Q68*Q69,0)</f>
        <v>88332</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114019</v>
      </c>
      <c r="R67" s="1372" t="s">
        <v>2235</v>
      </c>
    </row>
    <row r="68" spans="1:18" ht="15.75" thickBot="1">
      <c r="A68" s="333" t="s">
        <v>22</v>
      </c>
      <c r="B68" s="90" t="s">
        <v>2185</v>
      </c>
      <c r="C68" s="335">
        <f ca="1">C49-C59</f>
        <v>-4012</v>
      </c>
      <c r="D68" s="1894" t="s">
        <v>2186</v>
      </c>
      <c r="E68" s="1898"/>
      <c r="F68" s="354"/>
      <c r="H68" s="792"/>
      <c r="I68" s="792"/>
      <c r="J68" s="792"/>
      <c r="K68" s="792"/>
      <c r="L68" s="792"/>
      <c r="M68" s="792"/>
      <c r="O68" s="1373" t="s">
        <v>967</v>
      </c>
      <c r="P68" s="1377" t="s">
        <v>2302</v>
      </c>
      <c r="Q68" s="1371">
        <f ca="1">C13</f>
        <v>321084</v>
      </c>
      <c r="R68" s="1372" t="s">
        <v>2235</v>
      </c>
    </row>
    <row r="69" spans="1:18" ht="15.75" thickBot="1">
      <c r="A69" s="317" t="s">
        <v>23</v>
      </c>
      <c r="B69" s="318" t="s">
        <v>2223</v>
      </c>
      <c r="C69" s="319">
        <f ca="1">ROUND(C68*(1-((1+F71)/(1+F69))^F70)/(F69-F71),0)</f>
        <v>-79916</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51.5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-772</v>
      </c>
      <c r="D72" s="360" t="s">
        <v>2227</v>
      </c>
      <c r="E72" s="361" t="s">
        <v>2228</v>
      </c>
      <c r="F72" s="362">
        <f>F43</f>
        <v>103.5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3991209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E15" sqref="E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2872</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8778974</v>
      </c>
      <c r="C2" s="164" t="str">
        <f>'数据-取费表'!B3</f>
        <v>元</v>
      </c>
      <c r="D2" s="2391" t="s">
        <v>1257</v>
      </c>
      <c r="E2" s="1849">
        <f ca="1">SUMIF(INDIRECT("'"&amp;G2&amp;"'"&amp;"!A:A"),"承租人权益价值",INDIRECT("'"&amp;G2&amp;"'"&amp;"!c:c"))</f>
        <v>-4071125</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84821</v>
      </c>
      <c r="C3" s="380" t="s">
        <v>2341</v>
      </c>
      <c r="D3" s="379">
        <f>IF(C1="仅计算典型户型",'数据-取费表'!E5,'数据-取费表'!B5)</f>
        <v>103.5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00" t="s">
        <v>2343</v>
      </c>
      <c r="D4" s="3001"/>
      <c r="E4" s="3002" t="s">
        <v>2344</v>
      </c>
      <c r="F4" s="3003"/>
      <c r="G4" s="3000" t="s">
        <v>2345</v>
      </c>
      <c r="H4" s="3001"/>
      <c r="I4" s="3000" t="s">
        <v>2346</v>
      </c>
      <c r="J4" s="3001"/>
      <c r="K4" s="2402"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2884</v>
      </c>
      <c r="D5" s="3020"/>
      <c r="E5" s="3017" t="s">
        <v>2885</v>
      </c>
      <c r="F5" s="3018"/>
      <c r="G5" s="3019" t="s">
        <v>2885</v>
      </c>
      <c r="H5" s="3020"/>
      <c r="I5" s="3019" t="s">
        <v>2885</v>
      </c>
      <c r="J5" s="3020"/>
      <c r="K5" s="2403"/>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3"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v>42793</v>
      </c>
      <c r="F7" s="393">
        <f>SUMIF(58:58,YEAR(E7)&amp;"-"&amp;MONTH(E7),59:59)</f>
        <v>101.5</v>
      </c>
      <c r="G7" s="392">
        <v>42756</v>
      </c>
      <c r="H7" s="391">
        <f>SUMIF(58:58,YEAR(G7)&amp;"-"&amp;MONTH(G7),59:59)</f>
        <v>101.5</v>
      </c>
      <c r="I7" s="392">
        <v>42794</v>
      </c>
      <c r="J7" s="391">
        <f>SUMIF(58:58,YEAR(I7)&amp;"-"&amp;MONTH(I7),59:59)</f>
        <v>101.5</v>
      </c>
      <c r="K7" s="2404"/>
      <c r="L7" s="1247"/>
      <c r="M7" s="1248"/>
      <c r="N7" s="1248"/>
      <c r="O7" s="1248"/>
      <c r="P7" s="3033" t="s">
        <v>2356</v>
      </c>
      <c r="Q7" s="3035"/>
      <c r="R7" s="750" t="s">
        <v>34</v>
      </c>
      <c r="S7" s="751">
        <f t="shared" ref="S7:S15" si="0">F7</f>
        <v>101.5</v>
      </c>
      <c r="T7" s="750" t="s">
        <v>34</v>
      </c>
      <c r="U7" s="751">
        <f t="shared" ref="U7:U15" si="1">H7</f>
        <v>101.5</v>
      </c>
      <c r="V7" s="750" t="s">
        <v>34</v>
      </c>
      <c r="W7" s="751">
        <f t="shared" ref="W7:W15" si="2">J7</f>
        <v>101.5</v>
      </c>
      <c r="X7" s="752"/>
      <c r="Y7" s="3033" t="s">
        <v>2356</v>
      </c>
      <c r="Z7" s="3034"/>
      <c r="AA7" s="753">
        <f>D7/F7</f>
        <v>0.98522167487684731</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2876</v>
      </c>
      <c r="D10" s="52">
        <v>100</v>
      </c>
      <c r="E10" s="405" t="s">
        <v>2876</v>
      </c>
      <c r="F10" s="406">
        <f>SUMIF(65:65,E10,66:66)-SUMIF(65:65,C10,66:66)+100</f>
        <v>100</v>
      </c>
      <c r="G10" s="404" t="s">
        <v>2876</v>
      </c>
      <c r="H10" s="52">
        <f>SUMIF(65:65,G10,66:66)-SUMIF(65:65,C10,66:66)+100</f>
        <v>100</v>
      </c>
      <c r="I10" s="404" t="s">
        <v>2876</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估价对象周边有满庭芳园、太阳园、双榆树北路小区、金谷园、青云北区等居住小区，小区规模和社区发展完善程度较好，综合评价居住社区成熟度好</v>
      </c>
      <c r="D15" s="421">
        <v>100</v>
      </c>
      <c r="E15" s="2735" t="s">
        <v>2903</v>
      </c>
      <c r="F15" s="423">
        <f>SUMIF(76:76,E16,77:77)-SUMIF(76:76,C16,77:77)+100</f>
        <v>100</v>
      </c>
      <c r="G15" s="2735" t="s">
        <v>2886</v>
      </c>
      <c r="H15" s="421">
        <f>SUMIF(76:76,G16,77:77)-SUMIF(76:76,C16,77:77)+100</f>
        <v>100</v>
      </c>
      <c r="I15" s="2735" t="s">
        <v>2886</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40"/>
      <c r="Q16" s="1905"/>
      <c r="R16" s="754"/>
      <c r="S16" s="755"/>
      <c r="T16" s="754"/>
      <c r="U16" s="755"/>
      <c r="V16" s="754"/>
      <c r="W16" s="755"/>
      <c r="X16" s="1906"/>
      <c r="Y16" s="3026"/>
      <c r="Z16" s="1908"/>
      <c r="AA16" s="1909">
        <v>1</v>
      </c>
      <c r="AB16" s="1909">
        <v>1</v>
      </c>
      <c r="AC16" s="1909">
        <v>1</v>
      </c>
    </row>
    <row r="17" spans="1:29" ht="192.75" customHeight="1">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2723" t="s">
        <v>2901</v>
      </c>
      <c r="F17" s="434">
        <f>SUMIF(78:78,E18,79:79)-SUMIF(78:78,C18,79:79)+100</f>
        <v>100</v>
      </c>
      <c r="G17" s="2724" t="s">
        <v>2887</v>
      </c>
      <c r="H17" s="436">
        <f>SUMIF(78:78,G18,79:79)-SUMIF(78:78,C18,79:79)+100</f>
        <v>100</v>
      </c>
      <c r="I17" s="2723" t="s">
        <v>2887</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2829</v>
      </c>
      <c r="F19" s="440">
        <f>SUMIF(80:80,E20,81:81)-SUMIF(80:80,C20,81:81)+100</f>
        <v>100</v>
      </c>
      <c r="G19" s="2726" t="s">
        <v>2829</v>
      </c>
      <c r="H19" s="431">
        <f>SUMIF(80:80,G20,81:81)-SUMIF(80:80,C20,81:81)+100</f>
        <v>100</v>
      </c>
      <c r="I19" s="2725"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2882</v>
      </c>
      <c r="F21" s="440">
        <f>SUMIF(82:82,E22,83:83)-SUMIF(82:82,C22,83:83)+100</f>
        <v>100</v>
      </c>
      <c r="G21" s="2726" t="s">
        <v>2882</v>
      </c>
      <c r="H21" s="431">
        <f>SUMIF(82:82,G22,83:83)-SUMIF(82:82,C22,83:83)+100</f>
        <v>100</v>
      </c>
      <c r="I21" s="2725" t="s">
        <v>2882</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t="s">
        <v>2878</v>
      </c>
      <c r="D22" s="428"/>
      <c r="E22" s="427" t="s">
        <v>2878</v>
      </c>
      <c r="F22" s="430"/>
      <c r="G22" s="427" t="s">
        <v>2878</v>
      </c>
      <c r="H22" s="428"/>
      <c r="I22" s="427" t="s">
        <v>2878</v>
      </c>
      <c r="J22" s="428"/>
      <c r="K22" s="2416"/>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3" t="str">
        <f>估价对象房地状况!C9</f>
        <v>自然环境：双榆树公园等；人文环境：觉生寺等，综合评价环境状况一般</v>
      </c>
      <c r="D23" s="431">
        <v>100</v>
      </c>
      <c r="E23" s="2723" t="s">
        <v>2902</v>
      </c>
      <c r="F23" s="434">
        <f>SUMIF(84:84,E24,85:85)-SUMIF(84:84,C24,85:85)+100</f>
        <v>100</v>
      </c>
      <c r="G23" s="2724" t="s">
        <v>2888</v>
      </c>
      <c r="H23" s="431">
        <f>SUMIF(84:84,G24,85:85)-SUMIF(84:84,C24,85:85)+100</f>
        <v>100</v>
      </c>
      <c r="I23" s="2723" t="s">
        <v>2888</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2889</v>
      </c>
      <c r="D26" s="416">
        <v>100</v>
      </c>
      <c r="E26" s="2417" t="s">
        <v>2889</v>
      </c>
      <c r="F26" s="443">
        <f>SUMIF(88:88,E26,89:89)-SUMIF(88:88,C26,89:89)+100</f>
        <v>100</v>
      </c>
      <c r="G26" s="2418" t="s">
        <v>2889</v>
      </c>
      <c r="H26" s="416">
        <f>SUMIF(88:88,G26,89:89)-SUMIF(88:88,C26,89:89)+100</f>
        <v>100</v>
      </c>
      <c r="I26" s="2417" t="s">
        <v>2889</v>
      </c>
      <c r="J26" s="416">
        <f>SUMIF(88:88,I26,89:89)-SUMIF(88:88,C26,89:89)+100</f>
        <v>100</v>
      </c>
      <c r="K26" s="407">
        <v>1</v>
      </c>
      <c r="L26" s="1255"/>
      <c r="M26" s="1246"/>
      <c r="N26" s="1246"/>
      <c r="O26" s="1246"/>
      <c r="P26" s="3040"/>
      <c r="Q26" s="1905" t="str">
        <f t="shared" si="11"/>
        <v>朝向</v>
      </c>
      <c r="R26" s="754" t="s">
        <v>28</v>
      </c>
      <c r="S26" s="755">
        <f>F26</f>
        <v>100</v>
      </c>
      <c r="T26" s="754" t="s">
        <v>28</v>
      </c>
      <c r="U26" s="755">
        <f>H26</f>
        <v>100</v>
      </c>
      <c r="V26" s="754" t="s">
        <v>28</v>
      </c>
      <c r="W26" s="755">
        <f>J26</f>
        <v>100</v>
      </c>
      <c r="X26" s="1906"/>
      <c r="Y26" s="3026"/>
      <c r="Z26" s="1908" t="str">
        <f>Q26</f>
        <v>朝向</v>
      </c>
      <c r="AA26" s="1909">
        <f t="shared" si="3"/>
        <v>1</v>
      </c>
      <c r="AB26" s="1909">
        <f t="shared" si="4"/>
        <v>1</v>
      </c>
      <c r="AC26" s="1909">
        <f t="shared" si="5"/>
        <v>1</v>
      </c>
    </row>
    <row r="27" spans="1:29" s="35" customFormat="1" ht="15">
      <c r="A27" s="412"/>
      <c r="B27" s="2406" t="s">
        <v>2370</v>
      </c>
      <c r="C27" s="2730" t="s">
        <v>2890</v>
      </c>
      <c r="D27" s="444">
        <v>100</v>
      </c>
      <c r="E27" s="2730" t="s">
        <v>2891</v>
      </c>
      <c r="F27" s="446">
        <f>SUMIF(90:90,E27,91:91)-SUMIF(90:90,C27,91:91)+100</f>
        <v>100</v>
      </c>
      <c r="G27" s="2730" t="s">
        <v>2891</v>
      </c>
      <c r="H27" s="444">
        <f>SUMIF(90:90,G27,91:91)-SUMIF(90:90,C27,91:91)+100</f>
        <v>100</v>
      </c>
      <c r="I27" s="2730" t="s">
        <v>2891</v>
      </c>
      <c r="J27" s="444">
        <f>SUMIF(90:90,I27,91:91)-SUMIF(90:90,C27,91:91)+100</f>
        <v>100</v>
      </c>
      <c r="K27" s="2407"/>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0" t="s">
        <v>2828</v>
      </c>
      <c r="C28" s="415" t="s">
        <v>2896</v>
      </c>
      <c r="D28" s="416">
        <v>100</v>
      </c>
      <c r="E28" s="2731" t="s">
        <v>2897</v>
      </c>
      <c r="F28" s="443">
        <f>SUMIF(92:92,E28,93:93)-SUMIF(92:92,C28,93:93)+100</f>
        <v>102</v>
      </c>
      <c r="G28" s="2731" t="s">
        <v>2898</v>
      </c>
      <c r="H28" s="416">
        <f>SUMIF(92:92,G28,93:93)-SUMIF(92:92,C28,93:93)+100</f>
        <v>100</v>
      </c>
      <c r="I28" s="2731" t="s">
        <v>2892</v>
      </c>
      <c r="J28" s="416">
        <f>SUMIF(92:92,I28,93:93)-SUMIF(92:92,C28,93:93)+100</f>
        <v>100</v>
      </c>
      <c r="K28" s="2407"/>
      <c r="L28" s="1255"/>
      <c r="M28" s="1246"/>
      <c r="N28" s="1246"/>
      <c r="O28" s="1246"/>
      <c r="P28" s="3040"/>
      <c r="Q28" s="1905" t="str">
        <f t="shared" si="11"/>
        <v>楼层</v>
      </c>
      <c r="R28" s="754" t="s">
        <v>28</v>
      </c>
      <c r="S28" s="755">
        <f t="shared" ref="S28:S46" si="12">F28</f>
        <v>102</v>
      </c>
      <c r="T28" s="754" t="s">
        <v>28</v>
      </c>
      <c r="U28" s="755">
        <f t="shared" ref="U28:U46" si="13">H28</f>
        <v>100</v>
      </c>
      <c r="V28" s="754" t="s">
        <v>28</v>
      </c>
      <c r="W28" s="755">
        <f t="shared" ref="W28:W46" si="14">J28</f>
        <v>100</v>
      </c>
      <c r="X28" s="1906"/>
      <c r="Y28" s="3026"/>
      <c r="Z28" s="1908" t="str">
        <f t="shared" ref="Z28:Z46" si="15">Q28</f>
        <v>楼层</v>
      </c>
      <c r="AA28" s="1909">
        <f t="shared" si="3"/>
        <v>0.98039215686274506</v>
      </c>
      <c r="AB28" s="1909">
        <f t="shared" si="4"/>
        <v>1</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0" t="s">
        <v>2877</v>
      </c>
      <c r="D32" s="449">
        <v>100</v>
      </c>
      <c r="E32" s="2421" t="s">
        <v>2877</v>
      </c>
      <c r="F32" s="443">
        <f>SUMIF(100:100,E32,101:101)-SUMIF(100:100,C32,101:101)+100</f>
        <v>100</v>
      </c>
      <c r="G32" s="2420" t="s">
        <v>2877</v>
      </c>
      <c r="H32" s="449">
        <f>SUMIF(100:100,G32,101:101)-SUMIF(100:100,C32,101:101)+100</f>
        <v>100</v>
      </c>
      <c r="I32" s="2421" t="s">
        <v>2877</v>
      </c>
      <c r="J32" s="416">
        <f>SUMIF(100:100,I32,101:101)-SUMIF(100:100,C32,101:101)+100</f>
        <v>100</v>
      </c>
      <c r="K32" s="407">
        <v>2</v>
      </c>
      <c r="L32" s="1255"/>
      <c r="M32" s="1246"/>
      <c r="N32" s="1246"/>
      <c r="O32" s="1246"/>
      <c r="P32" s="3027" t="s">
        <v>2373</v>
      </c>
      <c r="Q32" s="1905" t="str">
        <f t="shared" si="11"/>
        <v>建筑类型</v>
      </c>
      <c r="R32" s="754" t="s">
        <v>28</v>
      </c>
      <c r="S32" s="755">
        <f t="shared" si="12"/>
        <v>100</v>
      </c>
      <c r="T32" s="754" t="s">
        <v>28</v>
      </c>
      <c r="U32" s="755">
        <f t="shared" si="13"/>
        <v>100</v>
      </c>
      <c r="V32" s="754" t="s">
        <v>28</v>
      </c>
      <c r="W32" s="755">
        <f t="shared" si="14"/>
        <v>100</v>
      </c>
      <c r="X32" s="1906"/>
      <c r="Y32" s="3030" t="s">
        <v>2373</v>
      </c>
      <c r="Z32" s="1908" t="str">
        <f t="shared" si="15"/>
        <v>建筑类型</v>
      </c>
      <c r="AA32" s="1909">
        <f t="shared" si="3"/>
        <v>1</v>
      </c>
      <c r="AB32" s="1909">
        <f t="shared" si="4"/>
        <v>1</v>
      </c>
      <c r="AC32" s="1909">
        <f t="shared" si="5"/>
        <v>1</v>
      </c>
    </row>
    <row r="33" spans="1:29" s="453" customFormat="1" ht="15">
      <c r="A33" s="450"/>
      <c r="B33" s="403" t="s">
        <v>2374</v>
      </c>
      <c r="C33" s="451">
        <v>103.5</v>
      </c>
      <c r="D33" s="52">
        <v>100</v>
      </c>
      <c r="E33" s="411">
        <v>123.07</v>
      </c>
      <c r="F33" s="406">
        <f>LOOKUP(E33,103:103,104:104)-LOOKUP(C33,103:103,104:104)+100</f>
        <v>97</v>
      </c>
      <c r="G33" s="410">
        <v>103.5</v>
      </c>
      <c r="H33" s="52">
        <f>LOOKUP(G33,103:103,104:104)-LOOKUP(C33,103:103,104:104)+100</f>
        <v>100</v>
      </c>
      <c r="I33" s="411">
        <v>99.77</v>
      </c>
      <c r="J33" s="52">
        <f>LOOKUP(I33,103:103,104:104)-LOOKUP(C33,103:103,104:104)+100</f>
        <v>100</v>
      </c>
      <c r="K33" s="2407"/>
      <c r="L33" s="1253"/>
      <c r="M33" s="1256"/>
      <c r="N33" s="1256"/>
      <c r="O33" s="1256"/>
      <c r="P33" s="3028"/>
      <c r="Q33" s="756" t="str">
        <f t="shared" si="11"/>
        <v>项目建筑规模</v>
      </c>
      <c r="R33" s="757" t="s">
        <v>28</v>
      </c>
      <c r="S33" s="758">
        <f t="shared" si="12"/>
        <v>97</v>
      </c>
      <c r="T33" s="757" t="s">
        <v>28</v>
      </c>
      <c r="U33" s="758">
        <f t="shared" si="13"/>
        <v>100</v>
      </c>
      <c r="V33" s="757" t="s">
        <v>28</v>
      </c>
      <c r="W33" s="758">
        <f t="shared" si="14"/>
        <v>100</v>
      </c>
      <c r="X33" s="759"/>
      <c r="Y33" s="3030"/>
      <c r="Z33" s="760" t="str">
        <f t="shared" si="15"/>
        <v>项目建筑规模</v>
      </c>
      <c r="AA33" s="1909">
        <f t="shared" si="3"/>
        <v>1.0309278350515463</v>
      </c>
      <c r="AB33" s="1909">
        <f t="shared" si="4"/>
        <v>1</v>
      </c>
      <c r="AC33" s="1909">
        <f t="shared" si="5"/>
        <v>1</v>
      </c>
    </row>
    <row r="34" spans="1:29" ht="15">
      <c r="A34" s="454"/>
      <c r="B34" s="403" t="s">
        <v>2375</v>
      </c>
      <c r="C34" s="2422" t="s">
        <v>2893</v>
      </c>
      <c r="D34" s="416">
        <v>100</v>
      </c>
      <c r="E34" s="2423" t="s">
        <v>2893</v>
      </c>
      <c r="F34" s="443">
        <f>SUMIF(105:105,E34,106:106)-SUMIF(105:105,C34,106:106)+100</f>
        <v>100</v>
      </c>
      <c r="G34" s="2422" t="s">
        <v>2893</v>
      </c>
      <c r="H34" s="416">
        <f>SUMIF(105:105,G34,106:106)-SUMIF(105:105,C34,106:106)+100</f>
        <v>100</v>
      </c>
      <c r="I34" s="2423" t="s">
        <v>2893</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8" t="s">
        <v>2858</v>
      </c>
      <c r="D36" s="416">
        <v>100</v>
      </c>
      <c r="E36" s="2417" t="s">
        <v>2858</v>
      </c>
      <c r="F36" s="443">
        <f>SUMIF(109:109,E36,110:110)-SUMIF(109:109,C36,110:110)+100</f>
        <v>100</v>
      </c>
      <c r="G36" s="2418" t="s">
        <v>2858</v>
      </c>
      <c r="H36" s="416">
        <f>SUMIF(109:109,G36,110:110)-SUMIF(109:109,C36,110:110)+100</f>
        <v>100</v>
      </c>
      <c r="I36" s="2417" t="s">
        <v>2858</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8" t="s">
        <v>2861</v>
      </c>
      <c r="D38" s="416">
        <v>100</v>
      </c>
      <c r="E38" s="2417" t="s">
        <v>2861</v>
      </c>
      <c r="F38" s="443">
        <f>SUMIF(114:114,E38,115:115)-SUMIF(114:114,C38,115:115)+100</f>
        <v>100</v>
      </c>
      <c r="G38" s="2418" t="s">
        <v>2861</v>
      </c>
      <c r="H38" s="416">
        <f>SUMIF(114:114,G38,115:115)-SUMIF(114:114,C38,115:115)+100</f>
        <v>100</v>
      </c>
      <c r="I38" s="2417" t="s">
        <v>2861</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8" t="s">
        <v>2878</v>
      </c>
      <c r="D39" s="416">
        <v>100</v>
      </c>
      <c r="E39" s="2417" t="s">
        <v>2878</v>
      </c>
      <c r="F39" s="443">
        <f>SUMIF(116:116,E39,117:117)-SUMIF(116:116,C39,117:117)+100</f>
        <v>100</v>
      </c>
      <c r="G39" s="2418" t="s">
        <v>2878</v>
      </c>
      <c r="H39" s="416">
        <f>SUMIF(116:116,G39,117:117)-SUMIF(116:116,C39,117:117)+100</f>
        <v>100</v>
      </c>
      <c r="I39" s="2417" t="s">
        <v>2878</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8" t="s">
        <v>2894</v>
      </c>
      <c r="D40" s="416">
        <v>100</v>
      </c>
      <c r="E40" s="2417" t="s">
        <v>2894</v>
      </c>
      <c r="F40" s="443">
        <f>SUMIF(118:118,E40,119:119)-SUMIF(118:118,C40,119:119)+100</f>
        <v>100</v>
      </c>
      <c r="G40" s="2418" t="s">
        <v>2894</v>
      </c>
      <c r="H40" s="416">
        <f>SUMIF(118:118,G40,119:119)-SUMIF(118:118,C40,119:119)+100</f>
        <v>100</v>
      </c>
      <c r="I40" s="2417" t="s">
        <v>2894</v>
      </c>
      <c r="J40" s="416">
        <f>SUMIF(118:118,I40,119:119)-SUMIF(118:118,C40,119:119)+100</f>
        <v>100</v>
      </c>
      <c r="K40" s="407">
        <v>5</v>
      </c>
      <c r="L40" s="1255"/>
      <c r="M40" s="1246"/>
      <c r="N40" s="1246"/>
      <c r="O40" s="1246"/>
      <c r="P40" s="3028"/>
      <c r="Q40" s="1905" t="str">
        <f t="shared" si="11"/>
        <v>房型</v>
      </c>
      <c r="R40" s="754" t="s">
        <v>28</v>
      </c>
      <c r="S40" s="755">
        <f t="shared" si="12"/>
        <v>100</v>
      </c>
      <c r="T40" s="754" t="s">
        <v>28</v>
      </c>
      <c r="U40" s="755">
        <f t="shared" si="13"/>
        <v>100</v>
      </c>
      <c r="V40" s="754" t="s">
        <v>28</v>
      </c>
      <c r="W40" s="755">
        <f t="shared" si="14"/>
        <v>100</v>
      </c>
      <c r="X40" s="1906"/>
      <c r="Y40" s="303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8" t="s">
        <v>2895</v>
      </c>
      <c r="D42" s="416">
        <v>100</v>
      </c>
      <c r="E42" s="2417" t="s">
        <v>2895</v>
      </c>
      <c r="F42" s="443">
        <f>SUMIF(122:122,E42,123:123)-SUMIF(122:122,C42,123:123)+100</f>
        <v>100</v>
      </c>
      <c r="G42" s="2418" t="s">
        <v>2895</v>
      </c>
      <c r="H42" s="416">
        <f>SUMIF(122:122,G42,123:123)-SUMIF(122:122,C42,123:123)+100</f>
        <v>100</v>
      </c>
      <c r="I42" s="2417" t="s">
        <v>2869</v>
      </c>
      <c r="J42" s="416">
        <f>SUMIF(122:122,I42,123:123)-SUMIF(122:122,C42,123:123)+100</f>
        <v>102</v>
      </c>
      <c r="K42" s="407">
        <v>1</v>
      </c>
      <c r="L42" s="1255"/>
      <c r="M42" s="1246"/>
      <c r="N42" s="1246"/>
      <c r="O42" s="1246"/>
      <c r="P42" s="3028"/>
      <c r="Q42" s="1905" t="str">
        <f t="shared" si="11"/>
        <v>内部装修</v>
      </c>
      <c r="R42" s="754" t="s">
        <v>28</v>
      </c>
      <c r="S42" s="755">
        <f t="shared" si="12"/>
        <v>100</v>
      </c>
      <c r="T42" s="754" t="s">
        <v>28</v>
      </c>
      <c r="U42" s="755">
        <f t="shared" si="13"/>
        <v>100</v>
      </c>
      <c r="V42" s="754" t="s">
        <v>28</v>
      </c>
      <c r="W42" s="755">
        <f t="shared" si="14"/>
        <v>102</v>
      </c>
      <c r="X42" s="1906"/>
      <c r="Y42" s="3030"/>
      <c r="Z42" s="1908" t="str">
        <f t="shared" si="15"/>
        <v>内部装修</v>
      </c>
      <c r="AA42" s="1909">
        <f t="shared" si="3"/>
        <v>1</v>
      </c>
      <c r="AB42" s="1909">
        <f t="shared" si="4"/>
        <v>1</v>
      </c>
      <c r="AC42" s="1909">
        <f t="shared" si="5"/>
        <v>0.98039215686274506</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0" t="s">
        <v>2827</v>
      </c>
      <c r="C44" s="451">
        <v>2000</v>
      </c>
      <c r="D44" s="52">
        <v>100</v>
      </c>
      <c r="E44" s="451">
        <v>1999</v>
      </c>
      <c r="F44" s="406">
        <f>SUMIF(126:126,E44,127:127)-SUMIF(126:126,C44,127:127)+100</f>
        <v>99.5</v>
      </c>
      <c r="G44" s="451">
        <v>2000</v>
      </c>
      <c r="H44" s="52">
        <f>SUMIF(126:126,G44,127:127)-SUMIF(126:126,C44,127:127)+100</f>
        <v>100</v>
      </c>
      <c r="I44" s="451">
        <v>1999</v>
      </c>
      <c r="J44" s="52">
        <f>SUMIF(126:126,I44,127:127)-SUMIF(126:126,C44,127:127)+100</f>
        <v>99.5</v>
      </c>
      <c r="K44" s="2407"/>
      <c r="L44" s="1247"/>
      <c r="M44" s="1248"/>
      <c r="N44" s="1248"/>
      <c r="O44" s="1248"/>
      <c r="P44" s="3028"/>
      <c r="Q44" s="1893" t="str">
        <f t="shared" si="11"/>
        <v>建成年代</v>
      </c>
      <c r="R44" s="750" t="s">
        <v>28</v>
      </c>
      <c r="S44" s="751">
        <f t="shared" si="12"/>
        <v>99.5</v>
      </c>
      <c r="T44" s="750" t="s">
        <v>28</v>
      </c>
      <c r="U44" s="751">
        <f t="shared" si="13"/>
        <v>100</v>
      </c>
      <c r="V44" s="750" t="s">
        <v>28</v>
      </c>
      <c r="W44" s="751">
        <f t="shared" si="14"/>
        <v>99.5</v>
      </c>
      <c r="X44" s="752"/>
      <c r="Y44" s="3030"/>
      <c r="Z44" s="23" t="str">
        <f t="shared" si="15"/>
        <v>建成年代</v>
      </c>
      <c r="AA44" s="753">
        <f t="shared" si="3"/>
        <v>1.0050251256281406</v>
      </c>
      <c r="AB44" s="753">
        <f t="shared" si="4"/>
        <v>1</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82068</v>
      </c>
      <c r="F47" s="1507"/>
      <c r="G47" s="1508">
        <v>84058</v>
      </c>
      <c r="H47" s="1509"/>
      <c r="I47" s="1506">
        <v>92213</v>
      </c>
      <c r="J47" s="1509"/>
      <c r="K47" s="2424"/>
      <c r="L47" s="1258"/>
      <c r="M47" s="1259"/>
      <c r="N47" s="1246"/>
      <c r="O47" s="1259"/>
      <c r="P47" s="3037" t="str">
        <f>A47</f>
        <v>成交单价（元/平方米）</v>
      </c>
      <c r="Q47" s="3037"/>
      <c r="R47" s="3038">
        <f>E47</f>
        <v>82068</v>
      </c>
      <c r="S47" s="3038"/>
      <c r="T47" s="3038">
        <f>G47</f>
        <v>84058</v>
      </c>
      <c r="U47" s="3038"/>
      <c r="V47" s="3038">
        <f>I47</f>
        <v>92213</v>
      </c>
      <c r="W47" s="3038"/>
      <c r="X47" s="739"/>
      <c r="Y47" s="761"/>
      <c r="Z47" s="739"/>
      <c r="AA47" s="739"/>
      <c r="AB47" s="739"/>
      <c r="AC47" s="739"/>
    </row>
    <row r="48" spans="1:29" ht="15.75" thickBot="1">
      <c r="A48" s="468" t="s">
        <v>2386</v>
      </c>
      <c r="B48" s="469"/>
      <c r="C48" s="1510">
        <f>R49</f>
        <v>84821</v>
      </c>
      <c r="D48" s="1511"/>
      <c r="E48" s="1512">
        <f>R48</f>
        <v>82132</v>
      </c>
      <c r="F48" s="1512"/>
      <c r="G48" s="1510">
        <f>T48</f>
        <v>82816</v>
      </c>
      <c r="H48" s="1511"/>
      <c r="I48" s="1512">
        <f>V48</f>
        <v>89516</v>
      </c>
      <c r="J48" s="1511"/>
      <c r="K48" s="2425"/>
      <c r="L48" s="1258"/>
      <c r="M48" s="1259"/>
      <c r="N48" s="1259"/>
      <c r="O48" s="1259"/>
      <c r="P48" s="3037" t="str">
        <f>A48</f>
        <v>比较价值（元/平方米）</v>
      </c>
      <c r="Q48" s="3037"/>
      <c r="R48" s="3038">
        <f>IF(E1="售价",ROUND(PRODUCT(R47,AA7:AA46),0),ROUND(PRODUCT(R47,AA7:AA46),1))</f>
        <v>82132</v>
      </c>
      <c r="S48" s="3038"/>
      <c r="T48" s="3041">
        <f>IF(E1="售价",ROUND(PRODUCT(T47,AB7:AB46),0),ROUND(PRODUCT(T47,AB7:AB46),1))</f>
        <v>82816</v>
      </c>
      <c r="U48" s="3042"/>
      <c r="V48" s="3038">
        <f>IF(E1="售价",ROUND(PRODUCT(V47,AC7:AC46),0),ROUND(PRODUCT(V47,AC7:AC46),1))</f>
        <v>89516</v>
      </c>
      <c r="W48" s="3038"/>
      <c r="X48" s="739"/>
      <c r="Y48" s="739"/>
      <c r="Z48" s="739"/>
      <c r="AA48" s="739"/>
      <c r="AB48" s="739"/>
      <c r="AC48" s="739"/>
    </row>
    <row r="49" spans="1:29" ht="15.75" thickBot="1">
      <c r="A49" s="474" t="s">
        <v>2387</v>
      </c>
      <c r="B49" s="475"/>
      <c r="C49" s="1513">
        <f>R49</f>
        <v>84821</v>
      </c>
      <c r="D49" s="1514"/>
      <c r="E49" s="1514"/>
      <c r="F49" s="1514"/>
      <c r="G49" s="1514"/>
      <c r="H49" s="1514"/>
      <c r="I49" s="1514"/>
      <c r="J49" s="1514"/>
      <c r="K49" s="2426"/>
      <c r="L49" s="1258"/>
      <c r="M49" s="1259"/>
      <c r="N49" s="1259"/>
      <c r="O49" s="1259"/>
      <c r="P49" s="3043" t="str">
        <f>A49</f>
        <v>估价对象XX用房的比较价值（楼面单价，元/平方米）</v>
      </c>
      <c r="Q49" s="3044"/>
      <c r="R49" s="3045">
        <f>IF(E1="售价",ROUND(AVERAGE(R48:V48),0),ROUND(AVERAGE(R48:V48),1))</f>
        <v>84821</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7.7984110737427947E-4</v>
      </c>
      <c r="F52" s="482" t="str">
        <f>IF(OR(E52&gt;=0.3,E52&lt;=-0.3),"超过30%","")</f>
        <v/>
      </c>
      <c r="G52" s="481">
        <f>IF(G47&lt;G48,G48/G47-1,G47/G48-1)</f>
        <v>1.4997102009273622E-2</v>
      </c>
      <c r="H52" s="482" t="str">
        <f>IF(OR(G52&gt;=0.3,G52&lt;=-0.3),"超过30%","")</f>
        <v/>
      </c>
      <c r="I52" s="481">
        <f>IF(I47&lt;I48,I48/I47-1,I47/I48-1)</f>
        <v>3.0128692077393993E-2</v>
      </c>
      <c r="J52" s="482" t="str">
        <f>IF(OR(I52&gt;=0.3,I52&lt;=-0.3),"超过30%","")</f>
        <v/>
      </c>
      <c r="K52" s="1264"/>
      <c r="L52" s="1260"/>
      <c r="M52" s="1259"/>
      <c r="N52" s="1259"/>
      <c r="O52" s="1259"/>
    </row>
    <row r="53" spans="1:29" ht="13.5" customHeight="1">
      <c r="A53" s="1259"/>
      <c r="B53" s="1259"/>
      <c r="C53" s="479" t="s">
        <v>2389</v>
      </c>
      <c r="D53" s="483"/>
      <c r="E53" s="481">
        <f>IF(E48&lt;G48,G48/E48-1,E48/G48-1)</f>
        <v>8.3280572736570413E-3</v>
      </c>
      <c r="F53" s="482" t="str">
        <f>IF(OR(E53&gt;=0.2,E53&lt;=-0.2),"超过20%","")</f>
        <v/>
      </c>
      <c r="G53" s="481">
        <f>IF(G48&lt;I48,I48/G48-1,G48/I48-1)</f>
        <v>8.0902241112828399E-2</v>
      </c>
      <c r="H53" s="482" t="str">
        <f>IF(OR(G53&gt;=0.2,G53&lt;=-0.2),"超过20%","")</f>
        <v/>
      </c>
      <c r="I53" s="481">
        <f>IF(I48&lt;E48,E48/I48-1,I48/E48-1)</f>
        <v>8.9904056884040351E-2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2.4248184432421827E-2</v>
      </c>
      <c r="F54" s="482" t="str">
        <f>IF(OR(E54&gt;=0.3,E54&lt;=-0.3),"超过30%","")</f>
        <v/>
      </c>
      <c r="G54" s="481">
        <f>IF(G47&lt;I47,I47/G47-1,G47/I47-1)</f>
        <v>9.7016345856432373E-2</v>
      </c>
      <c r="H54" s="482" t="str">
        <f>IF(OR(G54&gt;=0.3,G54&lt;=-0.3),"超过30%","")</f>
        <v/>
      </c>
      <c r="I54" s="481">
        <f>IF(I47&lt;E47,E47/I47-1,I47/E47-1)</f>
        <v>0.12361700053614078</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2830</v>
      </c>
      <c r="D88" s="2728" t="s">
        <v>2831</v>
      </c>
      <c r="E88" s="2728" t="s">
        <v>2832</v>
      </c>
      <c r="F88" s="2728" t="s">
        <v>2833</v>
      </c>
      <c r="G88" s="2728" t="s">
        <v>2834</v>
      </c>
      <c r="H88" s="2728" t="s">
        <v>2835</v>
      </c>
      <c r="I88" s="2728" t="s">
        <v>2836</v>
      </c>
      <c r="J88" s="2728" t="s">
        <v>2837</v>
      </c>
      <c r="K88" s="2728" t="s">
        <v>2838</v>
      </c>
      <c r="L88" s="2729" t="s">
        <v>2839</v>
      </c>
      <c r="M88" s="566"/>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2840</v>
      </c>
      <c r="D90" s="2728" t="s">
        <v>2841</v>
      </c>
      <c r="E90" s="2728" t="s">
        <v>2842</v>
      </c>
      <c r="F90" s="2728" t="s">
        <v>2843</v>
      </c>
      <c r="G90" s="2728" t="s">
        <v>2844</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2896</v>
      </c>
      <c r="D92" s="2731" t="s">
        <v>2897</v>
      </c>
      <c r="E92" s="2731" t="s">
        <v>2899</v>
      </c>
      <c r="F92" s="2731"/>
      <c r="G92" s="568"/>
      <c r="H92" s="568"/>
      <c r="I92" s="568"/>
      <c r="J92" s="568"/>
      <c r="K92" s="569"/>
      <c r="L92" s="570"/>
      <c r="M92" s="571"/>
      <c r="N92" s="1269"/>
      <c r="O92" s="1269"/>
      <c r="P92" s="2433"/>
      <c r="Q92" s="486"/>
    </row>
    <row r="93" spans="1:17" ht="15.75" thickBot="1">
      <c r="A93" s="517"/>
      <c r="B93" s="527"/>
      <c r="C93" s="545">
        <v>100</v>
      </c>
      <c r="D93" s="519">
        <v>102</v>
      </c>
      <c r="E93" s="519">
        <v>100</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2845</v>
      </c>
      <c r="D100" s="2732" t="s">
        <v>2846</v>
      </c>
      <c r="E100" s="2733" t="s">
        <v>2849</v>
      </c>
      <c r="F100" s="2732" t="s">
        <v>2847</v>
      </c>
      <c r="G100" s="2732" t="s">
        <v>2848</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2850</v>
      </c>
      <c r="D105" s="2728" t="s">
        <v>2851</v>
      </c>
      <c r="E105" s="2734" t="s">
        <v>2852</v>
      </c>
      <c r="F105" s="2734" t="s">
        <v>2853</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2854</v>
      </c>
      <c r="D107" s="2728" t="s">
        <v>2855</v>
      </c>
      <c r="E107" s="2728" t="s">
        <v>2856</v>
      </c>
      <c r="F107" s="2734" t="s">
        <v>2857</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2854</v>
      </c>
      <c r="D109" s="2728" t="s">
        <v>2855</v>
      </c>
      <c r="E109" s="2728" t="s">
        <v>2856</v>
      </c>
      <c r="F109" s="2734" t="s">
        <v>2857</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2859</v>
      </c>
      <c r="D114" s="2728" t="s">
        <v>2860</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2862</v>
      </c>
      <c r="D116" s="2728" t="s">
        <v>2863</v>
      </c>
      <c r="E116" s="2728" t="s">
        <v>2864</v>
      </c>
      <c r="F116" s="2728" t="s">
        <v>2865</v>
      </c>
      <c r="G116" s="2728" t="s">
        <v>2866</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2867</v>
      </c>
      <c r="D118" s="2734" t="s">
        <v>2868</v>
      </c>
      <c r="E118" s="2736" t="s">
        <v>2879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2854</v>
      </c>
      <c r="D122" s="2728" t="s">
        <v>2855</v>
      </c>
      <c r="E122" s="2728" t="s">
        <v>2856</v>
      </c>
      <c r="F122" s="2734" t="s">
        <v>2857</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1" workbookViewId="0">
      <selection activeCell="F143" sqref="F143"/>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36" t="s">
        <v>1229</v>
      </c>
      <c r="B1" s="1836">
        <f>SUM(B14:B23)</f>
        <v>103.5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43032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782.13919999999996</v>
      </c>
      <c r="C5" s="1836">
        <f ca="1">ROUND(B5*10000/$B$1,0)</f>
        <v>75569</v>
      </c>
      <c r="D5" s="1836" t="e">
        <f ca="1">ROUND(B5*10000/$B$2,0)</f>
        <v>#DIV/0!</v>
      </c>
      <c r="E5" s="1837"/>
      <c r="F5" s="1841"/>
      <c r="G5" s="1841"/>
    </row>
    <row r="6" spans="1:9" ht="16.5">
      <c r="A6" s="1836" t="s">
        <v>1237</v>
      </c>
      <c r="B6" s="1836">
        <f ca="1">SUM(G14:G23)</f>
        <v>782.13919999999996</v>
      </c>
      <c r="C6" s="1836">
        <f t="shared" ref="C6:C8" ca="1" si="0">ROUND(B6*10000/$B$1,0)</f>
        <v>75569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2873</v>
      </c>
      <c r="B14" s="1840">
        <f>项目基本情况!C12</f>
        <v>103.5</v>
      </c>
      <c r="C14" s="1840">
        <f>项目基本情况!C13</f>
        <v>0</v>
      </c>
      <c r="D14" s="1840">
        <f ca="1">IF('数据-取费表'!B3="万元",IF(A14="估价对象1（结果表）",结果表!H121,'结果表 (1修多)'!H124),IF(A14="估价对象1（结果表）",结果表!H121,'结果表 (1修多)'!H124)/10000)</f>
        <v>782.13919999999996</v>
      </c>
      <c r="E14" s="1840">
        <f ca="1">ROUND(D14*10000/B14,0)</f>
        <v>75569</v>
      </c>
      <c r="F14" s="1840" t="e">
        <f ca="1">ROUND(D14*10000/C14,0)</f>
        <v>#DIV/0!</v>
      </c>
      <c r="G14" s="1840">
        <f ca="1">IF('数据-取费表'!B3="万元",IF(A14="估价对象1（结果表）",结果表!D125,'结果表 (1修多)'!D128),IF(A14="估价对象1（结果表）",结果表!D125,'结果表 (1修多)'!D128)/10000)</f>
        <v>782.13919999999996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103.5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43032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213.75">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71.25">
      <c r="A23" s="409"/>
      <c r="B23" s="432" t="s">
        <v>1756</v>
      </c>
      <c r="C23" s="2464" t="str">
        <f>估价对象房地状况!C9</f>
        <v>自然环境：双榆树公园等；人文环境：觉生寺等，综合评价环境状况一般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103.5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213.75">
      <c r="A17" s="409"/>
      <c r="B17" s="616" t="s">
        <v>1751</v>
      </c>
      <c r="C17" s="2475"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71.25">
      <c r="A23" s="409"/>
      <c r="B23" s="616" t="s">
        <v>2484</v>
      </c>
      <c r="C23" s="2475" t="str">
        <f>估价对象房地状况!C9</f>
        <v>自然环境：双榆树公园等；人文环境：觉生寺等，综合评价环境状况一般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2017-10</v>
      </c>
      <c r="D59" s="1685">
        <f>EDATE(C59,-1)</f>
        <v>42979</v>
      </c>
      <c r="E59" s="1685">
        <f t="shared" ref="E59:O59" si="16">EDATE(D59,-1)</f>
        <v>42948</v>
      </c>
      <c r="F59" s="1685">
        <f t="shared" si="16"/>
        <v>42917</v>
      </c>
      <c r="G59" s="1685">
        <f t="shared" si="16"/>
        <v>42887</v>
      </c>
      <c r="H59" s="1685">
        <f t="shared" si="16"/>
        <v>42856</v>
      </c>
      <c r="I59" s="1685">
        <f t="shared" si="16"/>
        <v>42826</v>
      </c>
      <c r="J59" s="1685">
        <f t="shared" si="16"/>
        <v>42795</v>
      </c>
      <c r="K59" s="1685">
        <f t="shared" si="16"/>
        <v>42767</v>
      </c>
      <c r="L59" s="1685">
        <f t="shared" si="16"/>
        <v>42736</v>
      </c>
      <c r="M59" s="1685">
        <f t="shared" si="16"/>
        <v>42705</v>
      </c>
      <c r="N59" s="1685">
        <f t="shared" si="16"/>
        <v>42675</v>
      </c>
      <c r="O59" s="1685">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2017-10</v>
      </c>
      <c r="D52" s="1685">
        <f>EDATE(C52,-1)</f>
        <v>42979</v>
      </c>
      <c r="E52" s="1686">
        <f t="shared" ref="E52:O52" si="16">EDATE(D52,-1)</f>
        <v>42948</v>
      </c>
      <c r="F52" s="1686">
        <f t="shared" si="16"/>
        <v>42917</v>
      </c>
      <c r="G52" s="1686">
        <f t="shared" si="16"/>
        <v>42887</v>
      </c>
      <c r="H52" s="1686">
        <f t="shared" si="16"/>
        <v>42856</v>
      </c>
      <c r="I52" s="1686">
        <f t="shared" si="16"/>
        <v>42826</v>
      </c>
      <c r="J52" s="1686">
        <f t="shared" si="16"/>
        <v>42795</v>
      </c>
      <c r="K52" s="1686">
        <f t="shared" si="16"/>
        <v>42767</v>
      </c>
      <c r="L52" s="1686">
        <f t="shared" si="16"/>
        <v>42736</v>
      </c>
      <c r="M52" s="1686">
        <f t="shared" si="16"/>
        <v>42705</v>
      </c>
      <c r="N52" s="1686">
        <f t="shared" si="16"/>
        <v>42675</v>
      </c>
      <c r="O52" s="1686">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103.5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213.75">
      <c r="A14" s="381" t="s">
        <v>2366</v>
      </c>
      <c r="B14" s="614" t="s">
        <v>2510</v>
      </c>
      <c r="C14" s="1482"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71.25">
      <c r="A20" s="384"/>
      <c r="B20" s="616" t="s">
        <v>2511</v>
      </c>
      <c r="C20" s="1484" t="str">
        <f>IF(B1="工业",估价对象房地状况!G7,估价对象房地状况!C9)</f>
        <v>自然环境：双榆树公园等；人文环境：觉生寺等，综合评价环境状况一般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2017-10</v>
      </c>
      <c r="D48" s="1685">
        <f>EDATE(C48,-1)</f>
        <v>42979</v>
      </c>
      <c r="E48" s="1685">
        <f t="shared" ref="E48:O48" si="16">EDATE(D48,-1)</f>
        <v>42948</v>
      </c>
      <c r="F48" s="1685">
        <f t="shared" si="16"/>
        <v>42917</v>
      </c>
      <c r="G48" s="1685">
        <f t="shared" si="16"/>
        <v>42887</v>
      </c>
      <c r="H48" s="1685">
        <f t="shared" si="16"/>
        <v>42856</v>
      </c>
      <c r="I48" s="1685">
        <f t="shared" si="16"/>
        <v>42826</v>
      </c>
      <c r="J48" s="1685">
        <f t="shared" si="16"/>
        <v>42795</v>
      </c>
      <c r="K48" s="1685">
        <f t="shared" si="16"/>
        <v>42767</v>
      </c>
      <c r="L48" s="1685">
        <f t="shared" si="16"/>
        <v>42736</v>
      </c>
      <c r="M48" s="1685">
        <f t="shared" si="16"/>
        <v>42705</v>
      </c>
      <c r="N48" s="1685">
        <f t="shared" si="16"/>
        <v>42675</v>
      </c>
      <c r="O48" s="1685">
        <f t="shared" si="16"/>
        <v>42644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213.75">
      <c r="A14" s="420" t="s">
        <v>2366</v>
      </c>
      <c r="B14" s="26" t="s">
        <v>2510</v>
      </c>
      <c r="C14" s="2486"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71.25">
      <c r="A20" s="409"/>
      <c r="B20" s="432" t="s">
        <v>2511</v>
      </c>
      <c r="C20" s="2413" t="str">
        <f>IF(B1="工业",估价对象房地状况!G7,估价对象房地状况!C9)</f>
        <v>自然环境：双榆树公园等；人文环境：觉生寺等，综合评价环境状况一般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2017-10</v>
      </c>
      <c r="D46" s="1685">
        <f>EDATE(C46,-1)</f>
        <v>42979</v>
      </c>
      <c r="E46" s="1685">
        <f t="shared" ref="E46:O46" si="16">EDATE(D46,-1)</f>
        <v>42948</v>
      </c>
      <c r="F46" s="1685">
        <f t="shared" si="16"/>
        <v>42917</v>
      </c>
      <c r="G46" s="1685">
        <f t="shared" si="16"/>
        <v>42887</v>
      </c>
      <c r="H46" s="1685">
        <f t="shared" si="16"/>
        <v>42856</v>
      </c>
      <c r="I46" s="1685">
        <f t="shared" si="16"/>
        <v>42826</v>
      </c>
      <c r="J46" s="1685">
        <f t="shared" si="16"/>
        <v>42795</v>
      </c>
      <c r="K46" s="1685">
        <f t="shared" si="16"/>
        <v>42767</v>
      </c>
      <c r="L46" s="1685">
        <f t="shared" si="16"/>
        <v>42736</v>
      </c>
      <c r="M46" s="1685">
        <f t="shared" si="16"/>
        <v>42705</v>
      </c>
      <c r="N46" s="1685">
        <f t="shared" si="16"/>
        <v>42675</v>
      </c>
      <c r="O46" s="1685">
        <f t="shared" si="16"/>
        <v>42644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2017年10月24日（评估专业人员实地查勘之日）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43032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4" t="str">
        <f>估价对象房地状况!C15</f>
        <v>估价对象周边有满庭芳园、太阳园、双榆树北路小区、金谷园、青云北区等居住小区，小区规模和社区发展完善程度较好，综合评价居住社区成熟度好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213.75">
      <c r="A21" s="384"/>
      <c r="B21" s="1491" t="s">
        <v>2510</v>
      </c>
      <c r="C21" s="2475"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26"/>
      <c r="Q24" s="1905"/>
      <c r="R24" s="754"/>
      <c r="S24" s="755"/>
      <c r="T24" s="754"/>
      <c r="U24" s="755"/>
      <c r="V24" s="754"/>
      <c r="W24" s="755"/>
      <c r="X24" s="1906"/>
      <c r="Y24" s="3026"/>
      <c r="Z24" s="1908"/>
      <c r="AA24" s="1909"/>
      <c r="AB24" s="1909"/>
      <c r="AC24" s="1909"/>
    </row>
    <row r="25" spans="1:29" ht="71.25">
      <c r="A25" s="384"/>
      <c r="B25" s="1493" t="s">
        <v>2551</v>
      </c>
      <c r="C25" s="2492" t="str">
        <f>估价对象房地状况!C20</f>
        <v>自然环境：双榆树公园等；人文环境：觉生寺等，综合评价环境状况一般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2017-10-1</v>
      </c>
      <c r="D68" s="1676">
        <f>EDATE(C68,-3)</f>
        <v>42917</v>
      </c>
      <c r="E68" s="1676">
        <f t="shared" ref="E68:O68" si="18">EDATE(D68,-3)</f>
        <v>42826</v>
      </c>
      <c r="F68" s="1676">
        <f t="shared" si="18"/>
        <v>42736</v>
      </c>
      <c r="G68" s="1676">
        <f t="shared" si="18"/>
        <v>42644</v>
      </c>
      <c r="H68" s="1676">
        <f t="shared" si="18"/>
        <v>42552</v>
      </c>
      <c r="I68" s="1676">
        <f t="shared" si="18"/>
        <v>42461</v>
      </c>
      <c r="J68" s="1676">
        <f t="shared" si="18"/>
        <v>42370</v>
      </c>
      <c r="K68" s="1676">
        <f t="shared" si="18"/>
        <v>42278</v>
      </c>
      <c r="L68" s="1676">
        <f t="shared" si="18"/>
        <v>42186</v>
      </c>
      <c r="M68" s="1676">
        <f t="shared" si="18"/>
        <v>42095</v>
      </c>
      <c r="N68" s="1676">
        <f t="shared" si="18"/>
        <v>42005</v>
      </c>
      <c r="O68" s="1676">
        <f t="shared" si="18"/>
        <v>41913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2017-10-1</v>
      </c>
      <c r="D63" s="1676">
        <f>EDATE(C63,-3)</f>
        <v>42917</v>
      </c>
      <c r="E63" s="1676">
        <f t="shared" ref="E63:O63" si="18">EDATE(D63,-3)</f>
        <v>42826</v>
      </c>
      <c r="F63" s="1676">
        <f t="shared" si="18"/>
        <v>42736</v>
      </c>
      <c r="G63" s="1676">
        <f t="shared" si="18"/>
        <v>42644</v>
      </c>
      <c r="H63" s="1676">
        <f t="shared" si="18"/>
        <v>42552</v>
      </c>
      <c r="I63" s="1676">
        <f t="shared" si="18"/>
        <v>42461</v>
      </c>
      <c r="J63" s="1676">
        <f t="shared" si="18"/>
        <v>42370</v>
      </c>
      <c r="K63" s="1676">
        <f t="shared" si="18"/>
        <v>42278</v>
      </c>
      <c r="L63" s="1676">
        <f t="shared" si="18"/>
        <v>42186</v>
      </c>
      <c r="M63" s="1676">
        <f t="shared" si="18"/>
        <v>42095</v>
      </c>
      <c r="N63" s="1676">
        <f t="shared" si="18"/>
        <v>42005</v>
      </c>
      <c r="O63" s="1676">
        <f t="shared" si="18"/>
        <v>41913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60"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43032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51.5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70"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27.5">
      <c r="A49" s="2677" t="s">
        <v>2760</v>
      </c>
      <c r="B49"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c r="A52" s="2677" t="s">
        <v>2764</v>
      </c>
      <c r="B52" s="2681" t="str">
        <f>估价对象房地状况!C24</f>
        <v>城市主干道——中关村东路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自然环境：双榆树公园等；人文环境：觉生寺等，综合评价环境状况一般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27.5">
      <c r="A60" s="2677" t="s">
        <v>2760</v>
      </c>
      <c r="B60"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2764</v>
      </c>
      <c r="B63" s="2681" t="str">
        <f>估价对象房地状况!C24</f>
        <v>城市主干道——中关村东路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自然环境：双榆树公园等；人文环境：觉生寺等，综合评价环境状况一般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估价对象周边有满庭芳园、太阳园、双榆树北路小区、金谷园、青云北区等居住小区，小区规模和社区发展完善程度较好，综合评价居住社区成熟度好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27.5">
      <c r="A71" s="2677" t="s">
        <v>2760</v>
      </c>
      <c r="B71"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2777</v>
      </c>
      <c r="B73" s="2681" t="str">
        <f>估价对象房地状况!C24</f>
        <v>城市主干道——中关村东路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自然环境：双榆树公园等；人文环境：觉生寺等，综合评价环境状况一般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62" t="s">
        <v>2782</v>
      </c>
      <c r="B90" s="3062"/>
      <c r="C90" s="3062"/>
      <c r="D90" s="3062"/>
      <c r="E90" s="3062"/>
      <c r="F90" s="3062"/>
      <c r="G90" s="3062"/>
      <c r="H90" s="3062"/>
      <c r="I90" s="3062"/>
      <c r="J90" s="3062"/>
      <c r="K90" s="2694"/>
      <c r="L90" s="2694"/>
      <c r="M90" s="2694"/>
      <c r="N90" s="2694"/>
    </row>
    <row r="91" spans="1:37">
      <c r="A91" s="3064" t="s">
        <v>2783</v>
      </c>
      <c r="B91" s="3064" t="s">
        <v>2784</v>
      </c>
      <c r="C91" s="2642" t="s">
        <v>2785</v>
      </c>
      <c r="D91" s="2643"/>
      <c r="E91" s="2643"/>
      <c r="F91" s="2643"/>
      <c r="G91" s="2643"/>
      <c r="H91" s="2643"/>
      <c r="I91" s="2643"/>
      <c r="J91" s="2695"/>
      <c r="K91" s="2696"/>
      <c r="L91" s="2696"/>
      <c r="M91" s="2696"/>
      <c r="N91" s="2696"/>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6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6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6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6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6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66"/>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67"/>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65"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66"/>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66"/>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66"/>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66"/>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66"/>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66"/>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66"/>
      <c r="B108" s="3068"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67"/>
      <c r="B109" s="3069"/>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63" t="s">
        <v>2790</v>
      </c>
      <c r="B110" s="3063"/>
      <c r="C110" s="3063"/>
      <c r="D110" s="3063"/>
      <c r="E110" s="3063"/>
      <c r="F110" s="3063"/>
      <c r="G110" s="3063"/>
      <c r="H110" s="3063"/>
      <c r="I110" s="3063"/>
      <c r="J110" s="3063"/>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60">
      <c r="A5" s="821" t="s">
        <v>714</v>
      </c>
      <c r="B5" s="83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城市主干道——中关村东路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自然环境：双榆树公园等；人文环境：觉生寺等，综合评价环境状况一般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60">
      <c r="A16" s="821" t="s">
        <v>714</v>
      </c>
      <c r="B16"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城市主干道——中关村东路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自然环境：双榆树公园等；人文环境：觉生寺等，综合评价环境状况一般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估价对象周边有满庭芳园、太阳园、双榆树北路小区、金谷园、青云北区等居住小区，小区规模和社区发展完善程度较好，综合评价居住社区成熟度好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60">
      <c r="A27" s="821" t="s">
        <v>714</v>
      </c>
      <c r="B27"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城市主干道——中关村东路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自然环境：双榆树公园等；人文环境：觉生寺等，综合评价环境状况一般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43032</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103.5</v>
      </c>
      <c r="D6" s="2744"/>
      <c r="E6" s="1933"/>
    </row>
    <row r="7" spans="1:5" ht="14.25">
      <c r="A7" s="1933"/>
      <c r="B7" s="2738" t="s">
        <v>785</v>
      </c>
      <c r="C7" s="1939" t="str">
        <f>IF('数据-取费表'!B3="万元","总价（万元）","总价（元）")</f>
        <v>总价（元）</v>
      </c>
      <c r="D7" s="1940">
        <f ca="1">IF('数据-取费表'!E3="否",结果表!I102,'结果表 (1修多)'!I103)</f>
        <v>7821392</v>
      </c>
      <c r="E7" s="1933"/>
    </row>
    <row r="8" spans="1:5" ht="28.5">
      <c r="A8" s="1933"/>
      <c r="B8" s="2738"/>
      <c r="C8" s="1941" t="s">
        <v>1179</v>
      </c>
      <c r="D8" s="1942" t="str">
        <f ca="1">IF('数据-取费表'!B3="万元",NUMBERSTRING(INT(D7*10000),2)&amp;"元整",NUMBERSTRING(INT(D7),2)&amp;"元整")</f>
        <v>柒佰捌拾贰万壹仟叁佰玖拾贰元整</v>
      </c>
      <c r="E8" s="1933"/>
    </row>
    <row r="9" spans="1:5" ht="14.25">
      <c r="A9" s="1933"/>
      <c r="B9" s="2738"/>
      <c r="C9" s="1943" t="s">
        <v>1277</v>
      </c>
      <c r="D9" s="1940">
        <f ca="1">IF('数据-取费表'!E3="否",结果表!I103,'结果表 (1修多)'!I104)</f>
        <v>75569</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7821392</v>
      </c>
      <c r="E15" s="1933"/>
    </row>
    <row r="16" spans="1:5" ht="28.5">
      <c r="A16" s="1933"/>
      <c r="B16" s="2745"/>
      <c r="C16" s="1941" t="s">
        <v>1179</v>
      </c>
      <c r="D16" s="1940" t="str">
        <f ca="1">IF('数据-取费表'!B3="万元",NUMBERSTRING(INT(D15*10000),2)&amp;"元整",NUMBERSTRING(INT(D15),2)&amp;"元整")</f>
        <v>柒佰捌拾贰万壹仟叁佰玖拾贰元整</v>
      </c>
      <c r="E16" s="1933"/>
    </row>
    <row r="17" spans="1:5" ht="14.25">
      <c r="A17" s="1933"/>
      <c r="B17" s="2745"/>
      <c r="C17" s="1943" t="s">
        <v>1277</v>
      </c>
      <c r="D17" s="1940">
        <f ca="1">IF('数据-取费表'!E3="否",结果表!I111,'结果表 (1修多)'!I112)</f>
        <v>75569</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7821392</v>
      </c>
      <c r="E28" s="1933"/>
    </row>
    <row r="29" spans="1:5" ht="28.5">
      <c r="A29" s="1933"/>
      <c r="B29" s="2747"/>
      <c r="C29" s="1952" t="s">
        <v>1179</v>
      </c>
      <c r="D29" s="1953" t="str">
        <f ca="1">IF('数据-取费表'!B3="万元",NUMBERSTRING(INT(D28*10000),2)&amp;"元整",NUMBERSTRING(INT(D28),2)&amp;"元整")</f>
        <v>柒佰捌拾贰万壹仟叁佰玖拾贰元整</v>
      </c>
      <c r="E29" s="1933"/>
    </row>
    <row r="30" spans="1:5" ht="14.25">
      <c r="A30" s="1933"/>
      <c r="B30" s="2748"/>
      <c r="C30" s="1943" t="s">
        <v>1182</v>
      </c>
      <c r="D30" s="1954">
        <f ca="1">IF('数据-取费表'!E3="否",结果表!I103,'结果表 (1修多)'!I104)</f>
        <v>75569</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7821392</v>
      </c>
      <c r="E36" s="1933"/>
    </row>
    <row r="37" spans="1:5" ht="28.5">
      <c r="A37" s="1933"/>
      <c r="B37" s="2749"/>
      <c r="C37" s="1952" t="s">
        <v>1179</v>
      </c>
      <c r="D37" s="1957" t="str">
        <f ca="1">IF('数据-取费表'!B3="万元",NUMBERSTRING(INT(D36*10000),2)&amp;"元整",NUMBERSTRING(INT(D36),2)&amp;"元整")</f>
        <v>柒佰捌拾贰万壹仟叁佰玖拾贰元整</v>
      </c>
      <c r="E37" s="1933"/>
    </row>
    <row r="38" spans="1:5" ht="14.25">
      <c r="A38" s="1933"/>
      <c r="B38" s="2749"/>
      <c r="C38" s="1943" t="s">
        <v>1183</v>
      </c>
      <c r="D38" s="1954">
        <f ca="1">IF('数据-取费表'!E3="否",结果表!D113,'结果表 (1修多)'!D116)</f>
        <v>75569</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103.5</v>
      </c>
      <c r="C4" s="1050">
        <f>结果表!C121</f>
        <v>0</v>
      </c>
      <c r="D4" s="1050">
        <f ca="1">IF('数据-取费表'!E3="否",结果表!D121,'结果表 (1修多)'!D124)</f>
        <v>7195631</v>
      </c>
      <c r="E4" s="1050">
        <f ca="1">IF('数据-取费表'!E3="否",结果表!E121,'结果表 (1修多)'!E124)</f>
        <v>69523</v>
      </c>
      <c r="F4" s="1050">
        <f ca="1">IF('数据-取费表'!E3="否",结果表!F121,'结果表 (1修多)'!F124)</f>
        <v>625761</v>
      </c>
      <c r="G4" s="1050">
        <f ca="1">IF('数据-取费表'!E3="否",结果表!G121,'结果表 (1修多)'!G124)</f>
        <v>6046</v>
      </c>
      <c r="H4" s="1050">
        <f ca="1">IF('数据-取费表'!E3="否",结果表!H121,'结果表 (1修多)'!H124)</f>
        <v>7821392</v>
      </c>
      <c r="I4" s="1050">
        <f ca="1">IF('数据-取费表'!E3="否",结果表!I121,'结果表 (1修多)'!I124)</f>
        <v>75569</v>
      </c>
    </row>
    <row r="5" spans="1:9" ht="15">
      <c r="A5" s="2763" t="s">
        <v>1287</v>
      </c>
      <c r="B5" s="2763"/>
      <c r="C5" s="2763"/>
      <c r="D5" s="2761" t="str">
        <f ca="1">IF('数据-取费表'!E3="否",结果表!D122,'结果表 (1修多)'!D125)</f>
        <v>柒佰壹拾玖万伍仟陆佰叁拾壹元整</v>
      </c>
      <c r="E5" s="2761"/>
      <c r="F5" s="2761" t="str">
        <f ca="1">IF('数据-取费表'!E3="否",结果表!F122,'结果表 (1修多)'!F125)</f>
        <v>陆拾贰万伍仟柒佰陆拾壹元整</v>
      </c>
      <c r="G5" s="2761"/>
      <c r="H5" s="2761" t="str">
        <f ca="1">IF('数据-取费表'!E3="否",结果表!H122,'结果表 (1修多)'!H125)</f>
        <v>柒佰捌拾贰万壹仟叁佰玖拾贰元整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7821392</v>
      </c>
      <c r="E8" s="2762"/>
      <c r="F8" s="2762"/>
      <c r="G8" s="2762"/>
      <c r="H8" s="2762"/>
      <c r="I8" s="2762"/>
    </row>
    <row r="9" spans="1:9" ht="15">
      <c r="A9" s="2763" t="s">
        <v>1287</v>
      </c>
      <c r="B9" s="2763"/>
      <c r="C9" s="2763"/>
      <c r="D9" s="2761">
        <f ca="1">IF('数据-取费表'!E3="否",结果表!D126,'结果表 (1修多)'!D129)</f>
        <v>75569</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2017-11-06T06:57:56Z</dcterms:modified>
</cp:coreProperties>
</file>